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suftitan/Downloads/"/>
    </mc:Choice>
  </mc:AlternateContent>
  <xr:revisionPtr revIDLastSave="0" documentId="13_ncr:1_{BE57C262-F128-9347-B50A-3A211F4E1C9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8" i="1" l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<sst xmlns="http://schemas.openxmlformats.org/spreadsheetml/2006/main" count="20" uniqueCount="19">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</sst>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;\(#,##0.00\)"/>
    <numFmt numFmtId="166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165" fontId="1" fillId="0" borderId="1" xfId="0" applyNumberFormat="1" applyFont="1" applyBorder="1"/>
    <xf numFmtId="0" fontId="1" fillId="0" borderId="0" xfId="0" applyFont="1"/>
    <xf numFmtId="166" fontId="1" fillId="0" borderId="0" xfId="0" applyNumberFormat="1" applyFo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lang="en-US" b="0">
                <a:solidFill>
                  <a:srgbClr val="757575"/>
                </a:solidFill>
                <a:latin typeface="serif"/>
              </a:rPr>
              <a:t>Evaluation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Actual Price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name>Trend line for Actual Price</c:name>
            <c:spPr>
              <a:ln w="19050">
                <a:solidFill>
                  <a:srgbClr val="38761D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Sheet1!$A$2:$A$1289</c:f>
              <c:numCache>
                <c:formatCode>dd/mm/yyyy</c:formatCode>
                <c:ptCount val="1288"/>
                <c:pt idx="0">
                  <c:v>43160.666666666599</c:v>
                </c:pt>
                <c:pt idx="1">
                  <c:v>43161.666666666599</c:v>
                </c:pt>
                <c:pt idx="2">
                  <c:v>43164.666666666599</c:v>
                </c:pt>
                <c:pt idx="3">
                  <c:v>43165.666666666599</c:v>
                </c:pt>
                <c:pt idx="4">
                  <c:v>43166.666666666599</c:v>
                </c:pt>
                <c:pt idx="5">
                  <c:v>43167.666666666599</c:v>
                </c:pt>
                <c:pt idx="6">
                  <c:v>43168.666666666599</c:v>
                </c:pt>
                <c:pt idx="7">
                  <c:v>43171.666666666599</c:v>
                </c:pt>
                <c:pt idx="8">
                  <c:v>43172.666666666599</c:v>
                </c:pt>
                <c:pt idx="9">
                  <c:v>43173.666666666599</c:v>
                </c:pt>
                <c:pt idx="10">
                  <c:v>43174.666666666599</c:v>
                </c:pt>
                <c:pt idx="11">
                  <c:v>43175.666666666599</c:v>
                </c:pt>
                <c:pt idx="12">
                  <c:v>43178.666666666599</c:v>
                </c:pt>
                <c:pt idx="13">
                  <c:v>43179.666666666599</c:v>
                </c:pt>
                <c:pt idx="14">
                  <c:v>43180.666666666599</c:v>
                </c:pt>
                <c:pt idx="15">
                  <c:v>43181.666666666599</c:v>
                </c:pt>
                <c:pt idx="16">
                  <c:v>43182.666666666599</c:v>
                </c:pt>
                <c:pt idx="17">
                  <c:v>43185.666666666599</c:v>
                </c:pt>
                <c:pt idx="18">
                  <c:v>43186.666666666599</c:v>
                </c:pt>
                <c:pt idx="19">
                  <c:v>43187.666666666599</c:v>
                </c:pt>
                <c:pt idx="20">
                  <c:v>43188.666666666599</c:v>
                </c:pt>
                <c:pt idx="21">
                  <c:v>43192.666666666599</c:v>
                </c:pt>
                <c:pt idx="22">
                  <c:v>43193.666666666599</c:v>
                </c:pt>
                <c:pt idx="23">
                  <c:v>43194.666666666599</c:v>
                </c:pt>
                <c:pt idx="24">
                  <c:v>43195.666666666599</c:v>
                </c:pt>
                <c:pt idx="25">
                  <c:v>43196.666666666599</c:v>
                </c:pt>
                <c:pt idx="26">
                  <c:v>43199.666666666599</c:v>
                </c:pt>
                <c:pt idx="27">
                  <c:v>43200.666666666599</c:v>
                </c:pt>
                <c:pt idx="28">
                  <c:v>43201.666666666599</c:v>
                </c:pt>
                <c:pt idx="29">
                  <c:v>43202.666666666599</c:v>
                </c:pt>
                <c:pt idx="30">
                  <c:v>43203.666666666599</c:v>
                </c:pt>
                <c:pt idx="31">
                  <c:v>43206.666666666599</c:v>
                </c:pt>
                <c:pt idx="32">
                  <c:v>43207.666666666599</c:v>
                </c:pt>
                <c:pt idx="33">
                  <c:v>43208.666666666599</c:v>
                </c:pt>
                <c:pt idx="34">
                  <c:v>43209.666666666599</c:v>
                </c:pt>
                <c:pt idx="35">
                  <c:v>43210.666666666599</c:v>
                </c:pt>
                <c:pt idx="36">
                  <c:v>43213.666666666599</c:v>
                </c:pt>
                <c:pt idx="37">
                  <c:v>43214.666666666599</c:v>
                </c:pt>
                <c:pt idx="38">
                  <c:v>43215.666666666599</c:v>
                </c:pt>
                <c:pt idx="39">
                  <c:v>43216.666666666599</c:v>
                </c:pt>
                <c:pt idx="40">
                  <c:v>43217.666666666599</c:v>
                </c:pt>
                <c:pt idx="41">
                  <c:v>43220.666666666599</c:v>
                </c:pt>
                <c:pt idx="42">
                  <c:v>43221.666666666599</c:v>
                </c:pt>
                <c:pt idx="43">
                  <c:v>43222.666666666599</c:v>
                </c:pt>
                <c:pt idx="44">
                  <c:v>43223.666666666599</c:v>
                </c:pt>
                <c:pt idx="45">
                  <c:v>43224.666666666599</c:v>
                </c:pt>
                <c:pt idx="46">
                  <c:v>43227.666666666599</c:v>
                </c:pt>
                <c:pt idx="47">
                  <c:v>43228.666666666599</c:v>
                </c:pt>
                <c:pt idx="48">
                  <c:v>43229.666666666599</c:v>
                </c:pt>
                <c:pt idx="49">
                  <c:v>43230.666666666599</c:v>
                </c:pt>
                <c:pt idx="50">
                  <c:v>43231.666666666599</c:v>
                </c:pt>
                <c:pt idx="51">
                  <c:v>43234.666666666599</c:v>
                </c:pt>
                <c:pt idx="52">
                  <c:v>43235.666666666599</c:v>
                </c:pt>
                <c:pt idx="53">
                  <c:v>43236.666666666599</c:v>
                </c:pt>
                <c:pt idx="54">
                  <c:v>43237.666666666599</c:v>
                </c:pt>
                <c:pt idx="55">
                  <c:v>43238.666666666599</c:v>
                </c:pt>
                <c:pt idx="56">
                  <c:v>43241.666666666599</c:v>
                </c:pt>
                <c:pt idx="57">
                  <c:v>43242.666666666599</c:v>
                </c:pt>
                <c:pt idx="58">
                  <c:v>43243.666666666599</c:v>
                </c:pt>
                <c:pt idx="59">
                  <c:v>43244.666666666599</c:v>
                </c:pt>
                <c:pt idx="60">
                  <c:v>43245.666666666599</c:v>
                </c:pt>
                <c:pt idx="61">
                  <c:v>43249.666666666599</c:v>
                </c:pt>
                <c:pt idx="62">
                  <c:v>43250.666666666599</c:v>
                </c:pt>
                <c:pt idx="63">
                  <c:v>43251.666666666599</c:v>
                </c:pt>
                <c:pt idx="64">
                  <c:v>43252.666666666599</c:v>
                </c:pt>
                <c:pt idx="65">
                  <c:v>43255.666666666599</c:v>
                </c:pt>
                <c:pt idx="66">
                  <c:v>43256.666666666599</c:v>
                </c:pt>
                <c:pt idx="67">
                  <c:v>43257.666666666599</c:v>
                </c:pt>
                <c:pt idx="68">
                  <c:v>43258.666666666599</c:v>
                </c:pt>
                <c:pt idx="69">
                  <c:v>43259.666666666599</c:v>
                </c:pt>
                <c:pt idx="70">
                  <c:v>43262.666666666599</c:v>
                </c:pt>
                <c:pt idx="71">
                  <c:v>43263.666666666599</c:v>
                </c:pt>
                <c:pt idx="72">
                  <c:v>43264.666666666599</c:v>
                </c:pt>
                <c:pt idx="73">
                  <c:v>43265.666666666599</c:v>
                </c:pt>
                <c:pt idx="74">
                  <c:v>43266.666666666599</c:v>
                </c:pt>
                <c:pt idx="75">
                  <c:v>43269.666666666599</c:v>
                </c:pt>
                <c:pt idx="76">
                  <c:v>43270.666666666599</c:v>
                </c:pt>
                <c:pt idx="77">
                  <c:v>43271.666666666599</c:v>
                </c:pt>
                <c:pt idx="78">
                  <c:v>43272.666666666599</c:v>
                </c:pt>
                <c:pt idx="79">
                  <c:v>43273.666666666599</c:v>
                </c:pt>
                <c:pt idx="80">
                  <c:v>43276.666666666599</c:v>
                </c:pt>
                <c:pt idx="81">
                  <c:v>43277.666666666599</c:v>
                </c:pt>
                <c:pt idx="82">
                  <c:v>43278.666666666599</c:v>
                </c:pt>
                <c:pt idx="83">
                  <c:v>43279.666666666599</c:v>
                </c:pt>
                <c:pt idx="84">
                  <c:v>43280.666666666599</c:v>
                </c:pt>
                <c:pt idx="85">
                  <c:v>43283.666666666599</c:v>
                </c:pt>
                <c:pt idx="86">
                  <c:v>43284.541666666599</c:v>
                </c:pt>
                <c:pt idx="87">
                  <c:v>43286.666666666599</c:v>
                </c:pt>
                <c:pt idx="88">
                  <c:v>43287.666666666599</c:v>
                </c:pt>
                <c:pt idx="89">
                  <c:v>43290.666666666599</c:v>
                </c:pt>
                <c:pt idx="90">
                  <c:v>43291.666666666599</c:v>
                </c:pt>
                <c:pt idx="91">
                  <c:v>43292.666666666599</c:v>
                </c:pt>
                <c:pt idx="92">
                  <c:v>43293.666666666599</c:v>
                </c:pt>
                <c:pt idx="93">
                  <c:v>43294.666666666599</c:v>
                </c:pt>
                <c:pt idx="94">
                  <c:v>43297.666666666599</c:v>
                </c:pt>
                <c:pt idx="95">
                  <c:v>43298.666666666599</c:v>
                </c:pt>
                <c:pt idx="96">
                  <c:v>43299.666666666599</c:v>
                </c:pt>
                <c:pt idx="97">
                  <c:v>43300.666666666599</c:v>
                </c:pt>
                <c:pt idx="98">
                  <c:v>43301.666666666599</c:v>
                </c:pt>
                <c:pt idx="99">
                  <c:v>43304.666666666599</c:v>
                </c:pt>
                <c:pt idx="100">
                  <c:v>43305.666666666599</c:v>
                </c:pt>
                <c:pt idx="101">
                  <c:v>43306.666666666599</c:v>
                </c:pt>
                <c:pt idx="102">
                  <c:v>43307.666666666599</c:v>
                </c:pt>
                <c:pt idx="103">
                  <c:v>43308.666666666599</c:v>
                </c:pt>
                <c:pt idx="104">
                  <c:v>43311.666666666599</c:v>
                </c:pt>
                <c:pt idx="105">
                  <c:v>43312.666666666599</c:v>
                </c:pt>
                <c:pt idx="106">
                  <c:v>43313.666666666599</c:v>
                </c:pt>
                <c:pt idx="107">
                  <c:v>43314.666666666599</c:v>
                </c:pt>
                <c:pt idx="108">
                  <c:v>43315.666666666599</c:v>
                </c:pt>
                <c:pt idx="109">
                  <c:v>43318.666666666599</c:v>
                </c:pt>
                <c:pt idx="110">
                  <c:v>43319.666666666599</c:v>
                </c:pt>
                <c:pt idx="111">
                  <c:v>43320.666666666599</c:v>
                </c:pt>
                <c:pt idx="112">
                  <c:v>43321.666666666599</c:v>
                </c:pt>
                <c:pt idx="113">
                  <c:v>43322.666666666599</c:v>
                </c:pt>
                <c:pt idx="114">
                  <c:v>43325.666666666599</c:v>
                </c:pt>
                <c:pt idx="115">
                  <c:v>43326.666666666599</c:v>
                </c:pt>
                <c:pt idx="116">
                  <c:v>43327.666666666599</c:v>
                </c:pt>
                <c:pt idx="117">
                  <c:v>43328.666666666599</c:v>
                </c:pt>
                <c:pt idx="118">
                  <c:v>43329.666666666599</c:v>
                </c:pt>
                <c:pt idx="119">
                  <c:v>43332.666666666599</c:v>
                </c:pt>
                <c:pt idx="120">
                  <c:v>43333.666666666599</c:v>
                </c:pt>
                <c:pt idx="121">
                  <c:v>43334.666666666599</c:v>
                </c:pt>
                <c:pt idx="122">
                  <c:v>43335.666666666599</c:v>
                </c:pt>
                <c:pt idx="123">
                  <c:v>43336.666666666599</c:v>
                </c:pt>
                <c:pt idx="124">
                  <c:v>43339.666666666599</c:v>
                </c:pt>
                <c:pt idx="125">
                  <c:v>43340.666666666599</c:v>
                </c:pt>
                <c:pt idx="126">
                  <c:v>43341.666666666599</c:v>
                </c:pt>
                <c:pt idx="127">
                  <c:v>43342.666666666599</c:v>
                </c:pt>
                <c:pt idx="128">
                  <c:v>43343.666666666599</c:v>
                </c:pt>
                <c:pt idx="129">
                  <c:v>43347.666666666599</c:v>
                </c:pt>
                <c:pt idx="130">
                  <c:v>43348.666666666599</c:v>
                </c:pt>
                <c:pt idx="131">
                  <c:v>43349.666666666599</c:v>
                </c:pt>
                <c:pt idx="132">
                  <c:v>43350.666666666599</c:v>
                </c:pt>
                <c:pt idx="133">
                  <c:v>43353.666666666599</c:v>
                </c:pt>
                <c:pt idx="134">
                  <c:v>43354.666666666599</c:v>
                </c:pt>
                <c:pt idx="135">
                  <c:v>43355.666666666599</c:v>
                </c:pt>
                <c:pt idx="136">
                  <c:v>43356.666666666599</c:v>
                </c:pt>
                <c:pt idx="137">
                  <c:v>43357.666666666599</c:v>
                </c:pt>
                <c:pt idx="138">
                  <c:v>43360.666666666599</c:v>
                </c:pt>
                <c:pt idx="139">
                  <c:v>43361.666666666599</c:v>
                </c:pt>
                <c:pt idx="140">
                  <c:v>43362.666666666599</c:v>
                </c:pt>
                <c:pt idx="141">
                  <c:v>43363.666666666599</c:v>
                </c:pt>
                <c:pt idx="142">
                  <c:v>43364.666666666599</c:v>
                </c:pt>
                <c:pt idx="143">
                  <c:v>43367.666666666599</c:v>
                </c:pt>
                <c:pt idx="144">
                  <c:v>43368.666666666599</c:v>
                </c:pt>
                <c:pt idx="145">
                  <c:v>43369.666666666599</c:v>
                </c:pt>
                <c:pt idx="146">
                  <c:v>43370.666666666599</c:v>
                </c:pt>
                <c:pt idx="147">
                  <c:v>43371.666666666599</c:v>
                </c:pt>
                <c:pt idx="148">
                  <c:v>43374.666666666599</c:v>
                </c:pt>
                <c:pt idx="149">
                  <c:v>43375.666666666599</c:v>
                </c:pt>
                <c:pt idx="150">
                  <c:v>43376.666666666599</c:v>
                </c:pt>
                <c:pt idx="151">
                  <c:v>43377.666666666599</c:v>
                </c:pt>
                <c:pt idx="152">
                  <c:v>43378.666666666599</c:v>
                </c:pt>
                <c:pt idx="153">
                  <c:v>43381.666666666599</c:v>
                </c:pt>
                <c:pt idx="154">
                  <c:v>43382.666666666599</c:v>
                </c:pt>
                <c:pt idx="155">
                  <c:v>43383.666666666599</c:v>
                </c:pt>
                <c:pt idx="156">
                  <c:v>43384.666666666599</c:v>
                </c:pt>
                <c:pt idx="157">
                  <c:v>43385.666666666599</c:v>
                </c:pt>
                <c:pt idx="158">
                  <c:v>43388.666666666599</c:v>
                </c:pt>
                <c:pt idx="159">
                  <c:v>43389.666666666599</c:v>
                </c:pt>
                <c:pt idx="160">
                  <c:v>43390.666666666599</c:v>
                </c:pt>
                <c:pt idx="161">
                  <c:v>43391.666666666599</c:v>
                </c:pt>
                <c:pt idx="162">
                  <c:v>43392.666666666599</c:v>
                </c:pt>
                <c:pt idx="163">
                  <c:v>43395.666666666599</c:v>
                </c:pt>
                <c:pt idx="164">
                  <c:v>43396.666666666599</c:v>
                </c:pt>
                <c:pt idx="165">
                  <c:v>43397.666666666599</c:v>
                </c:pt>
                <c:pt idx="166">
                  <c:v>43398.666666666599</c:v>
                </c:pt>
                <c:pt idx="167">
                  <c:v>43399.666666666599</c:v>
                </c:pt>
                <c:pt idx="168">
                  <c:v>43402.666666666599</c:v>
                </c:pt>
                <c:pt idx="169">
                  <c:v>43403.666666666599</c:v>
                </c:pt>
                <c:pt idx="170">
                  <c:v>43404.666666666599</c:v>
                </c:pt>
                <c:pt idx="171">
                  <c:v>43405.666666666599</c:v>
                </c:pt>
                <c:pt idx="172">
                  <c:v>43406.666666666599</c:v>
                </c:pt>
                <c:pt idx="173">
                  <c:v>43409.666666666599</c:v>
                </c:pt>
                <c:pt idx="174">
                  <c:v>43410.666666666599</c:v>
                </c:pt>
                <c:pt idx="175">
                  <c:v>43411.666666666599</c:v>
                </c:pt>
                <c:pt idx="176">
                  <c:v>43412.666666666599</c:v>
                </c:pt>
                <c:pt idx="177">
                  <c:v>43413.666666666599</c:v>
                </c:pt>
                <c:pt idx="178">
                  <c:v>43416.666666666599</c:v>
                </c:pt>
                <c:pt idx="179">
                  <c:v>43417.666666666599</c:v>
                </c:pt>
                <c:pt idx="180">
                  <c:v>43418.666666666599</c:v>
                </c:pt>
                <c:pt idx="181">
                  <c:v>43419.666666666599</c:v>
                </c:pt>
                <c:pt idx="182">
                  <c:v>43420.666666666599</c:v>
                </c:pt>
                <c:pt idx="183">
                  <c:v>43423.666666666599</c:v>
                </c:pt>
                <c:pt idx="184">
                  <c:v>43424.666666666599</c:v>
                </c:pt>
                <c:pt idx="185">
                  <c:v>43425.666666666599</c:v>
                </c:pt>
                <c:pt idx="186">
                  <c:v>43427.541666666599</c:v>
                </c:pt>
                <c:pt idx="187">
                  <c:v>43430.666666666599</c:v>
                </c:pt>
                <c:pt idx="188">
                  <c:v>43431.666666666599</c:v>
                </c:pt>
                <c:pt idx="189">
                  <c:v>43432.666666666599</c:v>
                </c:pt>
                <c:pt idx="190">
                  <c:v>43433.666666666599</c:v>
                </c:pt>
                <c:pt idx="191">
                  <c:v>43434.666666666599</c:v>
                </c:pt>
                <c:pt idx="192">
                  <c:v>43437.666666666599</c:v>
                </c:pt>
                <c:pt idx="193">
                  <c:v>43438.666666666599</c:v>
                </c:pt>
                <c:pt idx="194">
                  <c:v>43440.666666666599</c:v>
                </c:pt>
                <c:pt idx="195">
                  <c:v>43441.666666666599</c:v>
                </c:pt>
                <c:pt idx="196">
                  <c:v>43444.666666666599</c:v>
                </c:pt>
                <c:pt idx="197">
                  <c:v>43445.666666666599</c:v>
                </c:pt>
                <c:pt idx="198">
                  <c:v>43446.666666666599</c:v>
                </c:pt>
                <c:pt idx="199">
                  <c:v>43447.666666666599</c:v>
                </c:pt>
                <c:pt idx="200">
                  <c:v>43448.666666666599</c:v>
                </c:pt>
                <c:pt idx="201">
                  <c:v>43451.666666666599</c:v>
                </c:pt>
                <c:pt idx="202">
                  <c:v>43452.666666666599</c:v>
                </c:pt>
                <c:pt idx="203">
                  <c:v>43453.666666666599</c:v>
                </c:pt>
                <c:pt idx="204">
                  <c:v>43454.666666666599</c:v>
                </c:pt>
                <c:pt idx="205">
                  <c:v>43455.666666666599</c:v>
                </c:pt>
                <c:pt idx="206">
                  <c:v>43458.541666666599</c:v>
                </c:pt>
                <c:pt idx="207">
                  <c:v>43460.666666666599</c:v>
                </c:pt>
                <c:pt idx="208">
                  <c:v>43461.666666666599</c:v>
                </c:pt>
                <c:pt idx="209">
                  <c:v>43462.666666666599</c:v>
                </c:pt>
                <c:pt idx="210">
                  <c:v>43465.666666666599</c:v>
                </c:pt>
                <c:pt idx="211">
                  <c:v>43467.666666666599</c:v>
                </c:pt>
                <c:pt idx="212">
                  <c:v>43468.666666666599</c:v>
                </c:pt>
                <c:pt idx="213">
                  <c:v>43469.666666666599</c:v>
                </c:pt>
                <c:pt idx="214">
                  <c:v>43472.666666666599</c:v>
                </c:pt>
                <c:pt idx="215">
                  <c:v>43473.666666666599</c:v>
                </c:pt>
                <c:pt idx="216">
                  <c:v>43474.666666666599</c:v>
                </c:pt>
                <c:pt idx="217">
                  <c:v>43475.666666666599</c:v>
                </c:pt>
                <c:pt idx="218">
                  <c:v>43476.666666666599</c:v>
                </c:pt>
                <c:pt idx="219">
                  <c:v>43479.666666666599</c:v>
                </c:pt>
                <c:pt idx="220">
                  <c:v>43480.666666666599</c:v>
                </c:pt>
                <c:pt idx="221">
                  <c:v>43481.666666666599</c:v>
                </c:pt>
                <c:pt idx="222">
                  <c:v>43482.666666666599</c:v>
                </c:pt>
                <c:pt idx="223">
                  <c:v>43483.666666666599</c:v>
                </c:pt>
                <c:pt idx="224">
                  <c:v>43487.666666666599</c:v>
                </c:pt>
                <c:pt idx="225">
                  <c:v>43488.666666666599</c:v>
                </c:pt>
                <c:pt idx="226">
                  <c:v>43489.666666666599</c:v>
                </c:pt>
                <c:pt idx="227">
                  <c:v>43490.666666666599</c:v>
                </c:pt>
                <c:pt idx="228">
                  <c:v>43493.666666666599</c:v>
                </c:pt>
                <c:pt idx="229">
                  <c:v>43494.666666666599</c:v>
                </c:pt>
                <c:pt idx="230">
                  <c:v>43495.666666666599</c:v>
                </c:pt>
                <c:pt idx="231">
                  <c:v>43496.666666666599</c:v>
                </c:pt>
                <c:pt idx="232">
                  <c:v>43497.666666666599</c:v>
                </c:pt>
                <c:pt idx="233">
                  <c:v>43500.666666666599</c:v>
                </c:pt>
                <c:pt idx="234">
                  <c:v>43501.666666666599</c:v>
                </c:pt>
                <c:pt idx="235">
                  <c:v>43502.666666666599</c:v>
                </c:pt>
                <c:pt idx="236">
                  <c:v>43503.666666666599</c:v>
                </c:pt>
                <c:pt idx="237">
                  <c:v>43504.666666666599</c:v>
                </c:pt>
                <c:pt idx="238">
                  <c:v>43507.666666666599</c:v>
                </c:pt>
                <c:pt idx="239">
                  <c:v>43508.666666666599</c:v>
                </c:pt>
                <c:pt idx="240">
                  <c:v>43509.666666666599</c:v>
                </c:pt>
                <c:pt idx="241">
                  <c:v>43510.666666666599</c:v>
                </c:pt>
                <c:pt idx="242">
                  <c:v>43511.666666666599</c:v>
                </c:pt>
                <c:pt idx="243">
                  <c:v>43515.666666666599</c:v>
                </c:pt>
                <c:pt idx="244">
                  <c:v>43516.666666666599</c:v>
                </c:pt>
                <c:pt idx="245">
                  <c:v>43517.666666666599</c:v>
                </c:pt>
                <c:pt idx="246">
                  <c:v>43518.666666666599</c:v>
                </c:pt>
                <c:pt idx="247">
                  <c:v>43521.666666666599</c:v>
                </c:pt>
                <c:pt idx="248">
                  <c:v>43522.666666666599</c:v>
                </c:pt>
                <c:pt idx="249">
                  <c:v>43523.666666666599</c:v>
                </c:pt>
                <c:pt idx="250">
                  <c:v>43524.666666666599</c:v>
                </c:pt>
                <c:pt idx="251">
                  <c:v>43525.666666666599</c:v>
                </c:pt>
                <c:pt idx="252">
                  <c:v>43528.666666666599</c:v>
                </c:pt>
                <c:pt idx="253">
                  <c:v>43529.666666666599</c:v>
                </c:pt>
                <c:pt idx="254">
                  <c:v>43530.666666666599</c:v>
                </c:pt>
                <c:pt idx="255">
                  <c:v>43531.666666666599</c:v>
                </c:pt>
                <c:pt idx="256">
                  <c:v>43532.666666666599</c:v>
                </c:pt>
                <c:pt idx="257">
                  <c:v>43535.666666666599</c:v>
                </c:pt>
                <c:pt idx="258">
                  <c:v>43536.666666666599</c:v>
                </c:pt>
                <c:pt idx="259">
                  <c:v>43537.666666666599</c:v>
                </c:pt>
                <c:pt idx="260">
                  <c:v>43538.666666666599</c:v>
                </c:pt>
                <c:pt idx="261">
                  <c:v>43539.666666666599</c:v>
                </c:pt>
                <c:pt idx="262">
                  <c:v>43542.666666666599</c:v>
                </c:pt>
                <c:pt idx="263">
                  <c:v>43543.666666666599</c:v>
                </c:pt>
                <c:pt idx="264">
                  <c:v>43544.666666666599</c:v>
                </c:pt>
                <c:pt idx="265">
                  <c:v>43545.666666666599</c:v>
                </c:pt>
                <c:pt idx="266">
                  <c:v>43546.666666666599</c:v>
                </c:pt>
                <c:pt idx="267">
                  <c:v>43549.666666666599</c:v>
                </c:pt>
                <c:pt idx="268">
                  <c:v>43550.666666666599</c:v>
                </c:pt>
                <c:pt idx="269">
                  <c:v>43551.666666666599</c:v>
                </c:pt>
                <c:pt idx="270">
                  <c:v>43552.666666666599</c:v>
                </c:pt>
                <c:pt idx="271">
                  <c:v>43553.666666666599</c:v>
                </c:pt>
                <c:pt idx="272">
                  <c:v>43556.666666666599</c:v>
                </c:pt>
                <c:pt idx="273">
                  <c:v>43557.666666666599</c:v>
                </c:pt>
                <c:pt idx="274">
                  <c:v>43558.666666666599</c:v>
                </c:pt>
                <c:pt idx="275">
                  <c:v>43559.666666666599</c:v>
                </c:pt>
                <c:pt idx="276">
                  <c:v>43560.666666666599</c:v>
                </c:pt>
                <c:pt idx="277">
                  <c:v>43563.666666666599</c:v>
                </c:pt>
                <c:pt idx="278">
                  <c:v>43564.666666666599</c:v>
                </c:pt>
                <c:pt idx="279">
                  <c:v>43565.666666666599</c:v>
                </c:pt>
                <c:pt idx="280">
                  <c:v>43566.666666666599</c:v>
                </c:pt>
                <c:pt idx="281">
                  <c:v>43567.666666666599</c:v>
                </c:pt>
                <c:pt idx="282">
                  <c:v>43570.666666666599</c:v>
                </c:pt>
                <c:pt idx="283">
                  <c:v>43571.666666666599</c:v>
                </c:pt>
                <c:pt idx="284">
                  <c:v>43572.666666666599</c:v>
                </c:pt>
                <c:pt idx="285">
                  <c:v>43573.666666666599</c:v>
                </c:pt>
                <c:pt idx="286">
                  <c:v>43577.666666666599</c:v>
                </c:pt>
                <c:pt idx="287">
                  <c:v>43578.666666666599</c:v>
                </c:pt>
                <c:pt idx="288">
                  <c:v>43579.666666666599</c:v>
                </c:pt>
                <c:pt idx="289">
                  <c:v>43580.666666666599</c:v>
                </c:pt>
                <c:pt idx="290">
                  <c:v>43581.666666666599</c:v>
                </c:pt>
                <c:pt idx="291">
                  <c:v>43584.666666666599</c:v>
                </c:pt>
                <c:pt idx="292">
                  <c:v>43585.666666666599</c:v>
                </c:pt>
                <c:pt idx="293">
                  <c:v>43586.666666666599</c:v>
                </c:pt>
                <c:pt idx="294">
                  <c:v>43587.666666666599</c:v>
                </c:pt>
                <c:pt idx="295">
                  <c:v>43588.666666666599</c:v>
                </c:pt>
                <c:pt idx="296">
                  <c:v>43591.666666666599</c:v>
                </c:pt>
                <c:pt idx="297">
                  <c:v>43592.666666666599</c:v>
                </c:pt>
                <c:pt idx="298">
                  <c:v>43593.666666666599</c:v>
                </c:pt>
                <c:pt idx="299">
                  <c:v>43594.666666666599</c:v>
                </c:pt>
                <c:pt idx="300">
                  <c:v>43595.666666666599</c:v>
                </c:pt>
                <c:pt idx="301">
                  <c:v>43598.666666666599</c:v>
                </c:pt>
                <c:pt idx="302">
                  <c:v>43599.666666666599</c:v>
                </c:pt>
                <c:pt idx="303">
                  <c:v>43600.666666666599</c:v>
                </c:pt>
                <c:pt idx="304">
                  <c:v>43601.666666666599</c:v>
                </c:pt>
                <c:pt idx="305">
                  <c:v>43602.666666666599</c:v>
                </c:pt>
                <c:pt idx="306">
                  <c:v>43605.666666666599</c:v>
                </c:pt>
                <c:pt idx="307">
                  <c:v>43606.666666666599</c:v>
                </c:pt>
                <c:pt idx="308">
                  <c:v>43607.666666666599</c:v>
                </c:pt>
                <c:pt idx="309">
                  <c:v>43608.666666666599</c:v>
                </c:pt>
                <c:pt idx="310">
                  <c:v>43609.666666666599</c:v>
                </c:pt>
                <c:pt idx="311">
                  <c:v>43613.666666666599</c:v>
                </c:pt>
                <c:pt idx="312">
                  <c:v>43614.666666666599</c:v>
                </c:pt>
                <c:pt idx="313">
                  <c:v>43615.666666666599</c:v>
                </c:pt>
                <c:pt idx="314">
                  <c:v>43616.666666666599</c:v>
                </c:pt>
                <c:pt idx="315">
                  <c:v>43619.666666666599</c:v>
                </c:pt>
                <c:pt idx="316">
                  <c:v>43620.666666666599</c:v>
                </c:pt>
                <c:pt idx="317">
                  <c:v>43621.666666666599</c:v>
                </c:pt>
                <c:pt idx="318">
                  <c:v>43622.666666666599</c:v>
                </c:pt>
                <c:pt idx="319">
                  <c:v>43623.666666666599</c:v>
                </c:pt>
                <c:pt idx="320">
                  <c:v>43626.666666666599</c:v>
                </c:pt>
                <c:pt idx="321">
                  <c:v>43627.666666666599</c:v>
                </c:pt>
                <c:pt idx="322">
                  <c:v>43628.666666666599</c:v>
                </c:pt>
                <c:pt idx="323">
                  <c:v>43629.666666666599</c:v>
                </c:pt>
                <c:pt idx="324">
                  <c:v>43630.666666666599</c:v>
                </c:pt>
                <c:pt idx="325">
                  <c:v>43633.666666666599</c:v>
                </c:pt>
                <c:pt idx="326">
                  <c:v>43634.666666666599</c:v>
                </c:pt>
                <c:pt idx="327">
                  <c:v>43635.666666666599</c:v>
                </c:pt>
                <c:pt idx="328">
                  <c:v>43636.666666666599</c:v>
                </c:pt>
                <c:pt idx="329">
                  <c:v>43637.666666666599</c:v>
                </c:pt>
                <c:pt idx="330">
                  <c:v>43640.666666666599</c:v>
                </c:pt>
                <c:pt idx="331">
                  <c:v>43641.666666666599</c:v>
                </c:pt>
                <c:pt idx="332">
                  <c:v>43642.666666666599</c:v>
                </c:pt>
                <c:pt idx="333">
                  <c:v>43643.666666666599</c:v>
                </c:pt>
                <c:pt idx="334">
                  <c:v>43644.666666666599</c:v>
                </c:pt>
                <c:pt idx="335">
                  <c:v>43647.666666666599</c:v>
                </c:pt>
                <c:pt idx="336">
                  <c:v>43648.666666666599</c:v>
                </c:pt>
                <c:pt idx="337">
                  <c:v>43649.541666666599</c:v>
                </c:pt>
                <c:pt idx="338">
                  <c:v>43651.666666666599</c:v>
                </c:pt>
                <c:pt idx="339">
                  <c:v>43654.666666666599</c:v>
                </c:pt>
                <c:pt idx="340">
                  <c:v>43655.666666666599</c:v>
                </c:pt>
                <c:pt idx="341">
                  <c:v>43656.666666666599</c:v>
                </c:pt>
                <c:pt idx="342">
                  <c:v>43657.666666666599</c:v>
                </c:pt>
                <c:pt idx="343">
                  <c:v>43658.666666666599</c:v>
                </c:pt>
                <c:pt idx="344">
                  <c:v>43661.666666666599</c:v>
                </c:pt>
                <c:pt idx="345">
                  <c:v>43662.666666666599</c:v>
                </c:pt>
                <c:pt idx="346">
                  <c:v>43663.666666666599</c:v>
                </c:pt>
                <c:pt idx="347">
                  <c:v>43664.666666666599</c:v>
                </c:pt>
                <c:pt idx="348">
                  <c:v>43665.666666666599</c:v>
                </c:pt>
                <c:pt idx="349">
                  <c:v>43668.666666666599</c:v>
                </c:pt>
                <c:pt idx="350">
                  <c:v>43669.666666666599</c:v>
                </c:pt>
                <c:pt idx="351">
                  <c:v>43670.666666666599</c:v>
                </c:pt>
                <c:pt idx="352">
                  <c:v>43671.666666666599</c:v>
                </c:pt>
                <c:pt idx="353">
                  <c:v>43672.666666666599</c:v>
                </c:pt>
                <c:pt idx="354">
                  <c:v>43675.666666666599</c:v>
                </c:pt>
                <c:pt idx="355">
                  <c:v>43676.666666666599</c:v>
                </c:pt>
                <c:pt idx="356">
                  <c:v>43677.666666666599</c:v>
                </c:pt>
                <c:pt idx="357">
                  <c:v>43678.666666666599</c:v>
                </c:pt>
                <c:pt idx="358">
                  <c:v>43679.666666666599</c:v>
                </c:pt>
                <c:pt idx="359">
                  <c:v>43682.666666666599</c:v>
                </c:pt>
                <c:pt idx="360">
                  <c:v>43683.666666666599</c:v>
                </c:pt>
                <c:pt idx="361">
                  <c:v>43684.666666666599</c:v>
                </c:pt>
                <c:pt idx="362">
                  <c:v>43685.666666666599</c:v>
                </c:pt>
                <c:pt idx="363">
                  <c:v>43686.666666666599</c:v>
                </c:pt>
                <c:pt idx="364">
                  <c:v>43689.666666666599</c:v>
                </c:pt>
                <c:pt idx="365">
                  <c:v>43690.666666666599</c:v>
                </c:pt>
                <c:pt idx="366">
                  <c:v>43691.666666666599</c:v>
                </c:pt>
                <c:pt idx="367">
                  <c:v>43692.666666666599</c:v>
                </c:pt>
                <c:pt idx="368">
                  <c:v>43693.666666666599</c:v>
                </c:pt>
                <c:pt idx="369">
                  <c:v>43696.666666666599</c:v>
                </c:pt>
                <c:pt idx="370">
                  <c:v>43697.666666666599</c:v>
                </c:pt>
                <c:pt idx="371">
                  <c:v>43698.666666666599</c:v>
                </c:pt>
                <c:pt idx="372">
                  <c:v>43699.666666666599</c:v>
                </c:pt>
                <c:pt idx="373">
                  <c:v>43700.666666666599</c:v>
                </c:pt>
                <c:pt idx="374">
                  <c:v>43703.666666666599</c:v>
                </c:pt>
                <c:pt idx="375">
                  <c:v>43704.666666666599</c:v>
                </c:pt>
                <c:pt idx="376">
                  <c:v>43705.666666666599</c:v>
                </c:pt>
                <c:pt idx="377">
                  <c:v>43706.666666666599</c:v>
                </c:pt>
                <c:pt idx="378">
                  <c:v>43707.666666666599</c:v>
                </c:pt>
                <c:pt idx="379">
                  <c:v>43711.666666666599</c:v>
                </c:pt>
                <c:pt idx="380">
                  <c:v>43712.666666666599</c:v>
                </c:pt>
                <c:pt idx="381">
                  <c:v>43713.666666666599</c:v>
                </c:pt>
                <c:pt idx="382">
                  <c:v>43714.666666666599</c:v>
                </c:pt>
                <c:pt idx="383">
                  <c:v>43717.666666666599</c:v>
                </c:pt>
                <c:pt idx="384">
                  <c:v>43718.666666666599</c:v>
                </c:pt>
                <c:pt idx="385">
                  <c:v>43719.666666666599</c:v>
                </c:pt>
                <c:pt idx="386">
                  <c:v>43720.666666666599</c:v>
                </c:pt>
                <c:pt idx="387">
                  <c:v>43721.666666666599</c:v>
                </c:pt>
                <c:pt idx="388">
                  <c:v>43724.666666666599</c:v>
                </c:pt>
                <c:pt idx="389">
                  <c:v>43725.666666666599</c:v>
                </c:pt>
                <c:pt idx="390">
                  <c:v>43726.666666666599</c:v>
                </c:pt>
                <c:pt idx="391">
                  <c:v>43727.666666666599</c:v>
                </c:pt>
                <c:pt idx="392">
                  <c:v>43728.666666666599</c:v>
                </c:pt>
                <c:pt idx="393">
                  <c:v>43731.666666666599</c:v>
                </c:pt>
                <c:pt idx="394">
                  <c:v>43732.666666666599</c:v>
                </c:pt>
                <c:pt idx="395">
                  <c:v>43733.666666666599</c:v>
                </c:pt>
                <c:pt idx="396">
                  <c:v>43734.666666666599</c:v>
                </c:pt>
                <c:pt idx="397">
                  <c:v>43735.666666666599</c:v>
                </c:pt>
                <c:pt idx="398">
                  <c:v>43738.666666666599</c:v>
                </c:pt>
                <c:pt idx="399">
                  <c:v>43739.666666666599</c:v>
                </c:pt>
                <c:pt idx="400">
                  <c:v>43740.666666666599</c:v>
                </c:pt>
                <c:pt idx="401">
                  <c:v>43741.666666666599</c:v>
                </c:pt>
                <c:pt idx="402">
                  <c:v>43742.666666666599</c:v>
                </c:pt>
                <c:pt idx="403">
                  <c:v>43745.666666666599</c:v>
                </c:pt>
                <c:pt idx="404">
                  <c:v>43746.666666666599</c:v>
                </c:pt>
                <c:pt idx="405">
                  <c:v>43747.666666666599</c:v>
                </c:pt>
                <c:pt idx="406">
                  <c:v>43748.666666666599</c:v>
                </c:pt>
                <c:pt idx="407">
                  <c:v>43749.666666666599</c:v>
                </c:pt>
                <c:pt idx="408">
                  <c:v>43752.666666666599</c:v>
                </c:pt>
                <c:pt idx="409">
                  <c:v>43753.666666666599</c:v>
                </c:pt>
                <c:pt idx="410">
                  <c:v>43754.666666666599</c:v>
                </c:pt>
                <c:pt idx="411">
                  <c:v>43755.666666666599</c:v>
                </c:pt>
                <c:pt idx="412">
                  <c:v>43756.666666666599</c:v>
                </c:pt>
                <c:pt idx="413">
                  <c:v>43759.666666666599</c:v>
                </c:pt>
                <c:pt idx="414">
                  <c:v>43760.666666666599</c:v>
                </c:pt>
                <c:pt idx="415">
                  <c:v>43761.666666666599</c:v>
                </c:pt>
                <c:pt idx="416">
                  <c:v>43762.666666666599</c:v>
                </c:pt>
                <c:pt idx="417">
                  <c:v>43763.666666666599</c:v>
                </c:pt>
                <c:pt idx="418">
                  <c:v>43766.666666666599</c:v>
                </c:pt>
                <c:pt idx="419">
                  <c:v>43767.666666666599</c:v>
                </c:pt>
                <c:pt idx="420">
                  <c:v>43768.666666666599</c:v>
                </c:pt>
                <c:pt idx="421">
                  <c:v>43769.666666666599</c:v>
                </c:pt>
                <c:pt idx="422">
                  <c:v>43770.666666666599</c:v>
                </c:pt>
                <c:pt idx="423">
                  <c:v>43773.666666666599</c:v>
                </c:pt>
                <c:pt idx="424">
                  <c:v>43774.666666666599</c:v>
                </c:pt>
                <c:pt idx="425">
                  <c:v>43775.666666666599</c:v>
                </c:pt>
                <c:pt idx="426">
                  <c:v>43776.666666666599</c:v>
                </c:pt>
                <c:pt idx="427">
                  <c:v>43777.666666666599</c:v>
                </c:pt>
                <c:pt idx="428">
                  <c:v>43780.666666666599</c:v>
                </c:pt>
                <c:pt idx="429">
                  <c:v>43781.666666666599</c:v>
                </c:pt>
                <c:pt idx="430">
                  <c:v>43782.666666666599</c:v>
                </c:pt>
                <c:pt idx="431">
                  <c:v>43783.666666666599</c:v>
                </c:pt>
                <c:pt idx="432">
                  <c:v>43784.666666666599</c:v>
                </c:pt>
                <c:pt idx="433">
                  <c:v>43787.666666666599</c:v>
                </c:pt>
                <c:pt idx="434">
                  <c:v>43788.666666666599</c:v>
                </c:pt>
                <c:pt idx="435">
                  <c:v>43789.666666666599</c:v>
                </c:pt>
                <c:pt idx="436">
                  <c:v>43790.666666666599</c:v>
                </c:pt>
                <c:pt idx="437">
                  <c:v>43791.666666666599</c:v>
                </c:pt>
                <c:pt idx="438">
                  <c:v>43794.666666666599</c:v>
                </c:pt>
                <c:pt idx="439">
                  <c:v>43795.666666666599</c:v>
                </c:pt>
                <c:pt idx="440">
                  <c:v>43796.666666666599</c:v>
                </c:pt>
                <c:pt idx="441">
                  <c:v>43798.541666666599</c:v>
                </c:pt>
                <c:pt idx="442">
                  <c:v>43801.666666666599</c:v>
                </c:pt>
                <c:pt idx="443">
                  <c:v>43802.666666666599</c:v>
                </c:pt>
                <c:pt idx="444">
                  <c:v>43803.666666666599</c:v>
                </c:pt>
                <c:pt idx="445">
                  <c:v>43804.666666666599</c:v>
                </c:pt>
                <c:pt idx="446">
                  <c:v>43805.666666666599</c:v>
                </c:pt>
                <c:pt idx="447">
                  <c:v>43808.666666666599</c:v>
                </c:pt>
                <c:pt idx="448">
                  <c:v>43809.666666666599</c:v>
                </c:pt>
                <c:pt idx="449">
                  <c:v>43810.666666666599</c:v>
                </c:pt>
                <c:pt idx="450">
                  <c:v>43811.666666666599</c:v>
                </c:pt>
                <c:pt idx="451">
                  <c:v>43812.666666666599</c:v>
                </c:pt>
                <c:pt idx="452">
                  <c:v>43815.666666666599</c:v>
                </c:pt>
                <c:pt idx="453">
                  <c:v>43816.666666666599</c:v>
                </c:pt>
                <c:pt idx="454">
                  <c:v>43817.666666666599</c:v>
                </c:pt>
                <c:pt idx="455">
                  <c:v>43818.666666666599</c:v>
                </c:pt>
                <c:pt idx="456">
                  <c:v>43819.666666666599</c:v>
                </c:pt>
                <c:pt idx="457">
                  <c:v>43822.666666666599</c:v>
                </c:pt>
                <c:pt idx="458">
                  <c:v>43823.541666666599</c:v>
                </c:pt>
                <c:pt idx="459">
                  <c:v>43825.666666666599</c:v>
                </c:pt>
                <c:pt idx="460">
                  <c:v>43826.666666666599</c:v>
                </c:pt>
                <c:pt idx="461">
                  <c:v>43829.666666666599</c:v>
                </c:pt>
                <c:pt idx="462">
                  <c:v>43830.666666666599</c:v>
                </c:pt>
                <c:pt idx="463">
                  <c:v>43832.666666666599</c:v>
                </c:pt>
                <c:pt idx="464">
                  <c:v>43833.666666666599</c:v>
                </c:pt>
                <c:pt idx="465">
                  <c:v>43836.666666666599</c:v>
                </c:pt>
                <c:pt idx="466">
                  <c:v>43837.666666666599</c:v>
                </c:pt>
                <c:pt idx="467">
                  <c:v>43838.666666666599</c:v>
                </c:pt>
                <c:pt idx="468">
                  <c:v>43839.666666666599</c:v>
                </c:pt>
                <c:pt idx="469">
                  <c:v>43840.666666666599</c:v>
                </c:pt>
                <c:pt idx="470">
                  <c:v>43843.666666666599</c:v>
                </c:pt>
                <c:pt idx="471">
                  <c:v>43844.666666666599</c:v>
                </c:pt>
                <c:pt idx="472">
                  <c:v>43845.666666666599</c:v>
                </c:pt>
                <c:pt idx="473">
                  <c:v>43846.666666666599</c:v>
                </c:pt>
                <c:pt idx="474">
                  <c:v>43847.666666666599</c:v>
                </c:pt>
                <c:pt idx="475">
                  <c:v>43851.666666666599</c:v>
                </c:pt>
                <c:pt idx="476">
                  <c:v>43852.666666666599</c:v>
                </c:pt>
                <c:pt idx="477">
                  <c:v>43853.666666666599</c:v>
                </c:pt>
                <c:pt idx="478">
                  <c:v>43854.666666666599</c:v>
                </c:pt>
                <c:pt idx="479">
                  <c:v>43857.666666666599</c:v>
                </c:pt>
                <c:pt idx="480">
                  <c:v>43858.666666666599</c:v>
                </c:pt>
                <c:pt idx="481">
                  <c:v>43859.666666666599</c:v>
                </c:pt>
                <c:pt idx="482">
                  <c:v>43860.666666666599</c:v>
                </c:pt>
                <c:pt idx="483">
                  <c:v>43861.666666666599</c:v>
                </c:pt>
                <c:pt idx="484">
                  <c:v>43864.666666666599</c:v>
                </c:pt>
                <c:pt idx="485">
                  <c:v>43865.666666666599</c:v>
                </c:pt>
                <c:pt idx="486">
                  <c:v>43866.666666666599</c:v>
                </c:pt>
                <c:pt idx="487">
                  <c:v>43867.666666666599</c:v>
                </c:pt>
                <c:pt idx="488">
                  <c:v>43868.666666666599</c:v>
                </c:pt>
                <c:pt idx="489">
                  <c:v>43871.666666666599</c:v>
                </c:pt>
                <c:pt idx="490">
                  <c:v>43872.666666666599</c:v>
                </c:pt>
                <c:pt idx="491">
                  <c:v>43873.666666666599</c:v>
                </c:pt>
                <c:pt idx="492">
                  <c:v>43874.666666666599</c:v>
                </c:pt>
                <c:pt idx="493">
                  <c:v>43875.666666666599</c:v>
                </c:pt>
                <c:pt idx="494">
                  <c:v>43879.666666666599</c:v>
                </c:pt>
                <c:pt idx="495">
                  <c:v>43880.666666666599</c:v>
                </c:pt>
                <c:pt idx="496">
                  <c:v>43881.666666666599</c:v>
                </c:pt>
                <c:pt idx="497">
                  <c:v>43882.666666666599</c:v>
                </c:pt>
                <c:pt idx="498">
                  <c:v>43885.666666666599</c:v>
                </c:pt>
                <c:pt idx="499">
                  <c:v>43886.666666666599</c:v>
                </c:pt>
                <c:pt idx="500">
                  <c:v>43887.666666666599</c:v>
                </c:pt>
                <c:pt idx="501">
                  <c:v>43888.666666666599</c:v>
                </c:pt>
                <c:pt idx="502">
                  <c:v>43889.666666666599</c:v>
                </c:pt>
                <c:pt idx="503">
                  <c:v>43892.666666666599</c:v>
                </c:pt>
                <c:pt idx="504">
                  <c:v>43893.666666666599</c:v>
                </c:pt>
                <c:pt idx="505">
                  <c:v>43894.666666666599</c:v>
                </c:pt>
                <c:pt idx="506">
                  <c:v>43895.666666666599</c:v>
                </c:pt>
                <c:pt idx="507">
                  <c:v>43896.666666666599</c:v>
                </c:pt>
                <c:pt idx="508">
                  <c:v>43899.666666666599</c:v>
                </c:pt>
                <c:pt idx="509">
                  <c:v>43900.666666666599</c:v>
                </c:pt>
                <c:pt idx="510">
                  <c:v>43901.666666666599</c:v>
                </c:pt>
                <c:pt idx="511">
                  <c:v>43902.666666666599</c:v>
                </c:pt>
                <c:pt idx="512">
                  <c:v>43903.666666666599</c:v>
                </c:pt>
                <c:pt idx="513">
                  <c:v>43906.666666666599</c:v>
                </c:pt>
                <c:pt idx="514">
                  <c:v>43907.666666666599</c:v>
                </c:pt>
                <c:pt idx="515">
                  <c:v>43908.666666666599</c:v>
                </c:pt>
                <c:pt idx="516">
                  <c:v>43909.666666666599</c:v>
                </c:pt>
                <c:pt idx="517">
                  <c:v>43910.666666666599</c:v>
                </c:pt>
                <c:pt idx="518">
                  <c:v>43913.666666666599</c:v>
                </c:pt>
                <c:pt idx="519">
                  <c:v>43914.666666666599</c:v>
                </c:pt>
                <c:pt idx="520">
                  <c:v>43915.666666666599</c:v>
                </c:pt>
                <c:pt idx="521">
                  <c:v>43916.666666666599</c:v>
                </c:pt>
                <c:pt idx="522">
                  <c:v>43917.666666666599</c:v>
                </c:pt>
                <c:pt idx="523">
                  <c:v>43920.666666666599</c:v>
                </c:pt>
                <c:pt idx="524">
                  <c:v>43921.666666666599</c:v>
                </c:pt>
                <c:pt idx="525">
                  <c:v>43922.666666666599</c:v>
                </c:pt>
                <c:pt idx="526">
                  <c:v>43923.666666666599</c:v>
                </c:pt>
                <c:pt idx="527">
                  <c:v>43924.666666666599</c:v>
                </c:pt>
                <c:pt idx="528">
                  <c:v>43927.666666666599</c:v>
                </c:pt>
                <c:pt idx="529">
                  <c:v>43928.666666666599</c:v>
                </c:pt>
                <c:pt idx="530">
                  <c:v>43929.666666666599</c:v>
                </c:pt>
                <c:pt idx="531">
                  <c:v>43930.666666666599</c:v>
                </c:pt>
                <c:pt idx="532">
                  <c:v>43934.666666666599</c:v>
                </c:pt>
                <c:pt idx="533">
                  <c:v>43935.666666666599</c:v>
                </c:pt>
                <c:pt idx="534">
                  <c:v>43936.666666666599</c:v>
                </c:pt>
                <c:pt idx="535">
                  <c:v>43937.666666666599</c:v>
                </c:pt>
                <c:pt idx="536">
                  <c:v>43938.666666666599</c:v>
                </c:pt>
                <c:pt idx="537">
                  <c:v>43941.666666666599</c:v>
                </c:pt>
                <c:pt idx="538">
                  <c:v>43942.666666666599</c:v>
                </c:pt>
                <c:pt idx="539">
                  <c:v>43943.666666666599</c:v>
                </c:pt>
                <c:pt idx="540">
                  <c:v>43944.666666666599</c:v>
                </c:pt>
                <c:pt idx="541">
                  <c:v>43945.666666666599</c:v>
                </c:pt>
                <c:pt idx="542">
                  <c:v>43948.666666666599</c:v>
                </c:pt>
                <c:pt idx="543">
                  <c:v>43949.666666666599</c:v>
                </c:pt>
                <c:pt idx="544">
                  <c:v>43950.666666666599</c:v>
                </c:pt>
                <c:pt idx="545">
                  <c:v>43951.666666666599</c:v>
                </c:pt>
                <c:pt idx="546">
                  <c:v>43952.666666666599</c:v>
                </c:pt>
                <c:pt idx="547">
                  <c:v>43955.666666666599</c:v>
                </c:pt>
                <c:pt idx="548">
                  <c:v>43956.666666666599</c:v>
                </c:pt>
                <c:pt idx="549">
                  <c:v>43957.666666666599</c:v>
                </c:pt>
                <c:pt idx="550">
                  <c:v>43958.666666666599</c:v>
                </c:pt>
                <c:pt idx="551">
                  <c:v>43959.666666666599</c:v>
                </c:pt>
                <c:pt idx="552">
                  <c:v>43962.666666666599</c:v>
                </c:pt>
                <c:pt idx="553">
                  <c:v>43963.666666666599</c:v>
                </c:pt>
                <c:pt idx="554">
                  <c:v>43964.666666666599</c:v>
                </c:pt>
                <c:pt idx="555">
                  <c:v>43965.666666666599</c:v>
                </c:pt>
                <c:pt idx="556">
                  <c:v>43966.666666666599</c:v>
                </c:pt>
                <c:pt idx="557">
                  <c:v>43969.666666666599</c:v>
                </c:pt>
                <c:pt idx="558">
                  <c:v>43970.666666666599</c:v>
                </c:pt>
                <c:pt idx="559">
                  <c:v>43971.666666666599</c:v>
                </c:pt>
                <c:pt idx="560">
                  <c:v>43972.666666666599</c:v>
                </c:pt>
                <c:pt idx="561">
                  <c:v>43973.666666666599</c:v>
                </c:pt>
                <c:pt idx="562">
                  <c:v>43977.666666666599</c:v>
                </c:pt>
                <c:pt idx="563">
                  <c:v>43978.666666666599</c:v>
                </c:pt>
                <c:pt idx="564">
                  <c:v>43979.666666666599</c:v>
                </c:pt>
                <c:pt idx="565">
                  <c:v>43980.666666666599</c:v>
                </c:pt>
                <c:pt idx="566">
                  <c:v>43983.666666666599</c:v>
                </c:pt>
                <c:pt idx="567">
                  <c:v>43984.666666666599</c:v>
                </c:pt>
                <c:pt idx="568">
                  <c:v>43985.666666666599</c:v>
                </c:pt>
                <c:pt idx="569">
                  <c:v>43986.666666666599</c:v>
                </c:pt>
                <c:pt idx="570">
                  <c:v>43987.666666666599</c:v>
                </c:pt>
                <c:pt idx="571">
                  <c:v>43990.666666666599</c:v>
                </c:pt>
                <c:pt idx="572">
                  <c:v>43991.666666666599</c:v>
                </c:pt>
                <c:pt idx="573">
                  <c:v>43992.666666666599</c:v>
                </c:pt>
                <c:pt idx="574">
                  <c:v>43993.666666666599</c:v>
                </c:pt>
                <c:pt idx="575">
                  <c:v>43994.666666666599</c:v>
                </c:pt>
                <c:pt idx="576">
                  <c:v>43997.666666666599</c:v>
                </c:pt>
                <c:pt idx="577">
                  <c:v>43998.666666666599</c:v>
                </c:pt>
                <c:pt idx="578">
                  <c:v>43999.666666666599</c:v>
                </c:pt>
                <c:pt idx="579">
                  <c:v>44000.666666666599</c:v>
                </c:pt>
                <c:pt idx="580">
                  <c:v>44001.666666666599</c:v>
                </c:pt>
                <c:pt idx="581">
                  <c:v>44004.666666666599</c:v>
                </c:pt>
                <c:pt idx="582">
                  <c:v>44005.666666666599</c:v>
                </c:pt>
                <c:pt idx="583">
                  <c:v>44006.666666666599</c:v>
                </c:pt>
                <c:pt idx="584">
                  <c:v>44007.666666666599</c:v>
                </c:pt>
                <c:pt idx="585">
                  <c:v>44008.666666666599</c:v>
                </c:pt>
                <c:pt idx="586">
                  <c:v>44011.666666666599</c:v>
                </c:pt>
                <c:pt idx="587">
                  <c:v>44012.666666666599</c:v>
                </c:pt>
                <c:pt idx="588">
                  <c:v>44013.666666666599</c:v>
                </c:pt>
                <c:pt idx="589">
                  <c:v>44014.666666666599</c:v>
                </c:pt>
                <c:pt idx="590">
                  <c:v>44018.666666666599</c:v>
                </c:pt>
                <c:pt idx="591">
                  <c:v>44019.666666666599</c:v>
                </c:pt>
                <c:pt idx="592">
                  <c:v>44020.666666666599</c:v>
                </c:pt>
                <c:pt idx="593">
                  <c:v>44021.666666666599</c:v>
                </c:pt>
                <c:pt idx="594">
                  <c:v>44022.666666666599</c:v>
                </c:pt>
                <c:pt idx="595">
                  <c:v>44025.666666666599</c:v>
                </c:pt>
                <c:pt idx="596">
                  <c:v>44026.666666666599</c:v>
                </c:pt>
                <c:pt idx="597">
                  <c:v>44027.666666666599</c:v>
                </c:pt>
                <c:pt idx="598">
                  <c:v>44028.666666666599</c:v>
                </c:pt>
                <c:pt idx="599">
                  <c:v>44029.666666666599</c:v>
                </c:pt>
                <c:pt idx="600">
                  <c:v>44032.666666666599</c:v>
                </c:pt>
                <c:pt idx="601">
                  <c:v>44033.666666666599</c:v>
                </c:pt>
                <c:pt idx="602">
                  <c:v>44034.666666666599</c:v>
                </c:pt>
                <c:pt idx="603">
                  <c:v>44035.666666666599</c:v>
                </c:pt>
                <c:pt idx="604">
                  <c:v>44036.666666666599</c:v>
                </c:pt>
                <c:pt idx="605">
                  <c:v>44039.666666666599</c:v>
                </c:pt>
                <c:pt idx="606">
                  <c:v>44040.666666666599</c:v>
                </c:pt>
                <c:pt idx="607">
                  <c:v>44041.666666666599</c:v>
                </c:pt>
                <c:pt idx="608">
                  <c:v>44042.666666666599</c:v>
                </c:pt>
                <c:pt idx="609">
                  <c:v>44043.666666666599</c:v>
                </c:pt>
                <c:pt idx="610">
                  <c:v>44046.666666666599</c:v>
                </c:pt>
                <c:pt idx="611">
                  <c:v>44047.666666666599</c:v>
                </c:pt>
                <c:pt idx="612">
                  <c:v>44048.666666666599</c:v>
                </c:pt>
                <c:pt idx="613">
                  <c:v>44049.666666666599</c:v>
                </c:pt>
                <c:pt idx="614">
                  <c:v>44050.666666666599</c:v>
                </c:pt>
                <c:pt idx="615">
                  <c:v>44053.666666666599</c:v>
                </c:pt>
                <c:pt idx="616">
                  <c:v>44054.666666666599</c:v>
                </c:pt>
                <c:pt idx="617">
                  <c:v>44055.666666666599</c:v>
                </c:pt>
                <c:pt idx="618">
                  <c:v>44056.666666666599</c:v>
                </c:pt>
                <c:pt idx="619">
                  <c:v>44057.666666666599</c:v>
                </c:pt>
                <c:pt idx="620">
                  <c:v>44060.666666666599</c:v>
                </c:pt>
                <c:pt idx="621">
                  <c:v>44061.666666666599</c:v>
                </c:pt>
                <c:pt idx="622">
                  <c:v>44062.666666666599</c:v>
                </c:pt>
                <c:pt idx="623">
                  <c:v>44063.666666666599</c:v>
                </c:pt>
                <c:pt idx="624">
                  <c:v>44064.666666666599</c:v>
                </c:pt>
                <c:pt idx="625">
                  <c:v>44067.666666666599</c:v>
                </c:pt>
                <c:pt idx="626">
                  <c:v>44068.666666666599</c:v>
                </c:pt>
                <c:pt idx="627">
                  <c:v>44069.666666666599</c:v>
                </c:pt>
                <c:pt idx="628">
                  <c:v>44070.666666666599</c:v>
                </c:pt>
                <c:pt idx="629">
                  <c:v>44071.666666666599</c:v>
                </c:pt>
                <c:pt idx="630">
                  <c:v>44074.666666666599</c:v>
                </c:pt>
                <c:pt idx="631">
                  <c:v>44075.666666666599</c:v>
                </c:pt>
                <c:pt idx="632">
                  <c:v>44076.666666666599</c:v>
                </c:pt>
                <c:pt idx="633">
                  <c:v>44077.666666666599</c:v>
                </c:pt>
                <c:pt idx="634">
                  <c:v>44078.666666666599</c:v>
                </c:pt>
                <c:pt idx="635">
                  <c:v>44082.666666666599</c:v>
                </c:pt>
                <c:pt idx="636">
                  <c:v>44083.666666666599</c:v>
                </c:pt>
                <c:pt idx="637">
                  <c:v>44084.666666666599</c:v>
                </c:pt>
                <c:pt idx="638">
                  <c:v>44085.666666666599</c:v>
                </c:pt>
                <c:pt idx="639">
                  <c:v>44088.666666666599</c:v>
                </c:pt>
                <c:pt idx="640">
                  <c:v>44089.666666666599</c:v>
                </c:pt>
                <c:pt idx="641">
                  <c:v>44090.666666666599</c:v>
                </c:pt>
                <c:pt idx="642">
                  <c:v>44091.666666666599</c:v>
                </c:pt>
                <c:pt idx="643">
                  <c:v>44092.666666666599</c:v>
                </c:pt>
                <c:pt idx="644">
                  <c:v>44095.666666666599</c:v>
                </c:pt>
                <c:pt idx="645">
                  <c:v>44096.666666666599</c:v>
                </c:pt>
                <c:pt idx="646">
                  <c:v>44097.666666666599</c:v>
                </c:pt>
                <c:pt idx="647">
                  <c:v>44098.666666666599</c:v>
                </c:pt>
                <c:pt idx="648">
                  <c:v>44099.666666666599</c:v>
                </c:pt>
                <c:pt idx="649">
                  <c:v>44102.666666666599</c:v>
                </c:pt>
                <c:pt idx="650">
                  <c:v>44103.666666666599</c:v>
                </c:pt>
                <c:pt idx="651">
                  <c:v>44104.666666666599</c:v>
                </c:pt>
                <c:pt idx="652">
                  <c:v>44105.666666666599</c:v>
                </c:pt>
                <c:pt idx="653">
                  <c:v>44106.666666666599</c:v>
                </c:pt>
                <c:pt idx="654">
                  <c:v>44109.666666666599</c:v>
                </c:pt>
                <c:pt idx="655">
                  <c:v>44110.666666666599</c:v>
                </c:pt>
                <c:pt idx="656">
                  <c:v>44111.666666666599</c:v>
                </c:pt>
                <c:pt idx="657">
                  <c:v>44112.666666666599</c:v>
                </c:pt>
                <c:pt idx="658">
                  <c:v>44113.666666666599</c:v>
                </c:pt>
                <c:pt idx="659">
                  <c:v>44116.666666666599</c:v>
                </c:pt>
                <c:pt idx="660">
                  <c:v>44117.666666666599</c:v>
                </c:pt>
                <c:pt idx="661">
                  <c:v>44118.666666666599</c:v>
                </c:pt>
                <c:pt idx="662">
                  <c:v>44119.666666666599</c:v>
                </c:pt>
                <c:pt idx="663">
                  <c:v>44120.666666666599</c:v>
                </c:pt>
                <c:pt idx="664">
                  <c:v>44123.666666666599</c:v>
                </c:pt>
                <c:pt idx="665">
                  <c:v>44124.666666666599</c:v>
                </c:pt>
                <c:pt idx="666">
                  <c:v>44125.666666666599</c:v>
                </c:pt>
                <c:pt idx="667">
                  <c:v>44126.666666666599</c:v>
                </c:pt>
                <c:pt idx="668">
                  <c:v>44127.666666666599</c:v>
                </c:pt>
                <c:pt idx="669">
                  <c:v>44130.666666666599</c:v>
                </c:pt>
                <c:pt idx="670">
                  <c:v>44131.666666666599</c:v>
                </c:pt>
                <c:pt idx="671">
                  <c:v>44132.666666666599</c:v>
                </c:pt>
                <c:pt idx="672">
                  <c:v>44133.666666666599</c:v>
                </c:pt>
                <c:pt idx="673">
                  <c:v>44134.666666666599</c:v>
                </c:pt>
                <c:pt idx="674">
                  <c:v>44137.666666666599</c:v>
                </c:pt>
                <c:pt idx="675">
                  <c:v>44138.666666666599</c:v>
                </c:pt>
                <c:pt idx="676">
                  <c:v>44139.666666666599</c:v>
                </c:pt>
                <c:pt idx="677">
                  <c:v>44140.666666666599</c:v>
                </c:pt>
                <c:pt idx="678">
                  <c:v>44141.666666666599</c:v>
                </c:pt>
                <c:pt idx="679">
                  <c:v>44144.666666666599</c:v>
                </c:pt>
                <c:pt idx="680">
                  <c:v>44145.666666666599</c:v>
                </c:pt>
                <c:pt idx="681">
                  <c:v>44146.666666666599</c:v>
                </c:pt>
                <c:pt idx="682">
                  <c:v>44147.666666666599</c:v>
                </c:pt>
                <c:pt idx="683">
                  <c:v>44148.666666666599</c:v>
                </c:pt>
                <c:pt idx="684">
                  <c:v>44151.666666666599</c:v>
                </c:pt>
                <c:pt idx="685">
                  <c:v>44152.666666666599</c:v>
                </c:pt>
                <c:pt idx="686">
                  <c:v>44153.666666666599</c:v>
                </c:pt>
                <c:pt idx="687">
                  <c:v>44154.666666666599</c:v>
                </c:pt>
                <c:pt idx="688">
                  <c:v>44155.666666666599</c:v>
                </c:pt>
                <c:pt idx="689">
                  <c:v>44158.666666666599</c:v>
                </c:pt>
                <c:pt idx="690">
                  <c:v>44159.666666666599</c:v>
                </c:pt>
                <c:pt idx="691">
                  <c:v>44160.666666666599</c:v>
                </c:pt>
                <c:pt idx="692">
                  <c:v>44162.541666666599</c:v>
                </c:pt>
                <c:pt idx="693">
                  <c:v>44165.666666666599</c:v>
                </c:pt>
                <c:pt idx="694">
                  <c:v>44166.666666666599</c:v>
                </c:pt>
                <c:pt idx="695">
                  <c:v>44167.666666666599</c:v>
                </c:pt>
                <c:pt idx="696">
                  <c:v>44168.666666666599</c:v>
                </c:pt>
                <c:pt idx="697">
                  <c:v>44169.666666666599</c:v>
                </c:pt>
                <c:pt idx="698">
                  <c:v>44172.666666666599</c:v>
                </c:pt>
                <c:pt idx="699">
                  <c:v>44173.666666666599</c:v>
                </c:pt>
                <c:pt idx="700">
                  <c:v>44174.666666666599</c:v>
                </c:pt>
                <c:pt idx="701">
                  <c:v>44175.666666666599</c:v>
                </c:pt>
                <c:pt idx="702">
                  <c:v>44176.666666666599</c:v>
                </c:pt>
                <c:pt idx="703">
                  <c:v>44179.666666666599</c:v>
                </c:pt>
                <c:pt idx="704">
                  <c:v>44180.666666666599</c:v>
                </c:pt>
                <c:pt idx="705">
                  <c:v>44181.666666666599</c:v>
                </c:pt>
                <c:pt idx="706">
                  <c:v>44182.666666666599</c:v>
                </c:pt>
                <c:pt idx="707">
                  <c:v>44183.666666666599</c:v>
                </c:pt>
                <c:pt idx="708">
                  <c:v>44186.666666666599</c:v>
                </c:pt>
                <c:pt idx="709">
                  <c:v>44187.666666666599</c:v>
                </c:pt>
                <c:pt idx="710">
                  <c:v>44188.666666666599</c:v>
                </c:pt>
                <c:pt idx="711">
                  <c:v>44189.541666666599</c:v>
                </c:pt>
                <c:pt idx="712">
                  <c:v>44193.666666666599</c:v>
                </c:pt>
                <c:pt idx="713">
                  <c:v>44194.666666666599</c:v>
                </c:pt>
                <c:pt idx="714">
                  <c:v>44195.666666666599</c:v>
                </c:pt>
                <c:pt idx="715">
                  <c:v>44196.666666666599</c:v>
                </c:pt>
                <c:pt idx="716">
                  <c:v>44200.666666666599</c:v>
                </c:pt>
                <c:pt idx="717">
                  <c:v>44201.666666666599</c:v>
                </c:pt>
                <c:pt idx="718">
                  <c:v>44202.666666666599</c:v>
                </c:pt>
                <c:pt idx="719">
                  <c:v>44203.666666666599</c:v>
                </c:pt>
                <c:pt idx="720">
                  <c:v>44204.666666666599</c:v>
                </c:pt>
                <c:pt idx="721">
                  <c:v>44207.666666666599</c:v>
                </c:pt>
                <c:pt idx="722">
                  <c:v>44208.666666666599</c:v>
                </c:pt>
                <c:pt idx="723">
                  <c:v>44209.666666666599</c:v>
                </c:pt>
                <c:pt idx="724">
                  <c:v>44210.666666666599</c:v>
                </c:pt>
                <c:pt idx="725">
                  <c:v>44211.666666666599</c:v>
                </c:pt>
                <c:pt idx="726">
                  <c:v>44215.666666666599</c:v>
                </c:pt>
                <c:pt idx="727">
                  <c:v>44216.666666666599</c:v>
                </c:pt>
                <c:pt idx="728">
                  <c:v>44217.666666666599</c:v>
                </c:pt>
                <c:pt idx="729">
                  <c:v>44218.666666666599</c:v>
                </c:pt>
                <c:pt idx="730">
                  <c:v>44221.666666666599</c:v>
                </c:pt>
                <c:pt idx="731">
                  <c:v>44222.666666666599</c:v>
                </c:pt>
                <c:pt idx="732">
                  <c:v>44223.666666666599</c:v>
                </c:pt>
                <c:pt idx="733">
                  <c:v>44224.666666666599</c:v>
                </c:pt>
                <c:pt idx="734">
                  <c:v>44225.666666666599</c:v>
                </c:pt>
                <c:pt idx="735">
                  <c:v>44228.666666666599</c:v>
                </c:pt>
                <c:pt idx="736">
                  <c:v>44229.666666666599</c:v>
                </c:pt>
                <c:pt idx="737">
                  <c:v>44230.666666666599</c:v>
                </c:pt>
                <c:pt idx="738">
                  <c:v>44231.666666666599</c:v>
                </c:pt>
                <c:pt idx="739">
                  <c:v>44232.666666666599</c:v>
                </c:pt>
                <c:pt idx="740">
                  <c:v>44235.666666666599</c:v>
                </c:pt>
                <c:pt idx="741">
                  <c:v>44236.666666666599</c:v>
                </c:pt>
                <c:pt idx="742">
                  <c:v>44237.666666666599</c:v>
                </c:pt>
                <c:pt idx="743">
                  <c:v>44238.666666666599</c:v>
                </c:pt>
                <c:pt idx="744">
                  <c:v>44239.666666666599</c:v>
                </c:pt>
                <c:pt idx="745">
                  <c:v>44243.666666666599</c:v>
                </c:pt>
                <c:pt idx="746">
                  <c:v>44244.666666666599</c:v>
                </c:pt>
                <c:pt idx="747">
                  <c:v>44245.666666666599</c:v>
                </c:pt>
                <c:pt idx="748">
                  <c:v>44246.666666666599</c:v>
                </c:pt>
                <c:pt idx="749">
                  <c:v>44249.666666666599</c:v>
                </c:pt>
                <c:pt idx="750">
                  <c:v>44250.666666666599</c:v>
                </c:pt>
                <c:pt idx="751">
                  <c:v>44251.666666666599</c:v>
                </c:pt>
                <c:pt idx="752">
                  <c:v>44252.666666666599</c:v>
                </c:pt>
                <c:pt idx="753">
                  <c:v>44253.666666666599</c:v>
                </c:pt>
                <c:pt idx="754">
                  <c:v>44256.666666666599</c:v>
                </c:pt>
                <c:pt idx="755">
                  <c:v>44257.666666666599</c:v>
                </c:pt>
                <c:pt idx="756">
                  <c:v>44258.666666666599</c:v>
                </c:pt>
                <c:pt idx="757">
                  <c:v>44259.666666666599</c:v>
                </c:pt>
                <c:pt idx="758">
                  <c:v>44260.666666666599</c:v>
                </c:pt>
                <c:pt idx="759">
                  <c:v>44263.666666666599</c:v>
                </c:pt>
                <c:pt idx="760">
                  <c:v>44264.666666666599</c:v>
                </c:pt>
                <c:pt idx="761">
                  <c:v>44265.666666666599</c:v>
                </c:pt>
                <c:pt idx="762">
                  <c:v>44266.666666666599</c:v>
                </c:pt>
                <c:pt idx="763">
                  <c:v>44267.666666666599</c:v>
                </c:pt>
                <c:pt idx="764">
                  <c:v>44270.666666666599</c:v>
                </c:pt>
                <c:pt idx="765">
                  <c:v>44271.666666666599</c:v>
                </c:pt>
                <c:pt idx="766">
                  <c:v>44272.666666666599</c:v>
                </c:pt>
                <c:pt idx="767">
                  <c:v>44273.666666666599</c:v>
                </c:pt>
                <c:pt idx="768">
                  <c:v>44274.666666666599</c:v>
                </c:pt>
                <c:pt idx="769">
                  <c:v>44277.666666666599</c:v>
                </c:pt>
                <c:pt idx="770">
                  <c:v>44278.666666666599</c:v>
                </c:pt>
                <c:pt idx="771">
                  <c:v>44279.666666666599</c:v>
                </c:pt>
                <c:pt idx="772">
                  <c:v>44280.666666666599</c:v>
                </c:pt>
                <c:pt idx="773">
                  <c:v>44281.666666666599</c:v>
                </c:pt>
                <c:pt idx="774">
                  <c:v>44284.666666666599</c:v>
                </c:pt>
                <c:pt idx="775">
                  <c:v>44285.666666666599</c:v>
                </c:pt>
                <c:pt idx="776">
                  <c:v>44286.666666666599</c:v>
                </c:pt>
                <c:pt idx="777">
                  <c:v>44287.666666666599</c:v>
                </c:pt>
                <c:pt idx="778">
                  <c:v>44291.666666666599</c:v>
                </c:pt>
                <c:pt idx="779">
                  <c:v>44292.666666666599</c:v>
                </c:pt>
                <c:pt idx="780">
                  <c:v>44293.666666666599</c:v>
                </c:pt>
                <c:pt idx="781">
                  <c:v>44294.666666666599</c:v>
                </c:pt>
                <c:pt idx="782">
                  <c:v>44295.666666666599</c:v>
                </c:pt>
                <c:pt idx="783">
                  <c:v>44298.666666666599</c:v>
                </c:pt>
                <c:pt idx="784">
                  <c:v>44299.666666666599</c:v>
                </c:pt>
                <c:pt idx="785">
                  <c:v>44300.666666666599</c:v>
                </c:pt>
                <c:pt idx="786">
                  <c:v>44301.666666666599</c:v>
                </c:pt>
                <c:pt idx="787">
                  <c:v>44302.666666666599</c:v>
                </c:pt>
                <c:pt idx="788">
                  <c:v>44305.666666666599</c:v>
                </c:pt>
                <c:pt idx="789">
                  <c:v>44306.666666666599</c:v>
                </c:pt>
                <c:pt idx="790">
                  <c:v>44307.666666666599</c:v>
                </c:pt>
                <c:pt idx="791">
                  <c:v>44308.666666666599</c:v>
                </c:pt>
                <c:pt idx="792">
                  <c:v>44309.666666666599</c:v>
                </c:pt>
                <c:pt idx="793">
                  <c:v>44312.666666666599</c:v>
                </c:pt>
                <c:pt idx="794">
                  <c:v>44313.666666666599</c:v>
                </c:pt>
                <c:pt idx="795">
                  <c:v>44314.666666666599</c:v>
                </c:pt>
                <c:pt idx="796">
                  <c:v>44315.666666666599</c:v>
                </c:pt>
                <c:pt idx="797">
                  <c:v>44316.666666666599</c:v>
                </c:pt>
                <c:pt idx="798">
                  <c:v>44319.666666666599</c:v>
                </c:pt>
                <c:pt idx="799">
                  <c:v>44320.666666666599</c:v>
                </c:pt>
                <c:pt idx="800">
                  <c:v>44321.666666666599</c:v>
                </c:pt>
                <c:pt idx="801">
                  <c:v>44322.666666666599</c:v>
                </c:pt>
                <c:pt idx="802">
                  <c:v>44323.666666666599</c:v>
                </c:pt>
                <c:pt idx="803">
                  <c:v>44326.666666666599</c:v>
                </c:pt>
                <c:pt idx="804">
                  <c:v>44327.666666666599</c:v>
                </c:pt>
                <c:pt idx="805">
                  <c:v>44328.666666666599</c:v>
                </c:pt>
                <c:pt idx="806">
                  <c:v>44329.666666666599</c:v>
                </c:pt>
                <c:pt idx="807">
                  <c:v>44330.666666666599</c:v>
                </c:pt>
                <c:pt idx="808">
                  <c:v>44333.666666666599</c:v>
                </c:pt>
                <c:pt idx="809">
                  <c:v>44334.666666666599</c:v>
                </c:pt>
                <c:pt idx="810">
                  <c:v>44335.666666666599</c:v>
                </c:pt>
                <c:pt idx="811">
                  <c:v>44336.666666666599</c:v>
                </c:pt>
                <c:pt idx="812">
                  <c:v>44337.666666666599</c:v>
                </c:pt>
                <c:pt idx="813">
                  <c:v>44340.666666666599</c:v>
                </c:pt>
                <c:pt idx="814">
                  <c:v>44341.666666666599</c:v>
                </c:pt>
                <c:pt idx="815">
                  <c:v>44342.666666666599</c:v>
                </c:pt>
                <c:pt idx="816">
                  <c:v>44343.666666666599</c:v>
                </c:pt>
                <c:pt idx="817">
                  <c:v>44344.666666666599</c:v>
                </c:pt>
                <c:pt idx="818">
                  <c:v>44348.666666666599</c:v>
                </c:pt>
                <c:pt idx="819">
                  <c:v>44349.666666666599</c:v>
                </c:pt>
                <c:pt idx="820">
                  <c:v>44350.666666666599</c:v>
                </c:pt>
                <c:pt idx="821">
                  <c:v>44351.666666666599</c:v>
                </c:pt>
                <c:pt idx="822">
                  <c:v>44354.666666666599</c:v>
                </c:pt>
                <c:pt idx="823">
                  <c:v>44355.666666666599</c:v>
                </c:pt>
                <c:pt idx="824">
                  <c:v>44356.666666666599</c:v>
                </c:pt>
                <c:pt idx="825">
                  <c:v>44357.666666666599</c:v>
                </c:pt>
                <c:pt idx="826">
                  <c:v>44358.666666666599</c:v>
                </c:pt>
                <c:pt idx="827">
                  <c:v>44361.666666666599</c:v>
                </c:pt>
                <c:pt idx="828">
                  <c:v>44362.666666666599</c:v>
                </c:pt>
                <c:pt idx="829">
                  <c:v>44363.666666666599</c:v>
                </c:pt>
                <c:pt idx="830">
                  <c:v>44364.666666666599</c:v>
                </c:pt>
                <c:pt idx="831">
                  <c:v>44365.666666666599</c:v>
                </c:pt>
                <c:pt idx="832">
                  <c:v>44368.666666666599</c:v>
                </c:pt>
                <c:pt idx="833">
                  <c:v>44369.666666666599</c:v>
                </c:pt>
                <c:pt idx="834">
                  <c:v>44370.666666666599</c:v>
                </c:pt>
                <c:pt idx="835">
                  <c:v>44371.666666666599</c:v>
                </c:pt>
                <c:pt idx="836">
                  <c:v>44372.666666666599</c:v>
                </c:pt>
                <c:pt idx="837">
                  <c:v>44375.666666666599</c:v>
                </c:pt>
                <c:pt idx="838">
                  <c:v>44376.666666666599</c:v>
                </c:pt>
                <c:pt idx="839">
                  <c:v>44377.666666666599</c:v>
                </c:pt>
                <c:pt idx="840">
                  <c:v>44378.666666666599</c:v>
                </c:pt>
                <c:pt idx="841">
                  <c:v>44379.666666666599</c:v>
                </c:pt>
                <c:pt idx="842">
                  <c:v>44383.666666666599</c:v>
                </c:pt>
                <c:pt idx="843">
                  <c:v>44384.666666666599</c:v>
                </c:pt>
                <c:pt idx="844">
                  <c:v>44385.666666666599</c:v>
                </c:pt>
                <c:pt idx="845">
                  <c:v>44386.666666666599</c:v>
                </c:pt>
                <c:pt idx="846">
                  <c:v>44389.666666666599</c:v>
                </c:pt>
                <c:pt idx="847">
                  <c:v>44390.666666666599</c:v>
                </c:pt>
                <c:pt idx="848">
                  <c:v>44391.666666666599</c:v>
                </c:pt>
                <c:pt idx="849">
                  <c:v>44392.666666666599</c:v>
                </c:pt>
                <c:pt idx="850">
                  <c:v>44393.666666666599</c:v>
                </c:pt>
                <c:pt idx="851">
                  <c:v>44396.666666666599</c:v>
                </c:pt>
                <c:pt idx="852">
                  <c:v>44397.666666666599</c:v>
                </c:pt>
                <c:pt idx="853">
                  <c:v>44398.666666666599</c:v>
                </c:pt>
                <c:pt idx="854">
                  <c:v>44399.666666666599</c:v>
                </c:pt>
                <c:pt idx="855">
                  <c:v>44400.666666666599</c:v>
                </c:pt>
                <c:pt idx="856">
                  <c:v>44403.666666666599</c:v>
                </c:pt>
                <c:pt idx="857">
                  <c:v>44404.666666666599</c:v>
                </c:pt>
                <c:pt idx="858">
                  <c:v>44405.666666666599</c:v>
                </c:pt>
                <c:pt idx="859">
                  <c:v>44406.666666666599</c:v>
                </c:pt>
                <c:pt idx="860">
                  <c:v>44407.666666666599</c:v>
                </c:pt>
                <c:pt idx="861">
                  <c:v>44410.666666666599</c:v>
                </c:pt>
                <c:pt idx="862">
                  <c:v>44411.666666666599</c:v>
                </c:pt>
                <c:pt idx="863">
                  <c:v>44412.666666666599</c:v>
                </c:pt>
                <c:pt idx="864">
                  <c:v>44413.666666666599</c:v>
                </c:pt>
                <c:pt idx="865">
                  <c:v>44414.666666666599</c:v>
                </c:pt>
                <c:pt idx="866">
                  <c:v>44417.666666666599</c:v>
                </c:pt>
                <c:pt idx="867">
                  <c:v>44418.666666666599</c:v>
                </c:pt>
                <c:pt idx="868">
                  <c:v>44419.666666666599</c:v>
                </c:pt>
                <c:pt idx="869">
                  <c:v>44420.666666666599</c:v>
                </c:pt>
                <c:pt idx="870">
                  <c:v>44421.666666666599</c:v>
                </c:pt>
                <c:pt idx="871">
                  <c:v>44424.666666666599</c:v>
                </c:pt>
                <c:pt idx="872">
                  <c:v>44425.666666666599</c:v>
                </c:pt>
                <c:pt idx="873">
                  <c:v>44426.666666666599</c:v>
                </c:pt>
                <c:pt idx="874">
                  <c:v>44427.666666666599</c:v>
                </c:pt>
                <c:pt idx="875">
                  <c:v>44428.666666666599</c:v>
                </c:pt>
                <c:pt idx="876">
                  <c:v>44431.666666666599</c:v>
                </c:pt>
                <c:pt idx="877">
                  <c:v>44432.666666666599</c:v>
                </c:pt>
                <c:pt idx="878">
                  <c:v>44433.666666666599</c:v>
                </c:pt>
                <c:pt idx="879">
                  <c:v>44434.666666666599</c:v>
                </c:pt>
                <c:pt idx="880">
                  <c:v>44435.666666666599</c:v>
                </c:pt>
                <c:pt idx="881">
                  <c:v>44438.666666666599</c:v>
                </c:pt>
                <c:pt idx="882">
                  <c:v>44439.666666666599</c:v>
                </c:pt>
                <c:pt idx="883">
                  <c:v>44440.666666666599</c:v>
                </c:pt>
                <c:pt idx="884">
                  <c:v>44441.666666666599</c:v>
                </c:pt>
                <c:pt idx="885">
                  <c:v>44442.666666666599</c:v>
                </c:pt>
                <c:pt idx="886">
                  <c:v>44446.666666666599</c:v>
                </c:pt>
                <c:pt idx="887">
                  <c:v>44447.666666666599</c:v>
                </c:pt>
                <c:pt idx="888">
                  <c:v>44448.666666666599</c:v>
                </c:pt>
                <c:pt idx="889">
                  <c:v>44449.666666666599</c:v>
                </c:pt>
                <c:pt idx="890">
                  <c:v>44452.666666666599</c:v>
                </c:pt>
                <c:pt idx="891">
                  <c:v>44453.666666666599</c:v>
                </c:pt>
                <c:pt idx="892">
                  <c:v>44454.666666666599</c:v>
                </c:pt>
                <c:pt idx="893">
                  <c:v>44455.666666666599</c:v>
                </c:pt>
                <c:pt idx="894">
                  <c:v>44456.666666666599</c:v>
                </c:pt>
                <c:pt idx="895">
                  <c:v>44459.666666666599</c:v>
                </c:pt>
                <c:pt idx="896">
                  <c:v>44460.666666666599</c:v>
                </c:pt>
                <c:pt idx="897">
                  <c:v>44461.666666666599</c:v>
                </c:pt>
                <c:pt idx="898">
                  <c:v>44462.666666666599</c:v>
                </c:pt>
                <c:pt idx="899">
                  <c:v>44463.666666666599</c:v>
                </c:pt>
                <c:pt idx="900">
                  <c:v>44466.666666666599</c:v>
                </c:pt>
                <c:pt idx="901">
                  <c:v>44467.666666666599</c:v>
                </c:pt>
                <c:pt idx="902">
                  <c:v>44468.666666666599</c:v>
                </c:pt>
                <c:pt idx="903">
                  <c:v>44469.666666666599</c:v>
                </c:pt>
                <c:pt idx="904">
                  <c:v>44470.666666666599</c:v>
                </c:pt>
                <c:pt idx="905">
                  <c:v>44473.666666666599</c:v>
                </c:pt>
                <c:pt idx="906">
                  <c:v>44474.666666666599</c:v>
                </c:pt>
                <c:pt idx="907">
                  <c:v>44475.666666666599</c:v>
                </c:pt>
                <c:pt idx="908">
                  <c:v>44476.666666666599</c:v>
                </c:pt>
                <c:pt idx="909">
                  <c:v>44477.666666666599</c:v>
                </c:pt>
                <c:pt idx="910">
                  <c:v>44480.666666666599</c:v>
                </c:pt>
                <c:pt idx="911">
                  <c:v>44481.666666666599</c:v>
                </c:pt>
                <c:pt idx="912">
                  <c:v>44482.666666666599</c:v>
                </c:pt>
                <c:pt idx="913">
                  <c:v>44483.666666666599</c:v>
                </c:pt>
                <c:pt idx="914">
                  <c:v>44484.666666666599</c:v>
                </c:pt>
                <c:pt idx="915">
                  <c:v>44487.666666666599</c:v>
                </c:pt>
                <c:pt idx="916">
                  <c:v>44488.666666666599</c:v>
                </c:pt>
                <c:pt idx="917">
                  <c:v>44489.666666666599</c:v>
                </c:pt>
                <c:pt idx="918">
                  <c:v>44490.666666666599</c:v>
                </c:pt>
                <c:pt idx="919">
                  <c:v>44491.666666666599</c:v>
                </c:pt>
                <c:pt idx="920">
                  <c:v>44494.666666666599</c:v>
                </c:pt>
                <c:pt idx="921">
                  <c:v>44495.666666666599</c:v>
                </c:pt>
                <c:pt idx="922">
                  <c:v>44496.666666666599</c:v>
                </c:pt>
                <c:pt idx="923">
                  <c:v>44497.666666666599</c:v>
                </c:pt>
                <c:pt idx="924">
                  <c:v>44498.666666666599</c:v>
                </c:pt>
                <c:pt idx="925">
                  <c:v>44501.666666666599</c:v>
                </c:pt>
                <c:pt idx="926">
                  <c:v>44502.666666666599</c:v>
                </c:pt>
                <c:pt idx="927">
                  <c:v>44503.666666666599</c:v>
                </c:pt>
                <c:pt idx="928">
                  <c:v>44504.666666666599</c:v>
                </c:pt>
                <c:pt idx="929">
                  <c:v>44505.666666666599</c:v>
                </c:pt>
                <c:pt idx="930">
                  <c:v>44508.666666666599</c:v>
                </c:pt>
                <c:pt idx="931">
                  <c:v>44509.666666666599</c:v>
                </c:pt>
                <c:pt idx="932">
                  <c:v>44510.666666666599</c:v>
                </c:pt>
                <c:pt idx="933">
                  <c:v>44511.666666666599</c:v>
                </c:pt>
                <c:pt idx="934">
                  <c:v>44512.666666666599</c:v>
                </c:pt>
                <c:pt idx="935">
                  <c:v>44515.666666666599</c:v>
                </c:pt>
                <c:pt idx="936">
                  <c:v>44516.666666666599</c:v>
                </c:pt>
                <c:pt idx="937">
                  <c:v>44517.666666666599</c:v>
                </c:pt>
                <c:pt idx="938">
                  <c:v>44518.666666666599</c:v>
                </c:pt>
                <c:pt idx="939">
                  <c:v>44519.666666666599</c:v>
                </c:pt>
                <c:pt idx="940">
                  <c:v>44522.666666666599</c:v>
                </c:pt>
                <c:pt idx="941">
                  <c:v>44523.666666666599</c:v>
                </c:pt>
                <c:pt idx="942">
                  <c:v>44524.666666666599</c:v>
                </c:pt>
                <c:pt idx="943">
                  <c:v>44526.541666666599</c:v>
                </c:pt>
                <c:pt idx="944">
                  <c:v>44529.666666666599</c:v>
                </c:pt>
                <c:pt idx="945">
                  <c:v>44530.666666666599</c:v>
                </c:pt>
                <c:pt idx="946">
                  <c:v>44531.666666666599</c:v>
                </c:pt>
                <c:pt idx="947">
                  <c:v>44532.666666666599</c:v>
                </c:pt>
                <c:pt idx="948">
                  <c:v>44533.666666666599</c:v>
                </c:pt>
                <c:pt idx="949">
                  <c:v>44536.666666666599</c:v>
                </c:pt>
                <c:pt idx="950">
                  <c:v>44537.666666666599</c:v>
                </c:pt>
                <c:pt idx="951">
                  <c:v>44538.666666666599</c:v>
                </c:pt>
                <c:pt idx="952">
                  <c:v>44539.666666666599</c:v>
                </c:pt>
                <c:pt idx="953">
                  <c:v>44540.666666666599</c:v>
                </c:pt>
                <c:pt idx="954">
                  <c:v>44543.666666666599</c:v>
                </c:pt>
                <c:pt idx="955">
                  <c:v>44544.666666666599</c:v>
                </c:pt>
                <c:pt idx="956">
                  <c:v>44545.666666666599</c:v>
                </c:pt>
                <c:pt idx="957">
                  <c:v>44546.666666666599</c:v>
                </c:pt>
                <c:pt idx="958">
                  <c:v>44547.666666666599</c:v>
                </c:pt>
                <c:pt idx="959">
                  <c:v>44550.666666666599</c:v>
                </c:pt>
                <c:pt idx="960">
                  <c:v>44551.666666666599</c:v>
                </c:pt>
                <c:pt idx="961">
                  <c:v>44552.666666666599</c:v>
                </c:pt>
                <c:pt idx="962">
                  <c:v>44553.666666666599</c:v>
                </c:pt>
                <c:pt idx="963">
                  <c:v>44557.666666666599</c:v>
                </c:pt>
                <c:pt idx="964">
                  <c:v>44558.666666666599</c:v>
                </c:pt>
                <c:pt idx="965">
                  <c:v>44559.666666666599</c:v>
                </c:pt>
                <c:pt idx="966">
                  <c:v>44560.666666666599</c:v>
                </c:pt>
                <c:pt idx="967">
                  <c:v>44561.666666666599</c:v>
                </c:pt>
                <c:pt idx="968">
                  <c:v>44564.666666666599</c:v>
                </c:pt>
                <c:pt idx="969">
                  <c:v>44565.666666666599</c:v>
                </c:pt>
                <c:pt idx="970">
                  <c:v>44566.666666666599</c:v>
                </c:pt>
                <c:pt idx="971">
                  <c:v>44567.666666666599</c:v>
                </c:pt>
                <c:pt idx="972">
                  <c:v>44568.666666666599</c:v>
                </c:pt>
                <c:pt idx="973">
                  <c:v>44571.666666666599</c:v>
                </c:pt>
                <c:pt idx="974">
                  <c:v>44572.666666666599</c:v>
                </c:pt>
                <c:pt idx="975">
                  <c:v>44573.666666666599</c:v>
                </c:pt>
                <c:pt idx="976">
                  <c:v>44574.666666666599</c:v>
                </c:pt>
                <c:pt idx="977">
                  <c:v>44575.666666666599</c:v>
                </c:pt>
                <c:pt idx="978">
                  <c:v>44579.666666666599</c:v>
                </c:pt>
                <c:pt idx="979">
                  <c:v>44580.666666666599</c:v>
                </c:pt>
                <c:pt idx="980">
                  <c:v>44581.666666666599</c:v>
                </c:pt>
                <c:pt idx="981">
                  <c:v>44582.666666666599</c:v>
                </c:pt>
                <c:pt idx="982">
                  <c:v>44585.666666666599</c:v>
                </c:pt>
                <c:pt idx="983">
                  <c:v>44586.666666666599</c:v>
                </c:pt>
                <c:pt idx="984">
                  <c:v>44587.666666666599</c:v>
                </c:pt>
                <c:pt idx="985">
                  <c:v>44588.666666666599</c:v>
                </c:pt>
                <c:pt idx="986">
                  <c:v>44589.666666666599</c:v>
                </c:pt>
                <c:pt idx="987">
                  <c:v>44592.666666666599</c:v>
                </c:pt>
                <c:pt idx="988">
                  <c:v>44593.666666666599</c:v>
                </c:pt>
                <c:pt idx="989">
                  <c:v>44594.666666666599</c:v>
                </c:pt>
                <c:pt idx="990">
                  <c:v>44595.666666666599</c:v>
                </c:pt>
                <c:pt idx="991">
                  <c:v>44596.666666666599</c:v>
                </c:pt>
                <c:pt idx="992">
                  <c:v>44599.666666666599</c:v>
                </c:pt>
                <c:pt idx="993">
                  <c:v>44600.666666666599</c:v>
                </c:pt>
                <c:pt idx="994">
                  <c:v>44601.666666666599</c:v>
                </c:pt>
                <c:pt idx="995">
                  <c:v>44602.666666666599</c:v>
                </c:pt>
                <c:pt idx="996">
                  <c:v>44603.666666666599</c:v>
                </c:pt>
                <c:pt idx="997">
                  <c:v>44606.666666666599</c:v>
                </c:pt>
                <c:pt idx="998">
                  <c:v>44607.666666666599</c:v>
                </c:pt>
                <c:pt idx="999">
                  <c:v>44608.666666666599</c:v>
                </c:pt>
                <c:pt idx="1000">
                  <c:v>44609.666666666599</c:v>
                </c:pt>
                <c:pt idx="1001">
                  <c:v>44610.666666666599</c:v>
                </c:pt>
                <c:pt idx="1002">
                  <c:v>44614.666666666599</c:v>
                </c:pt>
                <c:pt idx="1003">
                  <c:v>44615.666666666599</c:v>
                </c:pt>
                <c:pt idx="1004">
                  <c:v>44616.666666666599</c:v>
                </c:pt>
                <c:pt idx="1005">
                  <c:v>44617.666666666599</c:v>
                </c:pt>
                <c:pt idx="1006">
                  <c:v>44620.666666666599</c:v>
                </c:pt>
                <c:pt idx="1007">
                  <c:v>44621.666666666599</c:v>
                </c:pt>
                <c:pt idx="1008">
                  <c:v>44622.666666666599</c:v>
                </c:pt>
                <c:pt idx="1009">
                  <c:v>44623.666666666599</c:v>
                </c:pt>
                <c:pt idx="1010">
                  <c:v>44624.666666666599</c:v>
                </c:pt>
                <c:pt idx="1011">
                  <c:v>44627.666666666599</c:v>
                </c:pt>
                <c:pt idx="1012">
                  <c:v>44628.666666666599</c:v>
                </c:pt>
                <c:pt idx="1013">
                  <c:v>44629.666666666599</c:v>
                </c:pt>
                <c:pt idx="1014">
                  <c:v>44630.666666666599</c:v>
                </c:pt>
                <c:pt idx="1015">
                  <c:v>44631.666666666599</c:v>
                </c:pt>
                <c:pt idx="1016">
                  <c:v>44634.666666666599</c:v>
                </c:pt>
                <c:pt idx="1017">
                  <c:v>44635.666666666599</c:v>
                </c:pt>
                <c:pt idx="1018">
                  <c:v>44636.666666666599</c:v>
                </c:pt>
                <c:pt idx="1019">
                  <c:v>44637.666666666599</c:v>
                </c:pt>
                <c:pt idx="1020">
                  <c:v>44638.666666666599</c:v>
                </c:pt>
                <c:pt idx="1021">
                  <c:v>44641.666666666599</c:v>
                </c:pt>
                <c:pt idx="1022">
                  <c:v>44642.666666666599</c:v>
                </c:pt>
                <c:pt idx="1023">
                  <c:v>44643.666666666599</c:v>
                </c:pt>
                <c:pt idx="1024">
                  <c:v>44644.666666666599</c:v>
                </c:pt>
                <c:pt idx="1025">
                  <c:v>44645.666666666599</c:v>
                </c:pt>
                <c:pt idx="1026">
                  <c:v>44648.666666666599</c:v>
                </c:pt>
                <c:pt idx="1027">
                  <c:v>44649.666666666599</c:v>
                </c:pt>
                <c:pt idx="1028">
                  <c:v>44650.666666666599</c:v>
                </c:pt>
                <c:pt idx="1029">
                  <c:v>44651.666666666599</c:v>
                </c:pt>
                <c:pt idx="1030">
                  <c:v>44652.666666666599</c:v>
                </c:pt>
                <c:pt idx="1031">
                  <c:v>44655.666666666599</c:v>
                </c:pt>
                <c:pt idx="1032">
                  <c:v>44656.666666666599</c:v>
                </c:pt>
                <c:pt idx="1033">
                  <c:v>44657.666666666599</c:v>
                </c:pt>
                <c:pt idx="1034">
                  <c:v>44658.666666666599</c:v>
                </c:pt>
                <c:pt idx="1035">
                  <c:v>44659.666666666599</c:v>
                </c:pt>
                <c:pt idx="1036">
                  <c:v>44662.666666666599</c:v>
                </c:pt>
                <c:pt idx="1037">
                  <c:v>44663.666666666599</c:v>
                </c:pt>
                <c:pt idx="1038">
                  <c:v>44664.666666666599</c:v>
                </c:pt>
                <c:pt idx="1039">
                  <c:v>44665.666666666599</c:v>
                </c:pt>
                <c:pt idx="1040">
                  <c:v>44669.666666666599</c:v>
                </c:pt>
                <c:pt idx="1041">
                  <c:v>44670.666666666599</c:v>
                </c:pt>
                <c:pt idx="1042">
                  <c:v>44671.666666666599</c:v>
                </c:pt>
                <c:pt idx="1043">
                  <c:v>44672.666666666599</c:v>
                </c:pt>
                <c:pt idx="1044">
                  <c:v>44673.666666666599</c:v>
                </c:pt>
                <c:pt idx="1045">
                  <c:v>44676.666666666599</c:v>
                </c:pt>
                <c:pt idx="1046">
                  <c:v>44677.666666666599</c:v>
                </c:pt>
                <c:pt idx="1047">
                  <c:v>44678.666666666599</c:v>
                </c:pt>
                <c:pt idx="1048">
                  <c:v>44679.666666666599</c:v>
                </c:pt>
                <c:pt idx="1049">
                  <c:v>44680.666666666599</c:v>
                </c:pt>
                <c:pt idx="1050">
                  <c:v>44683.666666666599</c:v>
                </c:pt>
                <c:pt idx="1051">
                  <c:v>44684.666666666599</c:v>
                </c:pt>
                <c:pt idx="1052">
                  <c:v>44685.666666666599</c:v>
                </c:pt>
                <c:pt idx="1053">
                  <c:v>44686.666666666599</c:v>
                </c:pt>
                <c:pt idx="1054">
                  <c:v>44687.666666666599</c:v>
                </c:pt>
                <c:pt idx="1055">
                  <c:v>44690.666666666599</c:v>
                </c:pt>
                <c:pt idx="1056">
                  <c:v>44691.666666666599</c:v>
                </c:pt>
                <c:pt idx="1057">
                  <c:v>44692.666666666599</c:v>
                </c:pt>
                <c:pt idx="1058">
                  <c:v>44693.666666666599</c:v>
                </c:pt>
                <c:pt idx="1059">
                  <c:v>44694.666666666599</c:v>
                </c:pt>
                <c:pt idx="1060">
                  <c:v>44697.666666666599</c:v>
                </c:pt>
                <c:pt idx="1061">
                  <c:v>44698.666666666599</c:v>
                </c:pt>
                <c:pt idx="1062">
                  <c:v>44699.666666666599</c:v>
                </c:pt>
                <c:pt idx="1063">
                  <c:v>44700.666666666599</c:v>
                </c:pt>
                <c:pt idx="1064">
                  <c:v>44701.666666666599</c:v>
                </c:pt>
                <c:pt idx="1065">
                  <c:v>44704.666666666599</c:v>
                </c:pt>
                <c:pt idx="1066">
                  <c:v>44705.666666666599</c:v>
                </c:pt>
                <c:pt idx="1067">
                  <c:v>44706.666666666599</c:v>
                </c:pt>
                <c:pt idx="1068">
                  <c:v>44707.666666666599</c:v>
                </c:pt>
                <c:pt idx="1069">
                  <c:v>44708.666666666599</c:v>
                </c:pt>
                <c:pt idx="1070">
                  <c:v>44712.666666666599</c:v>
                </c:pt>
                <c:pt idx="1071">
                  <c:v>44713.666666666599</c:v>
                </c:pt>
                <c:pt idx="1072">
                  <c:v>44714.666666666599</c:v>
                </c:pt>
                <c:pt idx="1073">
                  <c:v>44715.666666666599</c:v>
                </c:pt>
                <c:pt idx="1074">
                  <c:v>44718.666666666599</c:v>
                </c:pt>
                <c:pt idx="1075">
                  <c:v>44719.666666666599</c:v>
                </c:pt>
                <c:pt idx="1076">
                  <c:v>44720.666666666599</c:v>
                </c:pt>
                <c:pt idx="1077">
                  <c:v>44721.666666666599</c:v>
                </c:pt>
                <c:pt idx="1078">
                  <c:v>44722.666666666599</c:v>
                </c:pt>
                <c:pt idx="1079">
                  <c:v>44725.666666666599</c:v>
                </c:pt>
                <c:pt idx="1080">
                  <c:v>44726.666666666599</c:v>
                </c:pt>
                <c:pt idx="1081">
                  <c:v>44727.666666666599</c:v>
                </c:pt>
                <c:pt idx="1082">
                  <c:v>44728.666666666599</c:v>
                </c:pt>
                <c:pt idx="1083">
                  <c:v>44729.666666666599</c:v>
                </c:pt>
                <c:pt idx="1084">
                  <c:v>44733.666666666599</c:v>
                </c:pt>
                <c:pt idx="1085">
                  <c:v>44734.666666666599</c:v>
                </c:pt>
                <c:pt idx="1086">
                  <c:v>44735.666666666599</c:v>
                </c:pt>
                <c:pt idx="1087">
                  <c:v>44736.666666666599</c:v>
                </c:pt>
                <c:pt idx="1088">
                  <c:v>44739.666666666599</c:v>
                </c:pt>
                <c:pt idx="1089">
                  <c:v>44740.666666666599</c:v>
                </c:pt>
                <c:pt idx="1090">
                  <c:v>44741.666666666599</c:v>
                </c:pt>
                <c:pt idx="1091">
                  <c:v>44742.666666666599</c:v>
                </c:pt>
                <c:pt idx="1092">
                  <c:v>44743.666666666599</c:v>
                </c:pt>
                <c:pt idx="1093">
                  <c:v>44747.666666666599</c:v>
                </c:pt>
                <c:pt idx="1094">
                  <c:v>44748.666666666599</c:v>
                </c:pt>
                <c:pt idx="1095">
                  <c:v>44749.666666666599</c:v>
                </c:pt>
                <c:pt idx="1096">
                  <c:v>44750.666666666599</c:v>
                </c:pt>
                <c:pt idx="1097">
                  <c:v>44753.666666666599</c:v>
                </c:pt>
                <c:pt idx="1098">
                  <c:v>44754.666666666599</c:v>
                </c:pt>
                <c:pt idx="1099">
                  <c:v>44755.666666666599</c:v>
                </c:pt>
                <c:pt idx="1100">
                  <c:v>44756.666666666599</c:v>
                </c:pt>
                <c:pt idx="1101">
                  <c:v>44757.666666666599</c:v>
                </c:pt>
                <c:pt idx="1102">
                  <c:v>44760.666666666599</c:v>
                </c:pt>
                <c:pt idx="1103">
                  <c:v>44761.666666666599</c:v>
                </c:pt>
                <c:pt idx="1104">
                  <c:v>44762.666666666599</c:v>
                </c:pt>
                <c:pt idx="1105">
                  <c:v>44763.666666666599</c:v>
                </c:pt>
                <c:pt idx="1106">
                  <c:v>44764.666666666599</c:v>
                </c:pt>
                <c:pt idx="1107">
                  <c:v>44767.666666666599</c:v>
                </c:pt>
                <c:pt idx="1108">
                  <c:v>44768.666666666599</c:v>
                </c:pt>
                <c:pt idx="1109">
                  <c:v>44769.666666666599</c:v>
                </c:pt>
                <c:pt idx="1110">
                  <c:v>44770.666666666599</c:v>
                </c:pt>
                <c:pt idx="1111">
                  <c:v>44771.666666666599</c:v>
                </c:pt>
                <c:pt idx="1112">
                  <c:v>44774.666666666599</c:v>
                </c:pt>
                <c:pt idx="1113">
                  <c:v>44775.666666666599</c:v>
                </c:pt>
                <c:pt idx="1114">
                  <c:v>44776.666666666599</c:v>
                </c:pt>
                <c:pt idx="1115">
                  <c:v>44777.666666666599</c:v>
                </c:pt>
                <c:pt idx="1116">
                  <c:v>44778.666666666599</c:v>
                </c:pt>
                <c:pt idx="1117">
                  <c:v>44781.666666666599</c:v>
                </c:pt>
                <c:pt idx="1118">
                  <c:v>44782.666666666599</c:v>
                </c:pt>
                <c:pt idx="1119">
                  <c:v>44783.666666666599</c:v>
                </c:pt>
                <c:pt idx="1120">
                  <c:v>44784.666666666599</c:v>
                </c:pt>
                <c:pt idx="1121">
                  <c:v>44785.666666666599</c:v>
                </c:pt>
                <c:pt idx="1122">
                  <c:v>44788.666666666599</c:v>
                </c:pt>
                <c:pt idx="1123">
                  <c:v>44789.666666666599</c:v>
                </c:pt>
                <c:pt idx="1124">
                  <c:v>44790.666666666599</c:v>
                </c:pt>
                <c:pt idx="1125">
                  <c:v>44791.666666666599</c:v>
                </c:pt>
                <c:pt idx="1126">
                  <c:v>44792.666666666599</c:v>
                </c:pt>
                <c:pt idx="1127">
                  <c:v>44795.666666666599</c:v>
                </c:pt>
                <c:pt idx="1128">
                  <c:v>44796.666666666599</c:v>
                </c:pt>
                <c:pt idx="1129">
                  <c:v>44797.666666666599</c:v>
                </c:pt>
                <c:pt idx="1130">
                  <c:v>44798.666666666599</c:v>
                </c:pt>
                <c:pt idx="1131">
                  <c:v>44799.666666666599</c:v>
                </c:pt>
                <c:pt idx="1132">
                  <c:v>44802.666666666599</c:v>
                </c:pt>
                <c:pt idx="1133">
                  <c:v>44803.666666666599</c:v>
                </c:pt>
                <c:pt idx="1134">
                  <c:v>44804.666666666599</c:v>
                </c:pt>
                <c:pt idx="1135">
                  <c:v>44805.666666666599</c:v>
                </c:pt>
                <c:pt idx="1136">
                  <c:v>44806.666666666599</c:v>
                </c:pt>
                <c:pt idx="1137">
                  <c:v>44810.666666666599</c:v>
                </c:pt>
                <c:pt idx="1138">
                  <c:v>44811.666666666599</c:v>
                </c:pt>
                <c:pt idx="1139">
                  <c:v>44812.666666666599</c:v>
                </c:pt>
                <c:pt idx="1140">
                  <c:v>44813.666666666599</c:v>
                </c:pt>
                <c:pt idx="1141">
                  <c:v>44816.666666666599</c:v>
                </c:pt>
                <c:pt idx="1142">
                  <c:v>44817.666666666599</c:v>
                </c:pt>
                <c:pt idx="1143">
                  <c:v>44818.666666666599</c:v>
                </c:pt>
                <c:pt idx="1144">
                  <c:v>44819.666666666599</c:v>
                </c:pt>
                <c:pt idx="1145">
                  <c:v>44820.666666666599</c:v>
                </c:pt>
                <c:pt idx="1146">
                  <c:v>44823.666666666599</c:v>
                </c:pt>
                <c:pt idx="1147">
                  <c:v>44824.666666666599</c:v>
                </c:pt>
                <c:pt idx="1148">
                  <c:v>44825.666666666599</c:v>
                </c:pt>
                <c:pt idx="1149">
                  <c:v>44826.666666666599</c:v>
                </c:pt>
                <c:pt idx="1150">
                  <c:v>44827.666666666599</c:v>
                </c:pt>
                <c:pt idx="1151">
                  <c:v>44830.666666666599</c:v>
                </c:pt>
                <c:pt idx="1152">
                  <c:v>44831.666666666599</c:v>
                </c:pt>
                <c:pt idx="1153">
                  <c:v>44832.666666666599</c:v>
                </c:pt>
                <c:pt idx="1154">
                  <c:v>44833.666666666599</c:v>
                </c:pt>
                <c:pt idx="1155">
                  <c:v>44834.666666666599</c:v>
                </c:pt>
                <c:pt idx="1156">
                  <c:v>44837.666666666599</c:v>
                </c:pt>
                <c:pt idx="1157">
                  <c:v>44838.666666666599</c:v>
                </c:pt>
                <c:pt idx="1158">
                  <c:v>44839.666666666599</c:v>
                </c:pt>
                <c:pt idx="1159">
                  <c:v>44840.666666666599</c:v>
                </c:pt>
                <c:pt idx="1160">
                  <c:v>44841.666666666599</c:v>
                </c:pt>
                <c:pt idx="1161">
                  <c:v>44844.666666666599</c:v>
                </c:pt>
                <c:pt idx="1162">
                  <c:v>44845.666666666599</c:v>
                </c:pt>
                <c:pt idx="1163">
                  <c:v>44846.666666666599</c:v>
                </c:pt>
                <c:pt idx="1164">
                  <c:v>44847.666666666599</c:v>
                </c:pt>
                <c:pt idx="1165">
                  <c:v>44848.666666666599</c:v>
                </c:pt>
                <c:pt idx="1166">
                  <c:v>44851.666666666599</c:v>
                </c:pt>
                <c:pt idx="1167">
                  <c:v>44852.666666666599</c:v>
                </c:pt>
                <c:pt idx="1168">
                  <c:v>44853.666666666599</c:v>
                </c:pt>
                <c:pt idx="1169">
                  <c:v>44854.666666666599</c:v>
                </c:pt>
                <c:pt idx="1170">
                  <c:v>44855.666666666599</c:v>
                </c:pt>
                <c:pt idx="1171">
                  <c:v>44858.666666666599</c:v>
                </c:pt>
                <c:pt idx="1172">
                  <c:v>44859.666666666599</c:v>
                </c:pt>
                <c:pt idx="1173">
                  <c:v>44860.666666666599</c:v>
                </c:pt>
                <c:pt idx="1174">
                  <c:v>44861.666666666599</c:v>
                </c:pt>
                <c:pt idx="1175">
                  <c:v>44862.666666666599</c:v>
                </c:pt>
                <c:pt idx="1176">
                  <c:v>44865.666666666599</c:v>
                </c:pt>
                <c:pt idx="1177">
                  <c:v>44866.666666666599</c:v>
                </c:pt>
                <c:pt idx="1178">
                  <c:v>44867.666666666599</c:v>
                </c:pt>
                <c:pt idx="1179">
                  <c:v>44868.666666666599</c:v>
                </c:pt>
                <c:pt idx="1180">
                  <c:v>44869.666666666599</c:v>
                </c:pt>
                <c:pt idx="1181">
                  <c:v>44872.666666666599</c:v>
                </c:pt>
                <c:pt idx="1182">
                  <c:v>44873.666666666599</c:v>
                </c:pt>
                <c:pt idx="1183">
                  <c:v>44874.666666666599</c:v>
                </c:pt>
                <c:pt idx="1184">
                  <c:v>44875.666666666599</c:v>
                </c:pt>
                <c:pt idx="1185">
                  <c:v>44876.666666666599</c:v>
                </c:pt>
                <c:pt idx="1186">
                  <c:v>44879.666666666599</c:v>
                </c:pt>
                <c:pt idx="1187">
                  <c:v>44880.666666666599</c:v>
                </c:pt>
                <c:pt idx="1188">
                  <c:v>44881.666666666599</c:v>
                </c:pt>
                <c:pt idx="1189">
                  <c:v>44882.666666666599</c:v>
                </c:pt>
                <c:pt idx="1190">
                  <c:v>44883.666666666599</c:v>
                </c:pt>
                <c:pt idx="1191">
                  <c:v>44886.666666666599</c:v>
                </c:pt>
                <c:pt idx="1192">
                  <c:v>44887.666666666599</c:v>
                </c:pt>
                <c:pt idx="1193">
                  <c:v>44888.666666666599</c:v>
                </c:pt>
                <c:pt idx="1194">
                  <c:v>44890.545138888803</c:v>
                </c:pt>
                <c:pt idx="1195">
                  <c:v>44893.666666666599</c:v>
                </c:pt>
                <c:pt idx="1196">
                  <c:v>44894.666666666599</c:v>
                </c:pt>
                <c:pt idx="1197">
                  <c:v>44895.666666666599</c:v>
                </c:pt>
                <c:pt idx="1198">
                  <c:v>44896.666666666599</c:v>
                </c:pt>
                <c:pt idx="1199">
                  <c:v>44897.666666666599</c:v>
                </c:pt>
                <c:pt idx="1200">
                  <c:v>44900.666666666599</c:v>
                </c:pt>
                <c:pt idx="1201">
                  <c:v>44901.666666666599</c:v>
                </c:pt>
                <c:pt idx="1202">
                  <c:v>44902.666666666599</c:v>
                </c:pt>
                <c:pt idx="1203">
                  <c:v>44903.666666666599</c:v>
                </c:pt>
                <c:pt idx="1204">
                  <c:v>44904.666666666599</c:v>
                </c:pt>
                <c:pt idx="1205">
                  <c:v>44907.666666666599</c:v>
                </c:pt>
                <c:pt idx="1206">
                  <c:v>44908.666666666599</c:v>
                </c:pt>
                <c:pt idx="1207">
                  <c:v>44909.666666666599</c:v>
                </c:pt>
                <c:pt idx="1208">
                  <c:v>44910.666666666599</c:v>
                </c:pt>
                <c:pt idx="1209">
                  <c:v>44911.666666666599</c:v>
                </c:pt>
                <c:pt idx="1210">
                  <c:v>44914.666666666599</c:v>
                </c:pt>
                <c:pt idx="1211">
                  <c:v>44915.666666666599</c:v>
                </c:pt>
                <c:pt idx="1212">
                  <c:v>44916.666666666599</c:v>
                </c:pt>
                <c:pt idx="1213">
                  <c:v>44917.666666666599</c:v>
                </c:pt>
                <c:pt idx="1214">
                  <c:v>44918.666666666599</c:v>
                </c:pt>
                <c:pt idx="1215">
                  <c:v>44922.666666666599</c:v>
                </c:pt>
                <c:pt idx="1216">
                  <c:v>44923.666666666599</c:v>
                </c:pt>
                <c:pt idx="1217">
                  <c:v>44924.666666666599</c:v>
                </c:pt>
                <c:pt idx="1218">
                  <c:v>44925.666666666599</c:v>
                </c:pt>
                <c:pt idx="1219">
                  <c:v>44929.666666666599</c:v>
                </c:pt>
                <c:pt idx="1220">
                  <c:v>44930.666666666599</c:v>
                </c:pt>
                <c:pt idx="1221">
                  <c:v>44931.666666666599</c:v>
                </c:pt>
                <c:pt idx="1222">
                  <c:v>44932.666666666599</c:v>
                </c:pt>
                <c:pt idx="1223">
                  <c:v>44935.666666666599</c:v>
                </c:pt>
                <c:pt idx="1224">
                  <c:v>44936.666666666599</c:v>
                </c:pt>
                <c:pt idx="1225">
                  <c:v>44937.666666666599</c:v>
                </c:pt>
                <c:pt idx="1226">
                  <c:v>44938.666666666599</c:v>
                </c:pt>
                <c:pt idx="1227">
                  <c:v>44939.666666666599</c:v>
                </c:pt>
                <c:pt idx="1228">
                  <c:v>44943.666666666599</c:v>
                </c:pt>
                <c:pt idx="1229">
                  <c:v>44944.666666666599</c:v>
                </c:pt>
                <c:pt idx="1230">
                  <c:v>44945.666666666599</c:v>
                </c:pt>
                <c:pt idx="1231">
                  <c:v>44946.666666666599</c:v>
                </c:pt>
                <c:pt idx="1232">
                  <c:v>44949.666666666599</c:v>
                </c:pt>
                <c:pt idx="1233">
                  <c:v>44950.666666666599</c:v>
                </c:pt>
                <c:pt idx="1234">
                  <c:v>44951.666666666599</c:v>
                </c:pt>
                <c:pt idx="1235">
                  <c:v>44952.666666666599</c:v>
                </c:pt>
                <c:pt idx="1236">
                  <c:v>44953.666666666599</c:v>
                </c:pt>
                <c:pt idx="1237">
                  <c:v>44956.666666666599</c:v>
                </c:pt>
                <c:pt idx="1238">
                  <c:v>44957.666666666599</c:v>
                </c:pt>
                <c:pt idx="1239">
                  <c:v>44958.666666666599</c:v>
                </c:pt>
                <c:pt idx="1240">
                  <c:v>44959.666666666599</c:v>
                </c:pt>
                <c:pt idx="1241">
                  <c:v>44960.666666666599</c:v>
                </c:pt>
                <c:pt idx="1242">
                  <c:v>44963.666666666599</c:v>
                </c:pt>
                <c:pt idx="1243">
                  <c:v>44964.666666666599</c:v>
                </c:pt>
                <c:pt idx="1244">
                  <c:v>44965.666666666599</c:v>
                </c:pt>
                <c:pt idx="1245">
                  <c:v>44966.666666666599</c:v>
                </c:pt>
                <c:pt idx="1246">
                  <c:v>44967.666666666599</c:v>
                </c:pt>
                <c:pt idx="1247">
                  <c:v>44970.666666666599</c:v>
                </c:pt>
                <c:pt idx="1248">
                  <c:v>44971.666666666599</c:v>
                </c:pt>
                <c:pt idx="1249">
                  <c:v>44972.666666666599</c:v>
                </c:pt>
                <c:pt idx="1250">
                  <c:v>44973.666666666599</c:v>
                </c:pt>
                <c:pt idx="1251">
                  <c:v>44974.666666666599</c:v>
                </c:pt>
                <c:pt idx="1252">
                  <c:v>44978.666666666599</c:v>
                </c:pt>
                <c:pt idx="1253">
                  <c:v>44979.666666666599</c:v>
                </c:pt>
                <c:pt idx="1254">
                  <c:v>44980.666666666599</c:v>
                </c:pt>
                <c:pt idx="1255">
                  <c:v>44981.666666666599</c:v>
                </c:pt>
                <c:pt idx="1256">
                  <c:v>44984.666666666599</c:v>
                </c:pt>
              </c:numCache>
            </c:numRef>
          </c:cat>
          <c:val>
            <c:numRef>
              <c:f>Sheet1!$B$2:$B$1289</c:f>
              <c:numCache>
                <c:formatCode>General</c:formatCode>
                <c:ptCount val="1288"/>
                <c:pt idx="0">
                  <c:v>22.06</c:v>
                </c:pt>
                <c:pt idx="1">
                  <c:v>22.34</c:v>
                </c:pt>
                <c:pt idx="2">
                  <c:v>22.22</c:v>
                </c:pt>
                <c:pt idx="3">
                  <c:v>21.88</c:v>
                </c:pt>
                <c:pt idx="4">
                  <c:v>22.15</c:v>
                </c:pt>
                <c:pt idx="5">
                  <c:v>21.94</c:v>
                </c:pt>
                <c:pt idx="6">
                  <c:v>21.81</c:v>
                </c:pt>
                <c:pt idx="7">
                  <c:v>23.03</c:v>
                </c:pt>
                <c:pt idx="8">
                  <c:v>22.79</c:v>
                </c:pt>
                <c:pt idx="9">
                  <c:v>21.78</c:v>
                </c:pt>
                <c:pt idx="10">
                  <c:v>21.71</c:v>
                </c:pt>
                <c:pt idx="11">
                  <c:v>21.42</c:v>
                </c:pt>
                <c:pt idx="12">
                  <c:v>20.9</c:v>
                </c:pt>
                <c:pt idx="13">
                  <c:v>20.7</c:v>
                </c:pt>
                <c:pt idx="14">
                  <c:v>21.1</c:v>
                </c:pt>
                <c:pt idx="15">
                  <c:v>20.61</c:v>
                </c:pt>
                <c:pt idx="16">
                  <c:v>20.100000000000001</c:v>
                </c:pt>
                <c:pt idx="17">
                  <c:v>20.28</c:v>
                </c:pt>
                <c:pt idx="18">
                  <c:v>18.61</c:v>
                </c:pt>
                <c:pt idx="19">
                  <c:v>17.190000000000001</c:v>
                </c:pt>
                <c:pt idx="20">
                  <c:v>17.739999999999998</c:v>
                </c:pt>
                <c:pt idx="21">
                  <c:v>16.829999999999998</c:v>
                </c:pt>
                <c:pt idx="22">
                  <c:v>17.84</c:v>
                </c:pt>
                <c:pt idx="23">
                  <c:v>19.13</c:v>
                </c:pt>
                <c:pt idx="24">
                  <c:v>20.38</c:v>
                </c:pt>
                <c:pt idx="25">
                  <c:v>19.95</c:v>
                </c:pt>
                <c:pt idx="26">
                  <c:v>19.309999999999999</c:v>
                </c:pt>
                <c:pt idx="27">
                  <c:v>20.309999999999999</c:v>
                </c:pt>
                <c:pt idx="28">
                  <c:v>20.059999999999999</c:v>
                </c:pt>
                <c:pt idx="29">
                  <c:v>19.61</c:v>
                </c:pt>
                <c:pt idx="30">
                  <c:v>20.02</c:v>
                </c:pt>
                <c:pt idx="31">
                  <c:v>19.41</c:v>
                </c:pt>
                <c:pt idx="32">
                  <c:v>19.18</c:v>
                </c:pt>
                <c:pt idx="33">
                  <c:v>19.559999999999999</c:v>
                </c:pt>
                <c:pt idx="34">
                  <c:v>20.010000000000002</c:v>
                </c:pt>
                <c:pt idx="35">
                  <c:v>19.350000000000001</c:v>
                </c:pt>
                <c:pt idx="36">
                  <c:v>18.89</c:v>
                </c:pt>
                <c:pt idx="37">
                  <c:v>18.899999999999999</c:v>
                </c:pt>
                <c:pt idx="38">
                  <c:v>18.71</c:v>
                </c:pt>
                <c:pt idx="39">
                  <c:v>19.03</c:v>
                </c:pt>
                <c:pt idx="40">
                  <c:v>19.61</c:v>
                </c:pt>
                <c:pt idx="41">
                  <c:v>19.59</c:v>
                </c:pt>
                <c:pt idx="42">
                  <c:v>19.989999999999998</c:v>
                </c:pt>
                <c:pt idx="43">
                  <c:v>20.079999999999998</c:v>
                </c:pt>
                <c:pt idx="44">
                  <c:v>18.96</c:v>
                </c:pt>
                <c:pt idx="45">
                  <c:v>19.61</c:v>
                </c:pt>
                <c:pt idx="46">
                  <c:v>20.18</c:v>
                </c:pt>
                <c:pt idx="47">
                  <c:v>20.13</c:v>
                </c:pt>
                <c:pt idx="48">
                  <c:v>20.46</c:v>
                </c:pt>
                <c:pt idx="49">
                  <c:v>20.329999999999998</c:v>
                </c:pt>
                <c:pt idx="50">
                  <c:v>20.07</c:v>
                </c:pt>
                <c:pt idx="51">
                  <c:v>19.46</c:v>
                </c:pt>
                <c:pt idx="52">
                  <c:v>18.95</c:v>
                </c:pt>
                <c:pt idx="53">
                  <c:v>19.100000000000001</c:v>
                </c:pt>
                <c:pt idx="54">
                  <c:v>18.97</c:v>
                </c:pt>
                <c:pt idx="55">
                  <c:v>18.97</c:v>
                </c:pt>
                <c:pt idx="56">
                  <c:v>18.97</c:v>
                </c:pt>
                <c:pt idx="57">
                  <c:v>18.329999999999998</c:v>
                </c:pt>
                <c:pt idx="58">
                  <c:v>18.600000000000001</c:v>
                </c:pt>
                <c:pt idx="59">
                  <c:v>18.52</c:v>
                </c:pt>
                <c:pt idx="60">
                  <c:v>18.59</c:v>
                </c:pt>
                <c:pt idx="61">
                  <c:v>18.920000000000002</c:v>
                </c:pt>
                <c:pt idx="62">
                  <c:v>19.45</c:v>
                </c:pt>
                <c:pt idx="63">
                  <c:v>18.98</c:v>
                </c:pt>
                <c:pt idx="64">
                  <c:v>19.45</c:v>
                </c:pt>
                <c:pt idx="65">
                  <c:v>19.78</c:v>
                </c:pt>
                <c:pt idx="66">
                  <c:v>19.41</c:v>
                </c:pt>
                <c:pt idx="67">
                  <c:v>21.3</c:v>
                </c:pt>
                <c:pt idx="68">
                  <c:v>21.07</c:v>
                </c:pt>
                <c:pt idx="69">
                  <c:v>21.18</c:v>
                </c:pt>
                <c:pt idx="70">
                  <c:v>22.14</c:v>
                </c:pt>
                <c:pt idx="71">
                  <c:v>22.85</c:v>
                </c:pt>
                <c:pt idx="72">
                  <c:v>22.99</c:v>
                </c:pt>
                <c:pt idx="73">
                  <c:v>23.85</c:v>
                </c:pt>
                <c:pt idx="74">
                  <c:v>23.88</c:v>
                </c:pt>
                <c:pt idx="75">
                  <c:v>24.72</c:v>
                </c:pt>
                <c:pt idx="76">
                  <c:v>23.5</c:v>
                </c:pt>
                <c:pt idx="77">
                  <c:v>24.15</c:v>
                </c:pt>
                <c:pt idx="78">
                  <c:v>23.17</c:v>
                </c:pt>
                <c:pt idx="79">
                  <c:v>22.24</c:v>
                </c:pt>
                <c:pt idx="80">
                  <c:v>22.2</c:v>
                </c:pt>
                <c:pt idx="81">
                  <c:v>22.8</c:v>
                </c:pt>
                <c:pt idx="82">
                  <c:v>22.97</c:v>
                </c:pt>
                <c:pt idx="83">
                  <c:v>23.33</c:v>
                </c:pt>
                <c:pt idx="84">
                  <c:v>22.86</c:v>
                </c:pt>
                <c:pt idx="85">
                  <c:v>22.34</c:v>
                </c:pt>
                <c:pt idx="86">
                  <c:v>20.72</c:v>
                </c:pt>
                <c:pt idx="87">
                  <c:v>20.61</c:v>
                </c:pt>
                <c:pt idx="88">
                  <c:v>20.59</c:v>
                </c:pt>
                <c:pt idx="89">
                  <c:v>21.23</c:v>
                </c:pt>
                <c:pt idx="90">
                  <c:v>21.5</c:v>
                </c:pt>
                <c:pt idx="91">
                  <c:v>21.26</c:v>
                </c:pt>
                <c:pt idx="92">
                  <c:v>21.11</c:v>
                </c:pt>
                <c:pt idx="93">
                  <c:v>21.26</c:v>
                </c:pt>
                <c:pt idx="94">
                  <c:v>20.67</c:v>
                </c:pt>
                <c:pt idx="95">
                  <c:v>21.51</c:v>
                </c:pt>
                <c:pt idx="96">
                  <c:v>21.59</c:v>
                </c:pt>
                <c:pt idx="97">
                  <c:v>21.35</c:v>
                </c:pt>
                <c:pt idx="98">
                  <c:v>20.91</c:v>
                </c:pt>
                <c:pt idx="99">
                  <c:v>20.21</c:v>
                </c:pt>
                <c:pt idx="100">
                  <c:v>19.829999999999998</c:v>
                </c:pt>
                <c:pt idx="101">
                  <c:v>20.58</c:v>
                </c:pt>
                <c:pt idx="102">
                  <c:v>20.440000000000001</c:v>
                </c:pt>
                <c:pt idx="103">
                  <c:v>19.809999999999999</c:v>
                </c:pt>
                <c:pt idx="104">
                  <c:v>19.34</c:v>
                </c:pt>
                <c:pt idx="105">
                  <c:v>19.88</c:v>
                </c:pt>
                <c:pt idx="106">
                  <c:v>20.059999999999999</c:v>
                </c:pt>
                <c:pt idx="107">
                  <c:v>23.3</c:v>
                </c:pt>
                <c:pt idx="108">
                  <c:v>23.21</c:v>
                </c:pt>
                <c:pt idx="109">
                  <c:v>22.8</c:v>
                </c:pt>
                <c:pt idx="110">
                  <c:v>25.3</c:v>
                </c:pt>
                <c:pt idx="111">
                  <c:v>24.69</c:v>
                </c:pt>
                <c:pt idx="112">
                  <c:v>23.5</c:v>
                </c:pt>
                <c:pt idx="113">
                  <c:v>23.7</c:v>
                </c:pt>
                <c:pt idx="114">
                  <c:v>23.76</c:v>
                </c:pt>
                <c:pt idx="115">
                  <c:v>23.18</c:v>
                </c:pt>
                <c:pt idx="116">
                  <c:v>22.58</c:v>
                </c:pt>
                <c:pt idx="117">
                  <c:v>22.36</c:v>
                </c:pt>
                <c:pt idx="118">
                  <c:v>20.37</c:v>
                </c:pt>
                <c:pt idx="119">
                  <c:v>20.56</c:v>
                </c:pt>
                <c:pt idx="120">
                  <c:v>21.46</c:v>
                </c:pt>
                <c:pt idx="121">
                  <c:v>21.44</c:v>
                </c:pt>
                <c:pt idx="122">
                  <c:v>21.34</c:v>
                </c:pt>
                <c:pt idx="123">
                  <c:v>21.52</c:v>
                </c:pt>
                <c:pt idx="124">
                  <c:v>21.28</c:v>
                </c:pt>
                <c:pt idx="125">
                  <c:v>20.79</c:v>
                </c:pt>
                <c:pt idx="126">
                  <c:v>20.329999999999998</c:v>
                </c:pt>
                <c:pt idx="127">
                  <c:v>20.21</c:v>
                </c:pt>
                <c:pt idx="128">
                  <c:v>20.11</c:v>
                </c:pt>
                <c:pt idx="129">
                  <c:v>19.260000000000002</c:v>
                </c:pt>
                <c:pt idx="130">
                  <c:v>18.72</c:v>
                </c:pt>
                <c:pt idx="131">
                  <c:v>18.73</c:v>
                </c:pt>
                <c:pt idx="132">
                  <c:v>17.55</c:v>
                </c:pt>
                <c:pt idx="133">
                  <c:v>19.03</c:v>
                </c:pt>
                <c:pt idx="134">
                  <c:v>18.63</c:v>
                </c:pt>
                <c:pt idx="135">
                  <c:v>19.37</c:v>
                </c:pt>
                <c:pt idx="136">
                  <c:v>19.3</c:v>
                </c:pt>
                <c:pt idx="137">
                  <c:v>19.68</c:v>
                </c:pt>
                <c:pt idx="138">
                  <c:v>19.66</c:v>
                </c:pt>
                <c:pt idx="139">
                  <c:v>19</c:v>
                </c:pt>
                <c:pt idx="140">
                  <c:v>19.93</c:v>
                </c:pt>
                <c:pt idx="141">
                  <c:v>19.89</c:v>
                </c:pt>
                <c:pt idx="142">
                  <c:v>19.940000000000001</c:v>
                </c:pt>
                <c:pt idx="143">
                  <c:v>19.98</c:v>
                </c:pt>
                <c:pt idx="144">
                  <c:v>20.07</c:v>
                </c:pt>
                <c:pt idx="145">
                  <c:v>20.64</c:v>
                </c:pt>
                <c:pt idx="146">
                  <c:v>20.5</c:v>
                </c:pt>
                <c:pt idx="147">
                  <c:v>17.649999999999999</c:v>
                </c:pt>
                <c:pt idx="148">
                  <c:v>20.71</c:v>
                </c:pt>
                <c:pt idx="149">
                  <c:v>20.07</c:v>
                </c:pt>
                <c:pt idx="150">
                  <c:v>19.649999999999999</c:v>
                </c:pt>
                <c:pt idx="151">
                  <c:v>18.79</c:v>
                </c:pt>
                <c:pt idx="152">
                  <c:v>17.46</c:v>
                </c:pt>
                <c:pt idx="153">
                  <c:v>16.7</c:v>
                </c:pt>
                <c:pt idx="154">
                  <c:v>17.52</c:v>
                </c:pt>
                <c:pt idx="155">
                  <c:v>17.13</c:v>
                </c:pt>
                <c:pt idx="156">
                  <c:v>16.82</c:v>
                </c:pt>
                <c:pt idx="157">
                  <c:v>17.25</c:v>
                </c:pt>
                <c:pt idx="158">
                  <c:v>17.309999999999999</c:v>
                </c:pt>
                <c:pt idx="159">
                  <c:v>18.440000000000001</c:v>
                </c:pt>
                <c:pt idx="160">
                  <c:v>18.12</c:v>
                </c:pt>
                <c:pt idx="161">
                  <c:v>17.59</c:v>
                </c:pt>
                <c:pt idx="162">
                  <c:v>17.329999999999998</c:v>
                </c:pt>
                <c:pt idx="163">
                  <c:v>17.399999999999999</c:v>
                </c:pt>
                <c:pt idx="164">
                  <c:v>19.61</c:v>
                </c:pt>
                <c:pt idx="165">
                  <c:v>19.23</c:v>
                </c:pt>
                <c:pt idx="166">
                  <c:v>20.99</c:v>
                </c:pt>
                <c:pt idx="167">
                  <c:v>22.06</c:v>
                </c:pt>
                <c:pt idx="168">
                  <c:v>22.32</c:v>
                </c:pt>
                <c:pt idx="169">
                  <c:v>21.99</c:v>
                </c:pt>
                <c:pt idx="170">
                  <c:v>22.49</c:v>
                </c:pt>
                <c:pt idx="171">
                  <c:v>22.95</c:v>
                </c:pt>
                <c:pt idx="172">
                  <c:v>23.09</c:v>
                </c:pt>
                <c:pt idx="173">
                  <c:v>22.76</c:v>
                </c:pt>
                <c:pt idx="174">
                  <c:v>22.74</c:v>
                </c:pt>
                <c:pt idx="175">
                  <c:v>23.21</c:v>
                </c:pt>
                <c:pt idx="176">
                  <c:v>23.43</c:v>
                </c:pt>
                <c:pt idx="177">
                  <c:v>23.37</c:v>
                </c:pt>
                <c:pt idx="178">
                  <c:v>22.09</c:v>
                </c:pt>
                <c:pt idx="179">
                  <c:v>22.58</c:v>
                </c:pt>
                <c:pt idx="180">
                  <c:v>22.93</c:v>
                </c:pt>
                <c:pt idx="181">
                  <c:v>23.23</c:v>
                </c:pt>
                <c:pt idx="182">
                  <c:v>23.62</c:v>
                </c:pt>
                <c:pt idx="183">
                  <c:v>23.56</c:v>
                </c:pt>
                <c:pt idx="184">
                  <c:v>23.17</c:v>
                </c:pt>
                <c:pt idx="185">
                  <c:v>22.55</c:v>
                </c:pt>
                <c:pt idx="186">
                  <c:v>21.72</c:v>
                </c:pt>
                <c:pt idx="187">
                  <c:v>23.07</c:v>
                </c:pt>
                <c:pt idx="188">
                  <c:v>22.93</c:v>
                </c:pt>
                <c:pt idx="189">
                  <c:v>23.19</c:v>
                </c:pt>
                <c:pt idx="190">
                  <c:v>22.74</c:v>
                </c:pt>
                <c:pt idx="191">
                  <c:v>23.37</c:v>
                </c:pt>
                <c:pt idx="192">
                  <c:v>23.9</c:v>
                </c:pt>
                <c:pt idx="193">
                  <c:v>23.98</c:v>
                </c:pt>
                <c:pt idx="194">
                  <c:v>24.2</c:v>
                </c:pt>
                <c:pt idx="195">
                  <c:v>23.86</c:v>
                </c:pt>
                <c:pt idx="196">
                  <c:v>24.34</c:v>
                </c:pt>
                <c:pt idx="197">
                  <c:v>24.45</c:v>
                </c:pt>
                <c:pt idx="198">
                  <c:v>24.44</c:v>
                </c:pt>
                <c:pt idx="199">
                  <c:v>25.12</c:v>
                </c:pt>
                <c:pt idx="200">
                  <c:v>24.38</c:v>
                </c:pt>
                <c:pt idx="201">
                  <c:v>23.23</c:v>
                </c:pt>
                <c:pt idx="202">
                  <c:v>22.47</c:v>
                </c:pt>
                <c:pt idx="203">
                  <c:v>22.2</c:v>
                </c:pt>
                <c:pt idx="204">
                  <c:v>21.03</c:v>
                </c:pt>
                <c:pt idx="205">
                  <c:v>21.32</c:v>
                </c:pt>
                <c:pt idx="206">
                  <c:v>19.690000000000001</c:v>
                </c:pt>
                <c:pt idx="207">
                  <c:v>21.74</c:v>
                </c:pt>
                <c:pt idx="208">
                  <c:v>21.08</c:v>
                </c:pt>
                <c:pt idx="209">
                  <c:v>22.26</c:v>
                </c:pt>
                <c:pt idx="210">
                  <c:v>22.19</c:v>
                </c:pt>
                <c:pt idx="211">
                  <c:v>20.67</c:v>
                </c:pt>
                <c:pt idx="212">
                  <c:v>20.02</c:v>
                </c:pt>
                <c:pt idx="213">
                  <c:v>21.18</c:v>
                </c:pt>
                <c:pt idx="214">
                  <c:v>22.33</c:v>
                </c:pt>
                <c:pt idx="215">
                  <c:v>22.36</c:v>
                </c:pt>
                <c:pt idx="216">
                  <c:v>22.57</c:v>
                </c:pt>
                <c:pt idx="217">
                  <c:v>23</c:v>
                </c:pt>
                <c:pt idx="218">
                  <c:v>23.15</c:v>
                </c:pt>
                <c:pt idx="219">
                  <c:v>22.29</c:v>
                </c:pt>
                <c:pt idx="220">
                  <c:v>22.96</c:v>
                </c:pt>
                <c:pt idx="221">
                  <c:v>23.07</c:v>
                </c:pt>
                <c:pt idx="222">
                  <c:v>23.15</c:v>
                </c:pt>
                <c:pt idx="223">
                  <c:v>20.149999999999999</c:v>
                </c:pt>
                <c:pt idx="224">
                  <c:v>19.93</c:v>
                </c:pt>
                <c:pt idx="225">
                  <c:v>19.170000000000002</c:v>
                </c:pt>
                <c:pt idx="226">
                  <c:v>19.43</c:v>
                </c:pt>
                <c:pt idx="227">
                  <c:v>19.8</c:v>
                </c:pt>
                <c:pt idx="228">
                  <c:v>19.760000000000002</c:v>
                </c:pt>
                <c:pt idx="229">
                  <c:v>19.829999999999998</c:v>
                </c:pt>
                <c:pt idx="230">
                  <c:v>20.58</c:v>
                </c:pt>
                <c:pt idx="231">
                  <c:v>20.47</c:v>
                </c:pt>
                <c:pt idx="232">
                  <c:v>20.81</c:v>
                </c:pt>
                <c:pt idx="233">
                  <c:v>20.86</c:v>
                </c:pt>
                <c:pt idx="234">
                  <c:v>21.42</c:v>
                </c:pt>
                <c:pt idx="235">
                  <c:v>21.15</c:v>
                </c:pt>
                <c:pt idx="236">
                  <c:v>20.5</c:v>
                </c:pt>
                <c:pt idx="237">
                  <c:v>20.39</c:v>
                </c:pt>
                <c:pt idx="238">
                  <c:v>20.86</c:v>
                </c:pt>
                <c:pt idx="239">
                  <c:v>20.79</c:v>
                </c:pt>
                <c:pt idx="240">
                  <c:v>20.54</c:v>
                </c:pt>
                <c:pt idx="241">
                  <c:v>20.25</c:v>
                </c:pt>
                <c:pt idx="242">
                  <c:v>20.53</c:v>
                </c:pt>
                <c:pt idx="243">
                  <c:v>20.38</c:v>
                </c:pt>
                <c:pt idx="244">
                  <c:v>20.170000000000002</c:v>
                </c:pt>
                <c:pt idx="245">
                  <c:v>19.420000000000002</c:v>
                </c:pt>
                <c:pt idx="246">
                  <c:v>19.649999999999999</c:v>
                </c:pt>
                <c:pt idx="247">
                  <c:v>19.920000000000002</c:v>
                </c:pt>
                <c:pt idx="248">
                  <c:v>19.86</c:v>
                </c:pt>
                <c:pt idx="249">
                  <c:v>20.98</c:v>
                </c:pt>
                <c:pt idx="250">
                  <c:v>21.33</c:v>
                </c:pt>
                <c:pt idx="251">
                  <c:v>19.649999999999999</c:v>
                </c:pt>
                <c:pt idx="252">
                  <c:v>19.02</c:v>
                </c:pt>
                <c:pt idx="253">
                  <c:v>18.440000000000001</c:v>
                </c:pt>
                <c:pt idx="254">
                  <c:v>18.420000000000002</c:v>
                </c:pt>
                <c:pt idx="255">
                  <c:v>18.440000000000001</c:v>
                </c:pt>
                <c:pt idx="256">
                  <c:v>18.940000000000001</c:v>
                </c:pt>
                <c:pt idx="257">
                  <c:v>19.39</c:v>
                </c:pt>
                <c:pt idx="258">
                  <c:v>18.89</c:v>
                </c:pt>
                <c:pt idx="259">
                  <c:v>19.260000000000002</c:v>
                </c:pt>
                <c:pt idx="260">
                  <c:v>19.329999999999998</c:v>
                </c:pt>
                <c:pt idx="261">
                  <c:v>18.36</c:v>
                </c:pt>
                <c:pt idx="262">
                  <c:v>17.97</c:v>
                </c:pt>
                <c:pt idx="263">
                  <c:v>17.829999999999998</c:v>
                </c:pt>
                <c:pt idx="264">
                  <c:v>18.239999999999998</c:v>
                </c:pt>
                <c:pt idx="265">
                  <c:v>18.27</c:v>
                </c:pt>
                <c:pt idx="266">
                  <c:v>17.64</c:v>
                </c:pt>
                <c:pt idx="267">
                  <c:v>17.36</c:v>
                </c:pt>
                <c:pt idx="268">
                  <c:v>17.850000000000001</c:v>
                </c:pt>
                <c:pt idx="269">
                  <c:v>18.32</c:v>
                </c:pt>
                <c:pt idx="270">
                  <c:v>18.57</c:v>
                </c:pt>
                <c:pt idx="271">
                  <c:v>18.66</c:v>
                </c:pt>
                <c:pt idx="272">
                  <c:v>19.28</c:v>
                </c:pt>
                <c:pt idx="273">
                  <c:v>19.059999999999999</c:v>
                </c:pt>
                <c:pt idx="274">
                  <c:v>19.45</c:v>
                </c:pt>
                <c:pt idx="275">
                  <c:v>17.850000000000001</c:v>
                </c:pt>
                <c:pt idx="276">
                  <c:v>18.329999999999998</c:v>
                </c:pt>
                <c:pt idx="277">
                  <c:v>18.21</c:v>
                </c:pt>
                <c:pt idx="278">
                  <c:v>18.149999999999999</c:v>
                </c:pt>
                <c:pt idx="279">
                  <c:v>18.399999999999999</c:v>
                </c:pt>
                <c:pt idx="280">
                  <c:v>17.89</c:v>
                </c:pt>
                <c:pt idx="281">
                  <c:v>17.850000000000001</c:v>
                </c:pt>
                <c:pt idx="282">
                  <c:v>17.760000000000002</c:v>
                </c:pt>
                <c:pt idx="283">
                  <c:v>18.22</c:v>
                </c:pt>
                <c:pt idx="284">
                  <c:v>18.079999999999998</c:v>
                </c:pt>
                <c:pt idx="285">
                  <c:v>18.22</c:v>
                </c:pt>
                <c:pt idx="286">
                  <c:v>17.52</c:v>
                </c:pt>
                <c:pt idx="287">
                  <c:v>17.59</c:v>
                </c:pt>
                <c:pt idx="288">
                  <c:v>17.239999999999998</c:v>
                </c:pt>
                <c:pt idx="289">
                  <c:v>16.510000000000002</c:v>
                </c:pt>
                <c:pt idx="290">
                  <c:v>15.68</c:v>
                </c:pt>
                <c:pt idx="291">
                  <c:v>16.100000000000001</c:v>
                </c:pt>
                <c:pt idx="292">
                  <c:v>15.91</c:v>
                </c:pt>
                <c:pt idx="293">
                  <c:v>15.6</c:v>
                </c:pt>
                <c:pt idx="294">
                  <c:v>16.27</c:v>
                </c:pt>
                <c:pt idx="295">
                  <c:v>17</c:v>
                </c:pt>
                <c:pt idx="296">
                  <c:v>17.02</c:v>
                </c:pt>
                <c:pt idx="297">
                  <c:v>16.47</c:v>
                </c:pt>
                <c:pt idx="298">
                  <c:v>16.32</c:v>
                </c:pt>
                <c:pt idx="299">
                  <c:v>16.13</c:v>
                </c:pt>
                <c:pt idx="300">
                  <c:v>15.97</c:v>
                </c:pt>
                <c:pt idx="301">
                  <c:v>15.13</c:v>
                </c:pt>
                <c:pt idx="302">
                  <c:v>15.49</c:v>
                </c:pt>
                <c:pt idx="303">
                  <c:v>15.46</c:v>
                </c:pt>
                <c:pt idx="304">
                  <c:v>15.22</c:v>
                </c:pt>
                <c:pt idx="305">
                  <c:v>14.07</c:v>
                </c:pt>
                <c:pt idx="306">
                  <c:v>13.69</c:v>
                </c:pt>
                <c:pt idx="307">
                  <c:v>13.67</c:v>
                </c:pt>
                <c:pt idx="308">
                  <c:v>12.85</c:v>
                </c:pt>
                <c:pt idx="309">
                  <c:v>13.03</c:v>
                </c:pt>
                <c:pt idx="310">
                  <c:v>12.71</c:v>
                </c:pt>
                <c:pt idx="311">
                  <c:v>12.58</c:v>
                </c:pt>
                <c:pt idx="312">
                  <c:v>12.66</c:v>
                </c:pt>
                <c:pt idx="313">
                  <c:v>12.55</c:v>
                </c:pt>
                <c:pt idx="314">
                  <c:v>12.34</c:v>
                </c:pt>
                <c:pt idx="315">
                  <c:v>11.93</c:v>
                </c:pt>
                <c:pt idx="316">
                  <c:v>12.91</c:v>
                </c:pt>
                <c:pt idx="317">
                  <c:v>13.11</c:v>
                </c:pt>
                <c:pt idx="318">
                  <c:v>13.73</c:v>
                </c:pt>
                <c:pt idx="319">
                  <c:v>13.63</c:v>
                </c:pt>
                <c:pt idx="320">
                  <c:v>14.19</c:v>
                </c:pt>
                <c:pt idx="321">
                  <c:v>14.47</c:v>
                </c:pt>
                <c:pt idx="322">
                  <c:v>13.95</c:v>
                </c:pt>
                <c:pt idx="323">
                  <c:v>14.26</c:v>
                </c:pt>
                <c:pt idx="324">
                  <c:v>14.33</c:v>
                </c:pt>
                <c:pt idx="325">
                  <c:v>15</c:v>
                </c:pt>
                <c:pt idx="326">
                  <c:v>14.98</c:v>
                </c:pt>
                <c:pt idx="327">
                  <c:v>15.1</c:v>
                </c:pt>
                <c:pt idx="328">
                  <c:v>14.64</c:v>
                </c:pt>
                <c:pt idx="329">
                  <c:v>14.79</c:v>
                </c:pt>
                <c:pt idx="330">
                  <c:v>14.91</c:v>
                </c:pt>
                <c:pt idx="331">
                  <c:v>14.65</c:v>
                </c:pt>
                <c:pt idx="332">
                  <c:v>14.62</c:v>
                </c:pt>
                <c:pt idx="333">
                  <c:v>14.86</c:v>
                </c:pt>
                <c:pt idx="334">
                  <c:v>14.9</c:v>
                </c:pt>
                <c:pt idx="335">
                  <c:v>15.14</c:v>
                </c:pt>
                <c:pt idx="336">
                  <c:v>14.97</c:v>
                </c:pt>
                <c:pt idx="337">
                  <c:v>15.66</c:v>
                </c:pt>
                <c:pt idx="338">
                  <c:v>15.54</c:v>
                </c:pt>
                <c:pt idx="339">
                  <c:v>15.36</c:v>
                </c:pt>
                <c:pt idx="340">
                  <c:v>15.34</c:v>
                </c:pt>
                <c:pt idx="341">
                  <c:v>15.93</c:v>
                </c:pt>
                <c:pt idx="342">
                  <c:v>15.91</c:v>
                </c:pt>
                <c:pt idx="343">
                  <c:v>16.34</c:v>
                </c:pt>
                <c:pt idx="344">
                  <c:v>16.899999999999999</c:v>
                </c:pt>
                <c:pt idx="345">
                  <c:v>16.829999999999998</c:v>
                </c:pt>
                <c:pt idx="346">
                  <c:v>16.989999999999998</c:v>
                </c:pt>
                <c:pt idx="347">
                  <c:v>16.899999999999999</c:v>
                </c:pt>
                <c:pt idx="348">
                  <c:v>17.21</c:v>
                </c:pt>
                <c:pt idx="349">
                  <c:v>17.05</c:v>
                </c:pt>
                <c:pt idx="350">
                  <c:v>17.34</c:v>
                </c:pt>
                <c:pt idx="351">
                  <c:v>17.66</c:v>
                </c:pt>
                <c:pt idx="352">
                  <c:v>15.25</c:v>
                </c:pt>
                <c:pt idx="353">
                  <c:v>15.2</c:v>
                </c:pt>
                <c:pt idx="354">
                  <c:v>15.72</c:v>
                </c:pt>
                <c:pt idx="355">
                  <c:v>16.149999999999999</c:v>
                </c:pt>
                <c:pt idx="356">
                  <c:v>16.11</c:v>
                </c:pt>
                <c:pt idx="357">
                  <c:v>15.59</c:v>
                </c:pt>
                <c:pt idx="358">
                  <c:v>15.62</c:v>
                </c:pt>
                <c:pt idx="359">
                  <c:v>15.22</c:v>
                </c:pt>
                <c:pt idx="360">
                  <c:v>15.38</c:v>
                </c:pt>
                <c:pt idx="361">
                  <c:v>15.56</c:v>
                </c:pt>
                <c:pt idx="362">
                  <c:v>15.89</c:v>
                </c:pt>
                <c:pt idx="363">
                  <c:v>15.67</c:v>
                </c:pt>
                <c:pt idx="364">
                  <c:v>15.27</c:v>
                </c:pt>
                <c:pt idx="365">
                  <c:v>15.67</c:v>
                </c:pt>
                <c:pt idx="366">
                  <c:v>14.64</c:v>
                </c:pt>
                <c:pt idx="367">
                  <c:v>14.38</c:v>
                </c:pt>
                <c:pt idx="368">
                  <c:v>14.66</c:v>
                </c:pt>
                <c:pt idx="369">
                  <c:v>15.12</c:v>
                </c:pt>
                <c:pt idx="370">
                  <c:v>15.06</c:v>
                </c:pt>
                <c:pt idx="371">
                  <c:v>14.72</c:v>
                </c:pt>
                <c:pt idx="372">
                  <c:v>14.81</c:v>
                </c:pt>
                <c:pt idx="373">
                  <c:v>14.09</c:v>
                </c:pt>
                <c:pt idx="374">
                  <c:v>14.33</c:v>
                </c:pt>
                <c:pt idx="375">
                  <c:v>14.27</c:v>
                </c:pt>
                <c:pt idx="376">
                  <c:v>14.37</c:v>
                </c:pt>
                <c:pt idx="377">
                  <c:v>14.78</c:v>
                </c:pt>
                <c:pt idx="378">
                  <c:v>15.04</c:v>
                </c:pt>
                <c:pt idx="379">
                  <c:v>15</c:v>
                </c:pt>
                <c:pt idx="380">
                  <c:v>14.71</c:v>
                </c:pt>
                <c:pt idx="381">
                  <c:v>15.31</c:v>
                </c:pt>
                <c:pt idx="382">
                  <c:v>15.16</c:v>
                </c:pt>
                <c:pt idx="383">
                  <c:v>15.45</c:v>
                </c:pt>
                <c:pt idx="384">
                  <c:v>15.7</c:v>
                </c:pt>
                <c:pt idx="385">
                  <c:v>16.47</c:v>
                </c:pt>
                <c:pt idx="386">
                  <c:v>16.39</c:v>
                </c:pt>
                <c:pt idx="387">
                  <c:v>16.350000000000001</c:v>
                </c:pt>
                <c:pt idx="388">
                  <c:v>16.190000000000001</c:v>
                </c:pt>
                <c:pt idx="389">
                  <c:v>16.32</c:v>
                </c:pt>
                <c:pt idx="390">
                  <c:v>16.23</c:v>
                </c:pt>
                <c:pt idx="391">
                  <c:v>16.440000000000001</c:v>
                </c:pt>
                <c:pt idx="392">
                  <c:v>16.04</c:v>
                </c:pt>
                <c:pt idx="393">
                  <c:v>16.079999999999998</c:v>
                </c:pt>
                <c:pt idx="394">
                  <c:v>14.88</c:v>
                </c:pt>
                <c:pt idx="395">
                  <c:v>15.25</c:v>
                </c:pt>
                <c:pt idx="396">
                  <c:v>16.170000000000002</c:v>
                </c:pt>
                <c:pt idx="397">
                  <c:v>16.14</c:v>
                </c:pt>
                <c:pt idx="398">
                  <c:v>16.059999999999999</c:v>
                </c:pt>
                <c:pt idx="399">
                  <c:v>16.309999999999999</c:v>
                </c:pt>
                <c:pt idx="400">
                  <c:v>16.21</c:v>
                </c:pt>
                <c:pt idx="401">
                  <c:v>15.54</c:v>
                </c:pt>
                <c:pt idx="402">
                  <c:v>15.43</c:v>
                </c:pt>
                <c:pt idx="403">
                  <c:v>15.85</c:v>
                </c:pt>
                <c:pt idx="404">
                  <c:v>16</c:v>
                </c:pt>
                <c:pt idx="405">
                  <c:v>16.3</c:v>
                </c:pt>
                <c:pt idx="406">
                  <c:v>16.32</c:v>
                </c:pt>
                <c:pt idx="407">
                  <c:v>16.53</c:v>
                </c:pt>
                <c:pt idx="408">
                  <c:v>17.13</c:v>
                </c:pt>
                <c:pt idx="409">
                  <c:v>17.190000000000001</c:v>
                </c:pt>
                <c:pt idx="410">
                  <c:v>17.32</c:v>
                </c:pt>
                <c:pt idx="411">
                  <c:v>17.46</c:v>
                </c:pt>
                <c:pt idx="412">
                  <c:v>17.13</c:v>
                </c:pt>
                <c:pt idx="413">
                  <c:v>16.899999999999999</c:v>
                </c:pt>
                <c:pt idx="414">
                  <c:v>17.04</c:v>
                </c:pt>
                <c:pt idx="415">
                  <c:v>16.98</c:v>
                </c:pt>
                <c:pt idx="416">
                  <c:v>19.98</c:v>
                </c:pt>
                <c:pt idx="417">
                  <c:v>21.88</c:v>
                </c:pt>
                <c:pt idx="418">
                  <c:v>21.85</c:v>
                </c:pt>
                <c:pt idx="419">
                  <c:v>21.08</c:v>
                </c:pt>
                <c:pt idx="420">
                  <c:v>21</c:v>
                </c:pt>
                <c:pt idx="421">
                  <c:v>20.99</c:v>
                </c:pt>
                <c:pt idx="422">
                  <c:v>20.89</c:v>
                </c:pt>
                <c:pt idx="423">
                  <c:v>21.16</c:v>
                </c:pt>
                <c:pt idx="424">
                  <c:v>21.15</c:v>
                </c:pt>
                <c:pt idx="425">
                  <c:v>21.77</c:v>
                </c:pt>
                <c:pt idx="426">
                  <c:v>22.37</c:v>
                </c:pt>
                <c:pt idx="427">
                  <c:v>22.48</c:v>
                </c:pt>
                <c:pt idx="428">
                  <c:v>23.01</c:v>
                </c:pt>
                <c:pt idx="429">
                  <c:v>23.33</c:v>
                </c:pt>
                <c:pt idx="430">
                  <c:v>23.07</c:v>
                </c:pt>
                <c:pt idx="431">
                  <c:v>23.29</c:v>
                </c:pt>
                <c:pt idx="432">
                  <c:v>23.48</c:v>
                </c:pt>
                <c:pt idx="433">
                  <c:v>23.33</c:v>
                </c:pt>
                <c:pt idx="434">
                  <c:v>23.97</c:v>
                </c:pt>
                <c:pt idx="435">
                  <c:v>23.48</c:v>
                </c:pt>
                <c:pt idx="436">
                  <c:v>23.66</c:v>
                </c:pt>
                <c:pt idx="437">
                  <c:v>22.2</c:v>
                </c:pt>
                <c:pt idx="438">
                  <c:v>22.42</c:v>
                </c:pt>
                <c:pt idx="439">
                  <c:v>21.93</c:v>
                </c:pt>
                <c:pt idx="440">
                  <c:v>22.09</c:v>
                </c:pt>
                <c:pt idx="441">
                  <c:v>22</c:v>
                </c:pt>
                <c:pt idx="442">
                  <c:v>22.32</c:v>
                </c:pt>
                <c:pt idx="443">
                  <c:v>22.41</c:v>
                </c:pt>
                <c:pt idx="444">
                  <c:v>22.2</c:v>
                </c:pt>
                <c:pt idx="445">
                  <c:v>22.02</c:v>
                </c:pt>
                <c:pt idx="446">
                  <c:v>22.39</c:v>
                </c:pt>
                <c:pt idx="447">
                  <c:v>22.64</c:v>
                </c:pt>
                <c:pt idx="448">
                  <c:v>23.26</c:v>
                </c:pt>
                <c:pt idx="449">
                  <c:v>23.51</c:v>
                </c:pt>
                <c:pt idx="450">
                  <c:v>23.98</c:v>
                </c:pt>
                <c:pt idx="451">
                  <c:v>23.89</c:v>
                </c:pt>
                <c:pt idx="452">
                  <c:v>25.43</c:v>
                </c:pt>
                <c:pt idx="453">
                  <c:v>25.27</c:v>
                </c:pt>
                <c:pt idx="454">
                  <c:v>26.21</c:v>
                </c:pt>
                <c:pt idx="455">
                  <c:v>26.94</c:v>
                </c:pt>
                <c:pt idx="456">
                  <c:v>27.04</c:v>
                </c:pt>
                <c:pt idx="457">
                  <c:v>27.95</c:v>
                </c:pt>
                <c:pt idx="458">
                  <c:v>28.35</c:v>
                </c:pt>
                <c:pt idx="459">
                  <c:v>28.73</c:v>
                </c:pt>
                <c:pt idx="460">
                  <c:v>28.69</c:v>
                </c:pt>
                <c:pt idx="461">
                  <c:v>27.65</c:v>
                </c:pt>
                <c:pt idx="462">
                  <c:v>27.89</c:v>
                </c:pt>
                <c:pt idx="463">
                  <c:v>28.68</c:v>
                </c:pt>
                <c:pt idx="464">
                  <c:v>29.53</c:v>
                </c:pt>
                <c:pt idx="465">
                  <c:v>30.1</c:v>
                </c:pt>
                <c:pt idx="466">
                  <c:v>31.27</c:v>
                </c:pt>
                <c:pt idx="467">
                  <c:v>32.81</c:v>
                </c:pt>
                <c:pt idx="468">
                  <c:v>32.090000000000003</c:v>
                </c:pt>
                <c:pt idx="469">
                  <c:v>31.88</c:v>
                </c:pt>
                <c:pt idx="470">
                  <c:v>34.99</c:v>
                </c:pt>
                <c:pt idx="471">
                  <c:v>35.86</c:v>
                </c:pt>
                <c:pt idx="472">
                  <c:v>34.57</c:v>
                </c:pt>
                <c:pt idx="473">
                  <c:v>34.229999999999997</c:v>
                </c:pt>
                <c:pt idx="474">
                  <c:v>34.03</c:v>
                </c:pt>
                <c:pt idx="475">
                  <c:v>36.479999999999997</c:v>
                </c:pt>
                <c:pt idx="476">
                  <c:v>37.97</c:v>
                </c:pt>
                <c:pt idx="477">
                  <c:v>38.15</c:v>
                </c:pt>
                <c:pt idx="478">
                  <c:v>37.65</c:v>
                </c:pt>
                <c:pt idx="479">
                  <c:v>37.200000000000003</c:v>
                </c:pt>
                <c:pt idx="480">
                  <c:v>37.79</c:v>
                </c:pt>
                <c:pt idx="481">
                  <c:v>38.729999999999997</c:v>
                </c:pt>
                <c:pt idx="482">
                  <c:v>42.72</c:v>
                </c:pt>
                <c:pt idx="483">
                  <c:v>43.37</c:v>
                </c:pt>
                <c:pt idx="484">
                  <c:v>52</c:v>
                </c:pt>
                <c:pt idx="485">
                  <c:v>59.14</c:v>
                </c:pt>
                <c:pt idx="486">
                  <c:v>48.98</c:v>
                </c:pt>
                <c:pt idx="487">
                  <c:v>49.93</c:v>
                </c:pt>
                <c:pt idx="488">
                  <c:v>49.87</c:v>
                </c:pt>
                <c:pt idx="489">
                  <c:v>51.42</c:v>
                </c:pt>
                <c:pt idx="490">
                  <c:v>51.63</c:v>
                </c:pt>
                <c:pt idx="491">
                  <c:v>51.15</c:v>
                </c:pt>
                <c:pt idx="492">
                  <c:v>53.6</c:v>
                </c:pt>
                <c:pt idx="493">
                  <c:v>53.34</c:v>
                </c:pt>
                <c:pt idx="494">
                  <c:v>57.23</c:v>
                </c:pt>
                <c:pt idx="495">
                  <c:v>61.16</c:v>
                </c:pt>
                <c:pt idx="496">
                  <c:v>59.96</c:v>
                </c:pt>
                <c:pt idx="497">
                  <c:v>60.07</c:v>
                </c:pt>
                <c:pt idx="498">
                  <c:v>55.59</c:v>
                </c:pt>
                <c:pt idx="499">
                  <c:v>53.33</c:v>
                </c:pt>
                <c:pt idx="500">
                  <c:v>51.92</c:v>
                </c:pt>
                <c:pt idx="501">
                  <c:v>45.27</c:v>
                </c:pt>
                <c:pt idx="502">
                  <c:v>44.53</c:v>
                </c:pt>
                <c:pt idx="503">
                  <c:v>49.57</c:v>
                </c:pt>
                <c:pt idx="504">
                  <c:v>49.7</c:v>
                </c:pt>
                <c:pt idx="505">
                  <c:v>49.97</c:v>
                </c:pt>
                <c:pt idx="506">
                  <c:v>48.3</c:v>
                </c:pt>
                <c:pt idx="507">
                  <c:v>46.9</c:v>
                </c:pt>
                <c:pt idx="508">
                  <c:v>40.53</c:v>
                </c:pt>
                <c:pt idx="509">
                  <c:v>43.02</c:v>
                </c:pt>
                <c:pt idx="510">
                  <c:v>42.28</c:v>
                </c:pt>
                <c:pt idx="511">
                  <c:v>37.369999999999997</c:v>
                </c:pt>
                <c:pt idx="512">
                  <c:v>36.44</c:v>
                </c:pt>
                <c:pt idx="513">
                  <c:v>29.67</c:v>
                </c:pt>
                <c:pt idx="514">
                  <c:v>28.68</c:v>
                </c:pt>
                <c:pt idx="515">
                  <c:v>24.08</c:v>
                </c:pt>
                <c:pt idx="516">
                  <c:v>28.51</c:v>
                </c:pt>
                <c:pt idx="517">
                  <c:v>28.5</c:v>
                </c:pt>
                <c:pt idx="518">
                  <c:v>28.95</c:v>
                </c:pt>
                <c:pt idx="519">
                  <c:v>33.67</c:v>
                </c:pt>
                <c:pt idx="520">
                  <c:v>35.950000000000003</c:v>
                </c:pt>
                <c:pt idx="521">
                  <c:v>35.21</c:v>
                </c:pt>
                <c:pt idx="522">
                  <c:v>34.29</c:v>
                </c:pt>
                <c:pt idx="523">
                  <c:v>33.479999999999997</c:v>
                </c:pt>
                <c:pt idx="524">
                  <c:v>34.93</c:v>
                </c:pt>
                <c:pt idx="525">
                  <c:v>32.1</c:v>
                </c:pt>
                <c:pt idx="526">
                  <c:v>30.3</c:v>
                </c:pt>
                <c:pt idx="527">
                  <c:v>32</c:v>
                </c:pt>
                <c:pt idx="528">
                  <c:v>34.42</c:v>
                </c:pt>
                <c:pt idx="529">
                  <c:v>36.36</c:v>
                </c:pt>
                <c:pt idx="530">
                  <c:v>36.590000000000003</c:v>
                </c:pt>
                <c:pt idx="531">
                  <c:v>38.200000000000003</c:v>
                </c:pt>
                <c:pt idx="532">
                  <c:v>43.4</c:v>
                </c:pt>
                <c:pt idx="533">
                  <c:v>47.33</c:v>
                </c:pt>
                <c:pt idx="534">
                  <c:v>48.66</c:v>
                </c:pt>
                <c:pt idx="535">
                  <c:v>49.68</c:v>
                </c:pt>
                <c:pt idx="536">
                  <c:v>50.26</c:v>
                </c:pt>
                <c:pt idx="537">
                  <c:v>49.76</c:v>
                </c:pt>
                <c:pt idx="538">
                  <c:v>45.78</c:v>
                </c:pt>
                <c:pt idx="539">
                  <c:v>48.81</c:v>
                </c:pt>
                <c:pt idx="540">
                  <c:v>47.04</c:v>
                </c:pt>
                <c:pt idx="541">
                  <c:v>48.34</c:v>
                </c:pt>
                <c:pt idx="542">
                  <c:v>53.25</c:v>
                </c:pt>
                <c:pt idx="543">
                  <c:v>51.27</c:v>
                </c:pt>
                <c:pt idx="544">
                  <c:v>53.37</c:v>
                </c:pt>
                <c:pt idx="545">
                  <c:v>52.13</c:v>
                </c:pt>
                <c:pt idx="546">
                  <c:v>46.75</c:v>
                </c:pt>
                <c:pt idx="547">
                  <c:v>50.75</c:v>
                </c:pt>
                <c:pt idx="548">
                  <c:v>51.21</c:v>
                </c:pt>
                <c:pt idx="549">
                  <c:v>52.17</c:v>
                </c:pt>
                <c:pt idx="550">
                  <c:v>52</c:v>
                </c:pt>
                <c:pt idx="551">
                  <c:v>54.63</c:v>
                </c:pt>
                <c:pt idx="552">
                  <c:v>54.09</c:v>
                </c:pt>
                <c:pt idx="553">
                  <c:v>53.96</c:v>
                </c:pt>
                <c:pt idx="554">
                  <c:v>52.73</c:v>
                </c:pt>
                <c:pt idx="555">
                  <c:v>53.56</c:v>
                </c:pt>
                <c:pt idx="556">
                  <c:v>53.28</c:v>
                </c:pt>
                <c:pt idx="557">
                  <c:v>54.24</c:v>
                </c:pt>
                <c:pt idx="558">
                  <c:v>53.87</c:v>
                </c:pt>
                <c:pt idx="559">
                  <c:v>54.37</c:v>
                </c:pt>
                <c:pt idx="560">
                  <c:v>55.17</c:v>
                </c:pt>
                <c:pt idx="561">
                  <c:v>54.46</c:v>
                </c:pt>
                <c:pt idx="562">
                  <c:v>54.59</c:v>
                </c:pt>
                <c:pt idx="563">
                  <c:v>54.68</c:v>
                </c:pt>
                <c:pt idx="564">
                  <c:v>53.72</c:v>
                </c:pt>
                <c:pt idx="565">
                  <c:v>55.67</c:v>
                </c:pt>
                <c:pt idx="566">
                  <c:v>59.87</c:v>
                </c:pt>
                <c:pt idx="567">
                  <c:v>58.77</c:v>
                </c:pt>
                <c:pt idx="568">
                  <c:v>58.86</c:v>
                </c:pt>
                <c:pt idx="569">
                  <c:v>57.63</c:v>
                </c:pt>
                <c:pt idx="570">
                  <c:v>59.04</c:v>
                </c:pt>
                <c:pt idx="571">
                  <c:v>63.33</c:v>
                </c:pt>
                <c:pt idx="572">
                  <c:v>62.71</c:v>
                </c:pt>
                <c:pt idx="573">
                  <c:v>68.34</c:v>
                </c:pt>
                <c:pt idx="574">
                  <c:v>64.86</c:v>
                </c:pt>
                <c:pt idx="575">
                  <c:v>62.35</c:v>
                </c:pt>
                <c:pt idx="576">
                  <c:v>66.06</c:v>
                </c:pt>
                <c:pt idx="577">
                  <c:v>65.48</c:v>
                </c:pt>
                <c:pt idx="578">
                  <c:v>66.12</c:v>
                </c:pt>
                <c:pt idx="579">
                  <c:v>66.930000000000007</c:v>
                </c:pt>
                <c:pt idx="580">
                  <c:v>66.73</c:v>
                </c:pt>
                <c:pt idx="581">
                  <c:v>66.290000000000006</c:v>
                </c:pt>
                <c:pt idx="582">
                  <c:v>66.790000000000006</c:v>
                </c:pt>
                <c:pt idx="583">
                  <c:v>64.06</c:v>
                </c:pt>
                <c:pt idx="584">
                  <c:v>65.73</c:v>
                </c:pt>
                <c:pt idx="585">
                  <c:v>63.98</c:v>
                </c:pt>
                <c:pt idx="586">
                  <c:v>67.290000000000006</c:v>
                </c:pt>
                <c:pt idx="587">
                  <c:v>71.989999999999995</c:v>
                </c:pt>
                <c:pt idx="588">
                  <c:v>74.64</c:v>
                </c:pt>
                <c:pt idx="589">
                  <c:v>80.58</c:v>
                </c:pt>
                <c:pt idx="590">
                  <c:v>91.44</c:v>
                </c:pt>
                <c:pt idx="591">
                  <c:v>92.66</c:v>
                </c:pt>
                <c:pt idx="592">
                  <c:v>91.06</c:v>
                </c:pt>
                <c:pt idx="593">
                  <c:v>92.95</c:v>
                </c:pt>
                <c:pt idx="594">
                  <c:v>102.98</c:v>
                </c:pt>
                <c:pt idx="595">
                  <c:v>99.8</c:v>
                </c:pt>
                <c:pt idx="596">
                  <c:v>101.12</c:v>
                </c:pt>
                <c:pt idx="597">
                  <c:v>103.07</c:v>
                </c:pt>
                <c:pt idx="598">
                  <c:v>100.04</c:v>
                </c:pt>
                <c:pt idx="599">
                  <c:v>100.06</c:v>
                </c:pt>
                <c:pt idx="600">
                  <c:v>109.53</c:v>
                </c:pt>
                <c:pt idx="601">
                  <c:v>104.56</c:v>
                </c:pt>
                <c:pt idx="602">
                  <c:v>106.16</c:v>
                </c:pt>
                <c:pt idx="603">
                  <c:v>100.87</c:v>
                </c:pt>
                <c:pt idx="604">
                  <c:v>94.47</c:v>
                </c:pt>
                <c:pt idx="605">
                  <c:v>102.64</c:v>
                </c:pt>
                <c:pt idx="606">
                  <c:v>98.43</c:v>
                </c:pt>
                <c:pt idx="607">
                  <c:v>99.94</c:v>
                </c:pt>
                <c:pt idx="608">
                  <c:v>99.17</c:v>
                </c:pt>
                <c:pt idx="609">
                  <c:v>95.38</c:v>
                </c:pt>
                <c:pt idx="610">
                  <c:v>99</c:v>
                </c:pt>
                <c:pt idx="611">
                  <c:v>99.13</c:v>
                </c:pt>
                <c:pt idx="612">
                  <c:v>99</c:v>
                </c:pt>
                <c:pt idx="613">
                  <c:v>99.31</c:v>
                </c:pt>
                <c:pt idx="614">
                  <c:v>96.85</c:v>
                </c:pt>
                <c:pt idx="615">
                  <c:v>94.57</c:v>
                </c:pt>
                <c:pt idx="616">
                  <c:v>91.63</c:v>
                </c:pt>
                <c:pt idx="617">
                  <c:v>103.65</c:v>
                </c:pt>
                <c:pt idx="618">
                  <c:v>108.07</c:v>
                </c:pt>
                <c:pt idx="619">
                  <c:v>110.05</c:v>
                </c:pt>
                <c:pt idx="620">
                  <c:v>122.38</c:v>
                </c:pt>
                <c:pt idx="621">
                  <c:v>125.81</c:v>
                </c:pt>
                <c:pt idx="622">
                  <c:v>125.24</c:v>
                </c:pt>
                <c:pt idx="623">
                  <c:v>133.46</c:v>
                </c:pt>
                <c:pt idx="624">
                  <c:v>136.66999999999999</c:v>
                </c:pt>
                <c:pt idx="625">
                  <c:v>134.28</c:v>
                </c:pt>
                <c:pt idx="626">
                  <c:v>134.88999999999999</c:v>
                </c:pt>
                <c:pt idx="627">
                  <c:v>143.54</c:v>
                </c:pt>
                <c:pt idx="628">
                  <c:v>149.25</c:v>
                </c:pt>
                <c:pt idx="629">
                  <c:v>147.56</c:v>
                </c:pt>
                <c:pt idx="630">
                  <c:v>166.11</c:v>
                </c:pt>
                <c:pt idx="631">
                  <c:v>158.35</c:v>
                </c:pt>
                <c:pt idx="632">
                  <c:v>149.12</c:v>
                </c:pt>
                <c:pt idx="633">
                  <c:v>135.66999999999999</c:v>
                </c:pt>
                <c:pt idx="634">
                  <c:v>139.44</c:v>
                </c:pt>
                <c:pt idx="635">
                  <c:v>110.07</c:v>
                </c:pt>
                <c:pt idx="636">
                  <c:v>122.09</c:v>
                </c:pt>
                <c:pt idx="637">
                  <c:v>123.78</c:v>
                </c:pt>
                <c:pt idx="638">
                  <c:v>124.24</c:v>
                </c:pt>
                <c:pt idx="639">
                  <c:v>139.87</c:v>
                </c:pt>
                <c:pt idx="640">
                  <c:v>149.91999999999999</c:v>
                </c:pt>
                <c:pt idx="641">
                  <c:v>147.25</c:v>
                </c:pt>
                <c:pt idx="642">
                  <c:v>141.13999999999999</c:v>
                </c:pt>
                <c:pt idx="643">
                  <c:v>147.38</c:v>
                </c:pt>
                <c:pt idx="644">
                  <c:v>149.80000000000001</c:v>
                </c:pt>
                <c:pt idx="645">
                  <c:v>141.41</c:v>
                </c:pt>
                <c:pt idx="646">
                  <c:v>126.79</c:v>
                </c:pt>
                <c:pt idx="647">
                  <c:v>129.26</c:v>
                </c:pt>
                <c:pt idx="648">
                  <c:v>135.78</c:v>
                </c:pt>
                <c:pt idx="649">
                  <c:v>140.4</c:v>
                </c:pt>
                <c:pt idx="650">
                  <c:v>139.69</c:v>
                </c:pt>
                <c:pt idx="651">
                  <c:v>143</c:v>
                </c:pt>
                <c:pt idx="652">
                  <c:v>149.38999999999999</c:v>
                </c:pt>
                <c:pt idx="653">
                  <c:v>138.36000000000001</c:v>
                </c:pt>
                <c:pt idx="654">
                  <c:v>141.88999999999999</c:v>
                </c:pt>
                <c:pt idx="655">
                  <c:v>137.99</c:v>
                </c:pt>
                <c:pt idx="656">
                  <c:v>141.77000000000001</c:v>
                </c:pt>
                <c:pt idx="657">
                  <c:v>141.97</c:v>
                </c:pt>
                <c:pt idx="658">
                  <c:v>144.66999999999999</c:v>
                </c:pt>
                <c:pt idx="659">
                  <c:v>147.43</c:v>
                </c:pt>
                <c:pt idx="660">
                  <c:v>148.88</c:v>
                </c:pt>
                <c:pt idx="661">
                  <c:v>153.77000000000001</c:v>
                </c:pt>
                <c:pt idx="662">
                  <c:v>149.63</c:v>
                </c:pt>
                <c:pt idx="663">
                  <c:v>146.56</c:v>
                </c:pt>
                <c:pt idx="664">
                  <c:v>143.61000000000001</c:v>
                </c:pt>
                <c:pt idx="665">
                  <c:v>140.65</c:v>
                </c:pt>
                <c:pt idx="666">
                  <c:v>140.88</c:v>
                </c:pt>
                <c:pt idx="667">
                  <c:v>141.93</c:v>
                </c:pt>
                <c:pt idx="668">
                  <c:v>140.21</c:v>
                </c:pt>
                <c:pt idx="669">
                  <c:v>140.09</c:v>
                </c:pt>
                <c:pt idx="670">
                  <c:v>141.56</c:v>
                </c:pt>
                <c:pt idx="671">
                  <c:v>135.34</c:v>
                </c:pt>
                <c:pt idx="672">
                  <c:v>136.94</c:v>
                </c:pt>
                <c:pt idx="673">
                  <c:v>129.35</c:v>
                </c:pt>
                <c:pt idx="674">
                  <c:v>133.5</c:v>
                </c:pt>
                <c:pt idx="675">
                  <c:v>141.30000000000001</c:v>
                </c:pt>
                <c:pt idx="676">
                  <c:v>140.33000000000001</c:v>
                </c:pt>
                <c:pt idx="677">
                  <c:v>146.03</c:v>
                </c:pt>
                <c:pt idx="678">
                  <c:v>143.32</c:v>
                </c:pt>
                <c:pt idx="679">
                  <c:v>140.41999999999999</c:v>
                </c:pt>
                <c:pt idx="680">
                  <c:v>136.79</c:v>
                </c:pt>
                <c:pt idx="681">
                  <c:v>139.04</c:v>
                </c:pt>
                <c:pt idx="682">
                  <c:v>137.25</c:v>
                </c:pt>
                <c:pt idx="683">
                  <c:v>136.16999999999999</c:v>
                </c:pt>
                <c:pt idx="684">
                  <c:v>136.03</c:v>
                </c:pt>
                <c:pt idx="685">
                  <c:v>147.19999999999999</c:v>
                </c:pt>
                <c:pt idx="686">
                  <c:v>162.21</c:v>
                </c:pt>
                <c:pt idx="687">
                  <c:v>166.42</c:v>
                </c:pt>
                <c:pt idx="688">
                  <c:v>163.19999999999999</c:v>
                </c:pt>
                <c:pt idx="689">
                  <c:v>173.95</c:v>
                </c:pt>
                <c:pt idx="690">
                  <c:v>185.13</c:v>
                </c:pt>
                <c:pt idx="691">
                  <c:v>191.33</c:v>
                </c:pt>
                <c:pt idx="692">
                  <c:v>195.25</c:v>
                </c:pt>
                <c:pt idx="693">
                  <c:v>189.2</c:v>
                </c:pt>
                <c:pt idx="694">
                  <c:v>194.92</c:v>
                </c:pt>
                <c:pt idx="695">
                  <c:v>189.61</c:v>
                </c:pt>
                <c:pt idx="696">
                  <c:v>197.79</c:v>
                </c:pt>
                <c:pt idx="697">
                  <c:v>199.68</c:v>
                </c:pt>
                <c:pt idx="698">
                  <c:v>213.92</c:v>
                </c:pt>
                <c:pt idx="699">
                  <c:v>216.63</c:v>
                </c:pt>
                <c:pt idx="700">
                  <c:v>201.49</c:v>
                </c:pt>
                <c:pt idx="701">
                  <c:v>209.02</c:v>
                </c:pt>
                <c:pt idx="702">
                  <c:v>203.33</c:v>
                </c:pt>
                <c:pt idx="703">
                  <c:v>213.28</c:v>
                </c:pt>
                <c:pt idx="704">
                  <c:v>211.08</c:v>
                </c:pt>
                <c:pt idx="705">
                  <c:v>207.59</c:v>
                </c:pt>
                <c:pt idx="706">
                  <c:v>218.63</c:v>
                </c:pt>
                <c:pt idx="707">
                  <c:v>231.67</c:v>
                </c:pt>
                <c:pt idx="708">
                  <c:v>216.62</c:v>
                </c:pt>
                <c:pt idx="709">
                  <c:v>213.45</c:v>
                </c:pt>
                <c:pt idx="710">
                  <c:v>215.33</c:v>
                </c:pt>
                <c:pt idx="711">
                  <c:v>220.59</c:v>
                </c:pt>
                <c:pt idx="712">
                  <c:v>221.23</c:v>
                </c:pt>
                <c:pt idx="713">
                  <c:v>222</c:v>
                </c:pt>
                <c:pt idx="714">
                  <c:v>231.59</c:v>
                </c:pt>
                <c:pt idx="715">
                  <c:v>235.22</c:v>
                </c:pt>
                <c:pt idx="716">
                  <c:v>243.26</c:v>
                </c:pt>
                <c:pt idx="717">
                  <c:v>245.04</c:v>
                </c:pt>
                <c:pt idx="718">
                  <c:v>251.99</c:v>
                </c:pt>
                <c:pt idx="719">
                  <c:v>272.01</c:v>
                </c:pt>
                <c:pt idx="720">
                  <c:v>293.33999999999997</c:v>
                </c:pt>
                <c:pt idx="721">
                  <c:v>270.39999999999998</c:v>
                </c:pt>
                <c:pt idx="722">
                  <c:v>283.14999999999998</c:v>
                </c:pt>
                <c:pt idx="723">
                  <c:v>284.8</c:v>
                </c:pt>
                <c:pt idx="724">
                  <c:v>281.67</c:v>
                </c:pt>
                <c:pt idx="725">
                  <c:v>275.39</c:v>
                </c:pt>
                <c:pt idx="726">
                  <c:v>281.52</c:v>
                </c:pt>
                <c:pt idx="727">
                  <c:v>283.48</c:v>
                </c:pt>
                <c:pt idx="728">
                  <c:v>281.66000000000003</c:v>
                </c:pt>
                <c:pt idx="729">
                  <c:v>282.20999999999998</c:v>
                </c:pt>
                <c:pt idx="730">
                  <c:v>293.60000000000002</c:v>
                </c:pt>
                <c:pt idx="731">
                  <c:v>294.36</c:v>
                </c:pt>
                <c:pt idx="732">
                  <c:v>288.05</c:v>
                </c:pt>
                <c:pt idx="733">
                  <c:v>278.48</c:v>
                </c:pt>
                <c:pt idx="734">
                  <c:v>264.51</c:v>
                </c:pt>
                <c:pt idx="735">
                  <c:v>279.94</c:v>
                </c:pt>
                <c:pt idx="736">
                  <c:v>290.93</c:v>
                </c:pt>
                <c:pt idx="737">
                  <c:v>284.89999999999998</c:v>
                </c:pt>
                <c:pt idx="738">
                  <c:v>283.33</c:v>
                </c:pt>
                <c:pt idx="739">
                  <c:v>284.08</c:v>
                </c:pt>
                <c:pt idx="740">
                  <c:v>287.81</c:v>
                </c:pt>
                <c:pt idx="741">
                  <c:v>283.14999999999998</c:v>
                </c:pt>
                <c:pt idx="742">
                  <c:v>268.27</c:v>
                </c:pt>
                <c:pt idx="743">
                  <c:v>270.55</c:v>
                </c:pt>
                <c:pt idx="744">
                  <c:v>272.04000000000002</c:v>
                </c:pt>
                <c:pt idx="745">
                  <c:v>265.41000000000003</c:v>
                </c:pt>
                <c:pt idx="746">
                  <c:v>266.05</c:v>
                </c:pt>
                <c:pt idx="747">
                  <c:v>262.45999999999998</c:v>
                </c:pt>
                <c:pt idx="748">
                  <c:v>260.43</c:v>
                </c:pt>
                <c:pt idx="749">
                  <c:v>238.17</c:v>
                </c:pt>
                <c:pt idx="750">
                  <c:v>232.95</c:v>
                </c:pt>
                <c:pt idx="751">
                  <c:v>247.34</c:v>
                </c:pt>
                <c:pt idx="752">
                  <c:v>227.41</c:v>
                </c:pt>
                <c:pt idx="753">
                  <c:v>225.17</c:v>
                </c:pt>
                <c:pt idx="754">
                  <c:v>239.48</c:v>
                </c:pt>
                <c:pt idx="755">
                  <c:v>228.81</c:v>
                </c:pt>
                <c:pt idx="756">
                  <c:v>217.73</c:v>
                </c:pt>
                <c:pt idx="757">
                  <c:v>207.15</c:v>
                </c:pt>
                <c:pt idx="758">
                  <c:v>199.32</c:v>
                </c:pt>
                <c:pt idx="759">
                  <c:v>187.67</c:v>
                </c:pt>
                <c:pt idx="760">
                  <c:v>224.53</c:v>
                </c:pt>
                <c:pt idx="761">
                  <c:v>222.69</c:v>
                </c:pt>
                <c:pt idx="762">
                  <c:v>233.2</c:v>
                </c:pt>
                <c:pt idx="763">
                  <c:v>231.24</c:v>
                </c:pt>
                <c:pt idx="764">
                  <c:v>235.98</c:v>
                </c:pt>
                <c:pt idx="765">
                  <c:v>225.63</c:v>
                </c:pt>
                <c:pt idx="766">
                  <c:v>233.94</c:v>
                </c:pt>
                <c:pt idx="767">
                  <c:v>217.72</c:v>
                </c:pt>
                <c:pt idx="768">
                  <c:v>218.29</c:v>
                </c:pt>
                <c:pt idx="769">
                  <c:v>223.33</c:v>
                </c:pt>
                <c:pt idx="770">
                  <c:v>220.72</c:v>
                </c:pt>
                <c:pt idx="771">
                  <c:v>210.09</c:v>
                </c:pt>
                <c:pt idx="772">
                  <c:v>213.46</c:v>
                </c:pt>
                <c:pt idx="773">
                  <c:v>206.24</c:v>
                </c:pt>
                <c:pt idx="774">
                  <c:v>203.76</c:v>
                </c:pt>
                <c:pt idx="775">
                  <c:v>211.87</c:v>
                </c:pt>
                <c:pt idx="776">
                  <c:v>222.64</c:v>
                </c:pt>
                <c:pt idx="777">
                  <c:v>220.58</c:v>
                </c:pt>
                <c:pt idx="778">
                  <c:v>230.35</c:v>
                </c:pt>
                <c:pt idx="779">
                  <c:v>230.54</c:v>
                </c:pt>
                <c:pt idx="780">
                  <c:v>223.66</c:v>
                </c:pt>
                <c:pt idx="781">
                  <c:v>227.93</c:v>
                </c:pt>
                <c:pt idx="782">
                  <c:v>225.67</c:v>
                </c:pt>
                <c:pt idx="783">
                  <c:v>233.99</c:v>
                </c:pt>
                <c:pt idx="784">
                  <c:v>254.11</c:v>
                </c:pt>
                <c:pt idx="785">
                  <c:v>244.08</c:v>
                </c:pt>
                <c:pt idx="786">
                  <c:v>246.28</c:v>
                </c:pt>
                <c:pt idx="787">
                  <c:v>246.59</c:v>
                </c:pt>
                <c:pt idx="788">
                  <c:v>238.21</c:v>
                </c:pt>
                <c:pt idx="789">
                  <c:v>239.66</c:v>
                </c:pt>
                <c:pt idx="790">
                  <c:v>248.04</c:v>
                </c:pt>
                <c:pt idx="791">
                  <c:v>239.9</c:v>
                </c:pt>
                <c:pt idx="792">
                  <c:v>243.13</c:v>
                </c:pt>
                <c:pt idx="793">
                  <c:v>246.07</c:v>
                </c:pt>
                <c:pt idx="794">
                  <c:v>234.91</c:v>
                </c:pt>
                <c:pt idx="795">
                  <c:v>231.47</c:v>
                </c:pt>
                <c:pt idx="796">
                  <c:v>225.67</c:v>
                </c:pt>
                <c:pt idx="797">
                  <c:v>236.48</c:v>
                </c:pt>
                <c:pt idx="798">
                  <c:v>228.3</c:v>
                </c:pt>
                <c:pt idx="799">
                  <c:v>224.53</c:v>
                </c:pt>
                <c:pt idx="800">
                  <c:v>223.65</c:v>
                </c:pt>
                <c:pt idx="801">
                  <c:v>221.18</c:v>
                </c:pt>
                <c:pt idx="802">
                  <c:v>224.12</c:v>
                </c:pt>
                <c:pt idx="803">
                  <c:v>209.68</c:v>
                </c:pt>
                <c:pt idx="804">
                  <c:v>205.73</c:v>
                </c:pt>
                <c:pt idx="805">
                  <c:v>196.63</c:v>
                </c:pt>
                <c:pt idx="806">
                  <c:v>190.56</c:v>
                </c:pt>
                <c:pt idx="807">
                  <c:v>196.58</c:v>
                </c:pt>
                <c:pt idx="808">
                  <c:v>192.28</c:v>
                </c:pt>
                <c:pt idx="809">
                  <c:v>192.62</c:v>
                </c:pt>
                <c:pt idx="810">
                  <c:v>187.82</c:v>
                </c:pt>
                <c:pt idx="811">
                  <c:v>195.59</c:v>
                </c:pt>
                <c:pt idx="812">
                  <c:v>193.63</c:v>
                </c:pt>
                <c:pt idx="813">
                  <c:v>202.15</c:v>
                </c:pt>
                <c:pt idx="814">
                  <c:v>201.56</c:v>
                </c:pt>
                <c:pt idx="815">
                  <c:v>206.38</c:v>
                </c:pt>
                <c:pt idx="816">
                  <c:v>210.28</c:v>
                </c:pt>
                <c:pt idx="817">
                  <c:v>208.41</c:v>
                </c:pt>
                <c:pt idx="818">
                  <c:v>207.97</c:v>
                </c:pt>
                <c:pt idx="819">
                  <c:v>201.71</c:v>
                </c:pt>
                <c:pt idx="820">
                  <c:v>190.95</c:v>
                </c:pt>
                <c:pt idx="821">
                  <c:v>199.68</c:v>
                </c:pt>
                <c:pt idx="822">
                  <c:v>201.71</c:v>
                </c:pt>
                <c:pt idx="823">
                  <c:v>201.2</c:v>
                </c:pt>
                <c:pt idx="824">
                  <c:v>199.59</c:v>
                </c:pt>
                <c:pt idx="825">
                  <c:v>203.37</c:v>
                </c:pt>
                <c:pt idx="826">
                  <c:v>203.3</c:v>
                </c:pt>
                <c:pt idx="827">
                  <c:v>205.9</c:v>
                </c:pt>
                <c:pt idx="828">
                  <c:v>199.79</c:v>
                </c:pt>
                <c:pt idx="829">
                  <c:v>201.62</c:v>
                </c:pt>
                <c:pt idx="830">
                  <c:v>205.53</c:v>
                </c:pt>
                <c:pt idx="831">
                  <c:v>207.77</c:v>
                </c:pt>
                <c:pt idx="832">
                  <c:v>206.94</c:v>
                </c:pt>
                <c:pt idx="833">
                  <c:v>207.9</c:v>
                </c:pt>
                <c:pt idx="834">
                  <c:v>218.86</c:v>
                </c:pt>
                <c:pt idx="835">
                  <c:v>226.61</c:v>
                </c:pt>
                <c:pt idx="836">
                  <c:v>223.96</c:v>
                </c:pt>
                <c:pt idx="837">
                  <c:v>229.57</c:v>
                </c:pt>
                <c:pt idx="838">
                  <c:v>226.92</c:v>
                </c:pt>
                <c:pt idx="839">
                  <c:v>226.57</c:v>
                </c:pt>
                <c:pt idx="840">
                  <c:v>225.97</c:v>
                </c:pt>
                <c:pt idx="841">
                  <c:v>226.3</c:v>
                </c:pt>
                <c:pt idx="842">
                  <c:v>219.86</c:v>
                </c:pt>
                <c:pt idx="843">
                  <c:v>214.88</c:v>
                </c:pt>
                <c:pt idx="844">
                  <c:v>217.6</c:v>
                </c:pt>
                <c:pt idx="845">
                  <c:v>218.98</c:v>
                </c:pt>
                <c:pt idx="846">
                  <c:v>228.57</c:v>
                </c:pt>
                <c:pt idx="847">
                  <c:v>222.85</c:v>
                </c:pt>
                <c:pt idx="848">
                  <c:v>217.79</c:v>
                </c:pt>
                <c:pt idx="849">
                  <c:v>216.87</c:v>
                </c:pt>
                <c:pt idx="850">
                  <c:v>214.74</c:v>
                </c:pt>
                <c:pt idx="851">
                  <c:v>215.41</c:v>
                </c:pt>
                <c:pt idx="852">
                  <c:v>220.17</c:v>
                </c:pt>
                <c:pt idx="853">
                  <c:v>218.43</c:v>
                </c:pt>
                <c:pt idx="854">
                  <c:v>216.42</c:v>
                </c:pt>
                <c:pt idx="855">
                  <c:v>214.46</c:v>
                </c:pt>
                <c:pt idx="856">
                  <c:v>219.21</c:v>
                </c:pt>
                <c:pt idx="857">
                  <c:v>214.93</c:v>
                </c:pt>
                <c:pt idx="858">
                  <c:v>215.66</c:v>
                </c:pt>
                <c:pt idx="859">
                  <c:v>225.78</c:v>
                </c:pt>
                <c:pt idx="860">
                  <c:v>229.07</c:v>
                </c:pt>
                <c:pt idx="861">
                  <c:v>236.56</c:v>
                </c:pt>
                <c:pt idx="862">
                  <c:v>236.58</c:v>
                </c:pt>
                <c:pt idx="863">
                  <c:v>236.97</c:v>
                </c:pt>
                <c:pt idx="864">
                  <c:v>238.21</c:v>
                </c:pt>
                <c:pt idx="865">
                  <c:v>233.03</c:v>
                </c:pt>
                <c:pt idx="866">
                  <c:v>237.92</c:v>
                </c:pt>
                <c:pt idx="867">
                  <c:v>236.66</c:v>
                </c:pt>
                <c:pt idx="868">
                  <c:v>235.94</c:v>
                </c:pt>
                <c:pt idx="869">
                  <c:v>240.75</c:v>
                </c:pt>
                <c:pt idx="870">
                  <c:v>239.06</c:v>
                </c:pt>
                <c:pt idx="871">
                  <c:v>228.72</c:v>
                </c:pt>
                <c:pt idx="872">
                  <c:v>221.9</c:v>
                </c:pt>
                <c:pt idx="873">
                  <c:v>229.66</c:v>
                </c:pt>
                <c:pt idx="874">
                  <c:v>224.49</c:v>
                </c:pt>
                <c:pt idx="875">
                  <c:v>226.75</c:v>
                </c:pt>
                <c:pt idx="876">
                  <c:v>235.43</c:v>
                </c:pt>
                <c:pt idx="877">
                  <c:v>236.16</c:v>
                </c:pt>
                <c:pt idx="878">
                  <c:v>237.07</c:v>
                </c:pt>
                <c:pt idx="879">
                  <c:v>233.72</c:v>
                </c:pt>
                <c:pt idx="880">
                  <c:v>237.31</c:v>
                </c:pt>
                <c:pt idx="881">
                  <c:v>243.64</c:v>
                </c:pt>
                <c:pt idx="882">
                  <c:v>245.24</c:v>
                </c:pt>
                <c:pt idx="883">
                  <c:v>244.7</c:v>
                </c:pt>
                <c:pt idx="884">
                  <c:v>244.13</c:v>
                </c:pt>
                <c:pt idx="885">
                  <c:v>244.52</c:v>
                </c:pt>
                <c:pt idx="886">
                  <c:v>250.97</c:v>
                </c:pt>
                <c:pt idx="887">
                  <c:v>251.29</c:v>
                </c:pt>
                <c:pt idx="888">
                  <c:v>251.62</c:v>
                </c:pt>
                <c:pt idx="889">
                  <c:v>245.42</c:v>
                </c:pt>
                <c:pt idx="890">
                  <c:v>247.67</c:v>
                </c:pt>
                <c:pt idx="891">
                  <c:v>248.16</c:v>
                </c:pt>
                <c:pt idx="892">
                  <c:v>251.94</c:v>
                </c:pt>
                <c:pt idx="893">
                  <c:v>252.33</c:v>
                </c:pt>
                <c:pt idx="894">
                  <c:v>253.16</c:v>
                </c:pt>
                <c:pt idx="895">
                  <c:v>243.39</c:v>
                </c:pt>
                <c:pt idx="896">
                  <c:v>246.46</c:v>
                </c:pt>
                <c:pt idx="897">
                  <c:v>250.65</c:v>
                </c:pt>
                <c:pt idx="898">
                  <c:v>251.21</c:v>
                </c:pt>
                <c:pt idx="899">
                  <c:v>258.13</c:v>
                </c:pt>
                <c:pt idx="900">
                  <c:v>263.79000000000002</c:v>
                </c:pt>
                <c:pt idx="901">
                  <c:v>259.19</c:v>
                </c:pt>
                <c:pt idx="902">
                  <c:v>260.44</c:v>
                </c:pt>
                <c:pt idx="903">
                  <c:v>258.49</c:v>
                </c:pt>
                <c:pt idx="904">
                  <c:v>258.41000000000003</c:v>
                </c:pt>
                <c:pt idx="905">
                  <c:v>260.51</c:v>
                </c:pt>
                <c:pt idx="906">
                  <c:v>260.2</c:v>
                </c:pt>
                <c:pt idx="907">
                  <c:v>260.92</c:v>
                </c:pt>
                <c:pt idx="908">
                  <c:v>264.54000000000002</c:v>
                </c:pt>
                <c:pt idx="909">
                  <c:v>261.83</c:v>
                </c:pt>
                <c:pt idx="910">
                  <c:v>263.98</c:v>
                </c:pt>
                <c:pt idx="911">
                  <c:v>268.57</c:v>
                </c:pt>
                <c:pt idx="912">
                  <c:v>270.36</c:v>
                </c:pt>
                <c:pt idx="913">
                  <c:v>272.77</c:v>
                </c:pt>
                <c:pt idx="914">
                  <c:v>281.01</c:v>
                </c:pt>
                <c:pt idx="915">
                  <c:v>290.04000000000002</c:v>
                </c:pt>
                <c:pt idx="916">
                  <c:v>288.08999999999997</c:v>
                </c:pt>
                <c:pt idx="917">
                  <c:v>288.60000000000002</c:v>
                </c:pt>
                <c:pt idx="918">
                  <c:v>298</c:v>
                </c:pt>
                <c:pt idx="919">
                  <c:v>303.23</c:v>
                </c:pt>
                <c:pt idx="920">
                  <c:v>341.62</c:v>
                </c:pt>
                <c:pt idx="921">
                  <c:v>339.48</c:v>
                </c:pt>
                <c:pt idx="922">
                  <c:v>345.95</c:v>
                </c:pt>
                <c:pt idx="923">
                  <c:v>359.01</c:v>
                </c:pt>
                <c:pt idx="924">
                  <c:v>371.33</c:v>
                </c:pt>
                <c:pt idx="925">
                  <c:v>402.86</c:v>
                </c:pt>
                <c:pt idx="926">
                  <c:v>390.67</c:v>
                </c:pt>
                <c:pt idx="927">
                  <c:v>404.62</c:v>
                </c:pt>
                <c:pt idx="928">
                  <c:v>409.97</c:v>
                </c:pt>
                <c:pt idx="929">
                  <c:v>407.36</c:v>
                </c:pt>
                <c:pt idx="930">
                  <c:v>387.65</c:v>
                </c:pt>
                <c:pt idx="931">
                  <c:v>341.17</c:v>
                </c:pt>
                <c:pt idx="932">
                  <c:v>355.98</c:v>
                </c:pt>
                <c:pt idx="933">
                  <c:v>354.5</c:v>
                </c:pt>
                <c:pt idx="934">
                  <c:v>344.47</c:v>
                </c:pt>
                <c:pt idx="935">
                  <c:v>337.8</c:v>
                </c:pt>
                <c:pt idx="936">
                  <c:v>351.58</c:v>
                </c:pt>
                <c:pt idx="937">
                  <c:v>363</c:v>
                </c:pt>
                <c:pt idx="938">
                  <c:v>365.46</c:v>
                </c:pt>
                <c:pt idx="939">
                  <c:v>379.02</c:v>
                </c:pt>
                <c:pt idx="940">
                  <c:v>385.62</c:v>
                </c:pt>
                <c:pt idx="941">
                  <c:v>369.68</c:v>
                </c:pt>
                <c:pt idx="942">
                  <c:v>372</c:v>
                </c:pt>
                <c:pt idx="943">
                  <c:v>360.64</c:v>
                </c:pt>
                <c:pt idx="944">
                  <c:v>379</c:v>
                </c:pt>
                <c:pt idx="945">
                  <c:v>381.59</c:v>
                </c:pt>
                <c:pt idx="946">
                  <c:v>365</c:v>
                </c:pt>
                <c:pt idx="947">
                  <c:v>361.53</c:v>
                </c:pt>
                <c:pt idx="948">
                  <c:v>338.32</c:v>
                </c:pt>
                <c:pt idx="949">
                  <c:v>336.34</c:v>
                </c:pt>
                <c:pt idx="950">
                  <c:v>350.58</c:v>
                </c:pt>
                <c:pt idx="951">
                  <c:v>356.32</c:v>
                </c:pt>
                <c:pt idx="952">
                  <c:v>334.6</c:v>
                </c:pt>
                <c:pt idx="953">
                  <c:v>339.01</c:v>
                </c:pt>
                <c:pt idx="954">
                  <c:v>322.14</c:v>
                </c:pt>
                <c:pt idx="955">
                  <c:v>319.5</c:v>
                </c:pt>
                <c:pt idx="956">
                  <c:v>325.33</c:v>
                </c:pt>
                <c:pt idx="957">
                  <c:v>308.97000000000003</c:v>
                </c:pt>
                <c:pt idx="958">
                  <c:v>310.86</c:v>
                </c:pt>
                <c:pt idx="959">
                  <c:v>299.98</c:v>
                </c:pt>
                <c:pt idx="960">
                  <c:v>312.83999999999997</c:v>
                </c:pt>
                <c:pt idx="961">
                  <c:v>336.29</c:v>
                </c:pt>
                <c:pt idx="962">
                  <c:v>355.67</c:v>
                </c:pt>
                <c:pt idx="963">
                  <c:v>364.65</c:v>
                </c:pt>
                <c:pt idx="964">
                  <c:v>362.82</c:v>
                </c:pt>
                <c:pt idx="965">
                  <c:v>362.06</c:v>
                </c:pt>
                <c:pt idx="966">
                  <c:v>356.78</c:v>
                </c:pt>
                <c:pt idx="967">
                  <c:v>352.26</c:v>
                </c:pt>
                <c:pt idx="968">
                  <c:v>399.93</c:v>
                </c:pt>
                <c:pt idx="969">
                  <c:v>383.2</c:v>
                </c:pt>
                <c:pt idx="970">
                  <c:v>362.71</c:v>
                </c:pt>
                <c:pt idx="971">
                  <c:v>354.9</c:v>
                </c:pt>
                <c:pt idx="972">
                  <c:v>342.32</c:v>
                </c:pt>
                <c:pt idx="973">
                  <c:v>352.71</c:v>
                </c:pt>
                <c:pt idx="974">
                  <c:v>354.8</c:v>
                </c:pt>
                <c:pt idx="975">
                  <c:v>368.74</c:v>
                </c:pt>
                <c:pt idx="976">
                  <c:v>343.85</c:v>
                </c:pt>
                <c:pt idx="977">
                  <c:v>349.87</c:v>
                </c:pt>
                <c:pt idx="978">
                  <c:v>343.5</c:v>
                </c:pt>
                <c:pt idx="979">
                  <c:v>331.88</c:v>
                </c:pt>
                <c:pt idx="980">
                  <c:v>332.09</c:v>
                </c:pt>
                <c:pt idx="981">
                  <c:v>314.63</c:v>
                </c:pt>
                <c:pt idx="982">
                  <c:v>310</c:v>
                </c:pt>
                <c:pt idx="983">
                  <c:v>306.13</c:v>
                </c:pt>
                <c:pt idx="984">
                  <c:v>312.47000000000003</c:v>
                </c:pt>
                <c:pt idx="985">
                  <c:v>276.37</c:v>
                </c:pt>
                <c:pt idx="986">
                  <c:v>282.12</c:v>
                </c:pt>
                <c:pt idx="987">
                  <c:v>312.24</c:v>
                </c:pt>
                <c:pt idx="988">
                  <c:v>310.42</c:v>
                </c:pt>
                <c:pt idx="989">
                  <c:v>301.89</c:v>
                </c:pt>
                <c:pt idx="990">
                  <c:v>297.05</c:v>
                </c:pt>
                <c:pt idx="991">
                  <c:v>307.77</c:v>
                </c:pt>
                <c:pt idx="992">
                  <c:v>302.45</c:v>
                </c:pt>
                <c:pt idx="993">
                  <c:v>307.33</c:v>
                </c:pt>
                <c:pt idx="994">
                  <c:v>310.67</c:v>
                </c:pt>
                <c:pt idx="995">
                  <c:v>301.52</c:v>
                </c:pt>
                <c:pt idx="996">
                  <c:v>286.67</c:v>
                </c:pt>
                <c:pt idx="997">
                  <c:v>291.92</c:v>
                </c:pt>
                <c:pt idx="998">
                  <c:v>307.48</c:v>
                </c:pt>
                <c:pt idx="999">
                  <c:v>307.8</c:v>
                </c:pt>
                <c:pt idx="1000">
                  <c:v>292.12</c:v>
                </c:pt>
                <c:pt idx="1001">
                  <c:v>285.66000000000003</c:v>
                </c:pt>
                <c:pt idx="1002">
                  <c:v>273.83999999999997</c:v>
                </c:pt>
                <c:pt idx="1003">
                  <c:v>254.68</c:v>
                </c:pt>
                <c:pt idx="1004">
                  <c:v>266.92</c:v>
                </c:pt>
                <c:pt idx="1005">
                  <c:v>269.95999999999998</c:v>
                </c:pt>
                <c:pt idx="1006">
                  <c:v>290.14</c:v>
                </c:pt>
                <c:pt idx="1007">
                  <c:v>288.12</c:v>
                </c:pt>
                <c:pt idx="1008">
                  <c:v>293.3</c:v>
                </c:pt>
                <c:pt idx="1009">
                  <c:v>279.76</c:v>
                </c:pt>
                <c:pt idx="1010">
                  <c:v>279.43</c:v>
                </c:pt>
                <c:pt idx="1011">
                  <c:v>268.19</c:v>
                </c:pt>
                <c:pt idx="1012">
                  <c:v>274.8</c:v>
                </c:pt>
                <c:pt idx="1013">
                  <c:v>286.32</c:v>
                </c:pt>
                <c:pt idx="1014">
                  <c:v>279.43</c:v>
                </c:pt>
                <c:pt idx="1015">
                  <c:v>265.12</c:v>
                </c:pt>
                <c:pt idx="1016">
                  <c:v>255.46</c:v>
                </c:pt>
                <c:pt idx="1017">
                  <c:v>267.3</c:v>
                </c:pt>
                <c:pt idx="1018">
                  <c:v>280.08</c:v>
                </c:pt>
                <c:pt idx="1019">
                  <c:v>290.52999999999997</c:v>
                </c:pt>
                <c:pt idx="1020">
                  <c:v>301.8</c:v>
                </c:pt>
                <c:pt idx="1021">
                  <c:v>307.05</c:v>
                </c:pt>
                <c:pt idx="1022">
                  <c:v>331.33</c:v>
                </c:pt>
                <c:pt idx="1023">
                  <c:v>333.04</c:v>
                </c:pt>
                <c:pt idx="1024">
                  <c:v>337.97</c:v>
                </c:pt>
                <c:pt idx="1025">
                  <c:v>336.88</c:v>
                </c:pt>
                <c:pt idx="1026">
                  <c:v>363.95</c:v>
                </c:pt>
                <c:pt idx="1027">
                  <c:v>366.52</c:v>
                </c:pt>
                <c:pt idx="1028">
                  <c:v>364.66</c:v>
                </c:pt>
                <c:pt idx="1029">
                  <c:v>359.2</c:v>
                </c:pt>
                <c:pt idx="1030">
                  <c:v>361.53</c:v>
                </c:pt>
                <c:pt idx="1031">
                  <c:v>381.82</c:v>
                </c:pt>
                <c:pt idx="1032">
                  <c:v>363.75</c:v>
                </c:pt>
                <c:pt idx="1033">
                  <c:v>348.59</c:v>
                </c:pt>
                <c:pt idx="1034">
                  <c:v>352.42</c:v>
                </c:pt>
                <c:pt idx="1035">
                  <c:v>341.83</c:v>
                </c:pt>
                <c:pt idx="1036">
                  <c:v>325.31</c:v>
                </c:pt>
                <c:pt idx="1037">
                  <c:v>328.98</c:v>
                </c:pt>
                <c:pt idx="1038">
                  <c:v>340.79</c:v>
                </c:pt>
                <c:pt idx="1039">
                  <c:v>328.33</c:v>
                </c:pt>
                <c:pt idx="1040">
                  <c:v>334.76</c:v>
                </c:pt>
                <c:pt idx="1041">
                  <c:v>342.72</c:v>
                </c:pt>
                <c:pt idx="1042">
                  <c:v>325.73</c:v>
                </c:pt>
                <c:pt idx="1043">
                  <c:v>336.26</c:v>
                </c:pt>
                <c:pt idx="1044">
                  <c:v>335.02</c:v>
                </c:pt>
                <c:pt idx="1045">
                  <c:v>332.67</c:v>
                </c:pt>
                <c:pt idx="1046">
                  <c:v>292.14</c:v>
                </c:pt>
                <c:pt idx="1047">
                  <c:v>293.83999999999997</c:v>
                </c:pt>
                <c:pt idx="1048">
                  <c:v>292.5</c:v>
                </c:pt>
                <c:pt idx="1049">
                  <c:v>290.25</c:v>
                </c:pt>
                <c:pt idx="1050">
                  <c:v>300.98</c:v>
                </c:pt>
                <c:pt idx="1051">
                  <c:v>303.08</c:v>
                </c:pt>
                <c:pt idx="1052">
                  <c:v>317.54000000000002</c:v>
                </c:pt>
                <c:pt idx="1053">
                  <c:v>291.08999999999997</c:v>
                </c:pt>
                <c:pt idx="1054">
                  <c:v>288.55</c:v>
                </c:pt>
                <c:pt idx="1055">
                  <c:v>262.37</c:v>
                </c:pt>
                <c:pt idx="1056">
                  <c:v>266.68</c:v>
                </c:pt>
                <c:pt idx="1057">
                  <c:v>244.67</c:v>
                </c:pt>
                <c:pt idx="1058">
                  <c:v>242.67</c:v>
                </c:pt>
                <c:pt idx="1059">
                  <c:v>256.52999999999997</c:v>
                </c:pt>
                <c:pt idx="1060">
                  <c:v>241.46</c:v>
                </c:pt>
                <c:pt idx="1061">
                  <c:v>253.87</c:v>
                </c:pt>
                <c:pt idx="1062">
                  <c:v>236.6</c:v>
                </c:pt>
                <c:pt idx="1063">
                  <c:v>236.47</c:v>
                </c:pt>
                <c:pt idx="1064">
                  <c:v>221.3</c:v>
                </c:pt>
                <c:pt idx="1065">
                  <c:v>224.97</c:v>
                </c:pt>
                <c:pt idx="1066">
                  <c:v>209.39</c:v>
                </c:pt>
                <c:pt idx="1067">
                  <c:v>219.6</c:v>
                </c:pt>
                <c:pt idx="1068">
                  <c:v>235.91</c:v>
                </c:pt>
                <c:pt idx="1069">
                  <c:v>253.21</c:v>
                </c:pt>
                <c:pt idx="1070">
                  <c:v>252.75</c:v>
                </c:pt>
                <c:pt idx="1071">
                  <c:v>246.79</c:v>
                </c:pt>
                <c:pt idx="1072">
                  <c:v>258.33</c:v>
                </c:pt>
                <c:pt idx="1073">
                  <c:v>234.52</c:v>
                </c:pt>
                <c:pt idx="1074">
                  <c:v>238.28</c:v>
                </c:pt>
                <c:pt idx="1075">
                  <c:v>238.89</c:v>
                </c:pt>
                <c:pt idx="1076">
                  <c:v>241.87</c:v>
                </c:pt>
                <c:pt idx="1077">
                  <c:v>239.71</c:v>
                </c:pt>
                <c:pt idx="1078">
                  <c:v>232.23</c:v>
                </c:pt>
                <c:pt idx="1079">
                  <c:v>215.74</c:v>
                </c:pt>
                <c:pt idx="1080">
                  <c:v>220.89</c:v>
                </c:pt>
                <c:pt idx="1081">
                  <c:v>233</c:v>
                </c:pt>
                <c:pt idx="1082">
                  <c:v>213.1</c:v>
                </c:pt>
                <c:pt idx="1083">
                  <c:v>216.76</c:v>
                </c:pt>
                <c:pt idx="1084">
                  <c:v>237.04</c:v>
                </c:pt>
                <c:pt idx="1085">
                  <c:v>236.09</c:v>
                </c:pt>
                <c:pt idx="1086">
                  <c:v>235.07</c:v>
                </c:pt>
                <c:pt idx="1087">
                  <c:v>245.71</c:v>
                </c:pt>
                <c:pt idx="1088">
                  <c:v>244.92</c:v>
                </c:pt>
                <c:pt idx="1089">
                  <c:v>232.66</c:v>
                </c:pt>
                <c:pt idx="1090">
                  <c:v>228.49</c:v>
                </c:pt>
                <c:pt idx="1091">
                  <c:v>224.47</c:v>
                </c:pt>
                <c:pt idx="1092">
                  <c:v>227.26</c:v>
                </c:pt>
                <c:pt idx="1093">
                  <c:v>233.07</c:v>
                </c:pt>
                <c:pt idx="1094">
                  <c:v>231.73</c:v>
                </c:pt>
                <c:pt idx="1095">
                  <c:v>244.54</c:v>
                </c:pt>
                <c:pt idx="1096">
                  <c:v>250.76</c:v>
                </c:pt>
                <c:pt idx="1097">
                  <c:v>234.34</c:v>
                </c:pt>
                <c:pt idx="1098">
                  <c:v>233.07</c:v>
                </c:pt>
                <c:pt idx="1099">
                  <c:v>237.04</c:v>
                </c:pt>
                <c:pt idx="1100">
                  <c:v>238.31</c:v>
                </c:pt>
                <c:pt idx="1101">
                  <c:v>240.07</c:v>
                </c:pt>
                <c:pt idx="1102">
                  <c:v>240.55</c:v>
                </c:pt>
                <c:pt idx="1103">
                  <c:v>245.53</c:v>
                </c:pt>
                <c:pt idx="1104">
                  <c:v>247.5</c:v>
                </c:pt>
                <c:pt idx="1105">
                  <c:v>271.70999999999998</c:v>
                </c:pt>
                <c:pt idx="1106">
                  <c:v>272.24</c:v>
                </c:pt>
                <c:pt idx="1107">
                  <c:v>268.43</c:v>
                </c:pt>
                <c:pt idx="1108">
                  <c:v>258.86</c:v>
                </c:pt>
                <c:pt idx="1109">
                  <c:v>274.82</c:v>
                </c:pt>
                <c:pt idx="1110">
                  <c:v>280.89999999999998</c:v>
                </c:pt>
                <c:pt idx="1111">
                  <c:v>297.14999999999998</c:v>
                </c:pt>
                <c:pt idx="1112">
                  <c:v>297.27999999999997</c:v>
                </c:pt>
                <c:pt idx="1113">
                  <c:v>300.58999999999997</c:v>
                </c:pt>
                <c:pt idx="1114">
                  <c:v>307.39999999999998</c:v>
                </c:pt>
                <c:pt idx="1115">
                  <c:v>308.63</c:v>
                </c:pt>
                <c:pt idx="1116">
                  <c:v>288.17</c:v>
                </c:pt>
                <c:pt idx="1117">
                  <c:v>290.42</c:v>
                </c:pt>
                <c:pt idx="1118">
                  <c:v>283.33</c:v>
                </c:pt>
                <c:pt idx="1119">
                  <c:v>294.36</c:v>
                </c:pt>
                <c:pt idx="1120">
                  <c:v>286.63</c:v>
                </c:pt>
                <c:pt idx="1121">
                  <c:v>300.02999999999997</c:v>
                </c:pt>
                <c:pt idx="1122">
                  <c:v>309.32</c:v>
                </c:pt>
                <c:pt idx="1123">
                  <c:v>306.56</c:v>
                </c:pt>
                <c:pt idx="1124">
                  <c:v>304</c:v>
                </c:pt>
                <c:pt idx="1125">
                  <c:v>302.87</c:v>
                </c:pt>
                <c:pt idx="1126">
                  <c:v>296.67</c:v>
                </c:pt>
                <c:pt idx="1127">
                  <c:v>289.91000000000003</c:v>
                </c:pt>
                <c:pt idx="1128">
                  <c:v>296.45</c:v>
                </c:pt>
                <c:pt idx="1129">
                  <c:v>297.10000000000002</c:v>
                </c:pt>
                <c:pt idx="1130">
                  <c:v>296.07</c:v>
                </c:pt>
                <c:pt idx="1131">
                  <c:v>288.08999999999997</c:v>
                </c:pt>
                <c:pt idx="1132">
                  <c:v>284.82</c:v>
                </c:pt>
                <c:pt idx="1133">
                  <c:v>277.7</c:v>
                </c:pt>
                <c:pt idx="1134">
                  <c:v>275.61</c:v>
                </c:pt>
                <c:pt idx="1135">
                  <c:v>277.16000000000003</c:v>
                </c:pt>
                <c:pt idx="1136">
                  <c:v>270.20999999999998</c:v>
                </c:pt>
                <c:pt idx="1137">
                  <c:v>274.42</c:v>
                </c:pt>
                <c:pt idx="1138">
                  <c:v>283.7</c:v>
                </c:pt>
                <c:pt idx="1139">
                  <c:v>289.26</c:v>
                </c:pt>
                <c:pt idx="1140">
                  <c:v>299.68</c:v>
                </c:pt>
                <c:pt idx="1141">
                  <c:v>304.42</c:v>
                </c:pt>
                <c:pt idx="1142">
                  <c:v>292.13</c:v>
                </c:pt>
                <c:pt idx="1143">
                  <c:v>302.61</c:v>
                </c:pt>
                <c:pt idx="1144">
                  <c:v>303.75</c:v>
                </c:pt>
                <c:pt idx="1145">
                  <c:v>303.35000000000002</c:v>
                </c:pt>
                <c:pt idx="1146">
                  <c:v>309.07</c:v>
                </c:pt>
                <c:pt idx="1147">
                  <c:v>308.73</c:v>
                </c:pt>
                <c:pt idx="1148">
                  <c:v>300.8</c:v>
                </c:pt>
                <c:pt idx="1149">
                  <c:v>288.58999999999997</c:v>
                </c:pt>
                <c:pt idx="1150">
                  <c:v>275.33</c:v>
                </c:pt>
                <c:pt idx="1151">
                  <c:v>276.01</c:v>
                </c:pt>
                <c:pt idx="1152">
                  <c:v>282.94</c:v>
                </c:pt>
                <c:pt idx="1153">
                  <c:v>287.81</c:v>
                </c:pt>
                <c:pt idx="1154">
                  <c:v>268.20999999999998</c:v>
                </c:pt>
                <c:pt idx="1155">
                  <c:v>265.25</c:v>
                </c:pt>
                <c:pt idx="1156">
                  <c:v>242.4</c:v>
                </c:pt>
                <c:pt idx="1157">
                  <c:v>249.44</c:v>
                </c:pt>
                <c:pt idx="1158">
                  <c:v>240.81</c:v>
                </c:pt>
                <c:pt idx="1159">
                  <c:v>238.13</c:v>
                </c:pt>
                <c:pt idx="1160">
                  <c:v>223.07</c:v>
                </c:pt>
                <c:pt idx="1161">
                  <c:v>222.96</c:v>
                </c:pt>
                <c:pt idx="1162">
                  <c:v>216.5</c:v>
                </c:pt>
                <c:pt idx="1163">
                  <c:v>217.24</c:v>
                </c:pt>
                <c:pt idx="1164">
                  <c:v>221.72</c:v>
                </c:pt>
                <c:pt idx="1165">
                  <c:v>204.99</c:v>
                </c:pt>
                <c:pt idx="1166">
                  <c:v>219.35</c:v>
                </c:pt>
                <c:pt idx="1167">
                  <c:v>220.19</c:v>
                </c:pt>
                <c:pt idx="1168">
                  <c:v>222.04</c:v>
                </c:pt>
                <c:pt idx="1169">
                  <c:v>207.28</c:v>
                </c:pt>
                <c:pt idx="1170">
                  <c:v>214.44</c:v>
                </c:pt>
                <c:pt idx="1171">
                  <c:v>211.25</c:v>
                </c:pt>
                <c:pt idx="1172">
                  <c:v>222.42</c:v>
                </c:pt>
                <c:pt idx="1173">
                  <c:v>224.64</c:v>
                </c:pt>
                <c:pt idx="1174">
                  <c:v>225.09</c:v>
                </c:pt>
                <c:pt idx="1175">
                  <c:v>228.52</c:v>
                </c:pt>
                <c:pt idx="1176">
                  <c:v>227.54</c:v>
                </c:pt>
                <c:pt idx="1177">
                  <c:v>227.82</c:v>
                </c:pt>
                <c:pt idx="1178">
                  <c:v>214.98</c:v>
                </c:pt>
                <c:pt idx="1179">
                  <c:v>215.31</c:v>
                </c:pt>
                <c:pt idx="1180">
                  <c:v>207.47</c:v>
                </c:pt>
                <c:pt idx="1181">
                  <c:v>197.08</c:v>
                </c:pt>
                <c:pt idx="1182">
                  <c:v>191.3</c:v>
                </c:pt>
                <c:pt idx="1183">
                  <c:v>177.59</c:v>
                </c:pt>
                <c:pt idx="1184">
                  <c:v>190.72</c:v>
                </c:pt>
                <c:pt idx="1185">
                  <c:v>195.97</c:v>
                </c:pt>
                <c:pt idx="1186">
                  <c:v>190.95</c:v>
                </c:pt>
                <c:pt idx="1187">
                  <c:v>194.42</c:v>
                </c:pt>
                <c:pt idx="1188">
                  <c:v>186.92</c:v>
                </c:pt>
                <c:pt idx="1189">
                  <c:v>183.17</c:v>
                </c:pt>
                <c:pt idx="1190">
                  <c:v>180.19</c:v>
                </c:pt>
                <c:pt idx="1191">
                  <c:v>167.87</c:v>
                </c:pt>
                <c:pt idx="1192">
                  <c:v>169.91</c:v>
                </c:pt>
                <c:pt idx="1193">
                  <c:v>183.2</c:v>
                </c:pt>
                <c:pt idx="1194">
                  <c:v>182.86</c:v>
                </c:pt>
                <c:pt idx="1195">
                  <c:v>182.92</c:v>
                </c:pt>
                <c:pt idx="1196">
                  <c:v>180.83</c:v>
                </c:pt>
                <c:pt idx="1197">
                  <c:v>194.7</c:v>
                </c:pt>
                <c:pt idx="1198">
                  <c:v>194.7</c:v>
                </c:pt>
                <c:pt idx="1199">
                  <c:v>194.86</c:v>
                </c:pt>
                <c:pt idx="1200">
                  <c:v>182.45</c:v>
                </c:pt>
                <c:pt idx="1201">
                  <c:v>179.82</c:v>
                </c:pt>
                <c:pt idx="1202">
                  <c:v>174.04</c:v>
                </c:pt>
                <c:pt idx="1203">
                  <c:v>173.44</c:v>
                </c:pt>
                <c:pt idx="1204">
                  <c:v>179.05</c:v>
                </c:pt>
                <c:pt idx="1205">
                  <c:v>167.82</c:v>
                </c:pt>
                <c:pt idx="1206">
                  <c:v>160.94999999999999</c:v>
                </c:pt>
                <c:pt idx="1207">
                  <c:v>156.80000000000001</c:v>
                </c:pt>
                <c:pt idx="1208">
                  <c:v>157.66999999999999</c:v>
                </c:pt>
                <c:pt idx="1209">
                  <c:v>150.22999999999999</c:v>
                </c:pt>
                <c:pt idx="1210">
                  <c:v>149.87</c:v>
                </c:pt>
                <c:pt idx="1211">
                  <c:v>137.80000000000001</c:v>
                </c:pt>
                <c:pt idx="1212">
                  <c:v>137.57</c:v>
                </c:pt>
                <c:pt idx="1213">
                  <c:v>125.35</c:v>
                </c:pt>
                <c:pt idx="1214">
                  <c:v>123.15</c:v>
                </c:pt>
                <c:pt idx="1215">
                  <c:v>109.1</c:v>
                </c:pt>
                <c:pt idx="1216">
                  <c:v>112.71</c:v>
                </c:pt>
                <c:pt idx="1217">
                  <c:v>121.82</c:v>
                </c:pt>
                <c:pt idx="1218">
                  <c:v>123.18</c:v>
                </c:pt>
                <c:pt idx="1219">
                  <c:v>108.1</c:v>
                </c:pt>
                <c:pt idx="1220">
                  <c:v>113.64</c:v>
                </c:pt>
                <c:pt idx="1221">
                  <c:v>110.34</c:v>
                </c:pt>
                <c:pt idx="1222">
                  <c:v>113.06</c:v>
                </c:pt>
                <c:pt idx="1223">
                  <c:v>119.77</c:v>
                </c:pt>
                <c:pt idx="1224">
                  <c:v>118.85</c:v>
                </c:pt>
                <c:pt idx="1225">
                  <c:v>123.22</c:v>
                </c:pt>
                <c:pt idx="1226">
                  <c:v>123.56</c:v>
                </c:pt>
                <c:pt idx="1227">
                  <c:v>122.4</c:v>
                </c:pt>
                <c:pt idx="1228">
                  <c:v>131.49</c:v>
                </c:pt>
                <c:pt idx="1229">
                  <c:v>128.78</c:v>
                </c:pt>
                <c:pt idx="1230">
                  <c:v>127.17</c:v>
                </c:pt>
                <c:pt idx="1231">
                  <c:v>133.41999999999999</c:v>
                </c:pt>
                <c:pt idx="1232">
                  <c:v>143.75</c:v>
                </c:pt>
                <c:pt idx="1233">
                  <c:v>143.88999999999999</c:v>
                </c:pt>
                <c:pt idx="1234">
                  <c:v>144.43</c:v>
                </c:pt>
                <c:pt idx="1235">
                  <c:v>160.27000000000001</c:v>
                </c:pt>
                <c:pt idx="1236">
                  <c:v>177.9</c:v>
                </c:pt>
                <c:pt idx="1237">
                  <c:v>166.66</c:v>
                </c:pt>
                <c:pt idx="1238">
                  <c:v>173.22</c:v>
                </c:pt>
                <c:pt idx="1239">
                  <c:v>181.41</c:v>
                </c:pt>
                <c:pt idx="1240">
                  <c:v>188.27</c:v>
                </c:pt>
                <c:pt idx="1241">
                  <c:v>189.98</c:v>
                </c:pt>
                <c:pt idx="1242">
                  <c:v>194.76</c:v>
                </c:pt>
                <c:pt idx="1243">
                  <c:v>196.81</c:v>
                </c:pt>
                <c:pt idx="1244">
                  <c:v>201.29</c:v>
                </c:pt>
                <c:pt idx="1245">
                  <c:v>207.32</c:v>
                </c:pt>
                <c:pt idx="1246">
                  <c:v>196.89</c:v>
                </c:pt>
                <c:pt idx="1247">
                  <c:v>194.64</c:v>
                </c:pt>
                <c:pt idx="1248">
                  <c:v>209.25</c:v>
                </c:pt>
                <c:pt idx="1249">
                  <c:v>214.24</c:v>
                </c:pt>
                <c:pt idx="1250">
                  <c:v>202.04</c:v>
                </c:pt>
                <c:pt idx="1251">
                  <c:v>208.31</c:v>
                </c:pt>
                <c:pt idx="1252">
                  <c:v>197.37</c:v>
                </c:pt>
                <c:pt idx="1253">
                  <c:v>200.86</c:v>
                </c:pt>
                <c:pt idx="1254">
                  <c:v>202.07</c:v>
                </c:pt>
                <c:pt idx="1255">
                  <c:v>196.88</c:v>
                </c:pt>
                <c:pt idx="1256">
                  <c:v>207.63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A-1A4D-B9D8-52440112872F}"/>
            </c:ext>
          </c:extLst>
        </c:ser>
        <c:ser>
          <c:idx val="1"/>
          <c:order val="1"/>
          <c:tx>
            <c:v>Predicted Value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trendline>
            <c:name>Trend line for Predicted Value</c:name>
            <c:spPr>
              <a:ln w="19050">
                <a:solidFill>
                  <a:srgbClr val="38761D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Sheet1!$A$2:$A$1289</c:f>
              <c:numCache>
                <c:formatCode>dd/mm/yyyy</c:formatCode>
                <c:ptCount val="1288"/>
                <c:pt idx="0">
                  <c:v>43160.666666666599</c:v>
                </c:pt>
                <c:pt idx="1">
                  <c:v>43161.666666666599</c:v>
                </c:pt>
                <c:pt idx="2">
                  <c:v>43164.666666666599</c:v>
                </c:pt>
                <c:pt idx="3">
                  <c:v>43165.666666666599</c:v>
                </c:pt>
                <c:pt idx="4">
                  <c:v>43166.666666666599</c:v>
                </c:pt>
                <c:pt idx="5">
                  <c:v>43167.666666666599</c:v>
                </c:pt>
                <c:pt idx="6">
                  <c:v>43168.666666666599</c:v>
                </c:pt>
                <c:pt idx="7">
                  <c:v>43171.666666666599</c:v>
                </c:pt>
                <c:pt idx="8">
                  <c:v>43172.666666666599</c:v>
                </c:pt>
                <c:pt idx="9">
                  <c:v>43173.666666666599</c:v>
                </c:pt>
                <c:pt idx="10">
                  <c:v>43174.666666666599</c:v>
                </c:pt>
                <c:pt idx="11">
                  <c:v>43175.666666666599</c:v>
                </c:pt>
                <c:pt idx="12">
                  <c:v>43178.666666666599</c:v>
                </c:pt>
                <c:pt idx="13">
                  <c:v>43179.666666666599</c:v>
                </c:pt>
                <c:pt idx="14">
                  <c:v>43180.666666666599</c:v>
                </c:pt>
                <c:pt idx="15">
                  <c:v>43181.666666666599</c:v>
                </c:pt>
                <c:pt idx="16">
                  <c:v>43182.666666666599</c:v>
                </c:pt>
                <c:pt idx="17">
                  <c:v>43185.666666666599</c:v>
                </c:pt>
                <c:pt idx="18">
                  <c:v>43186.666666666599</c:v>
                </c:pt>
                <c:pt idx="19">
                  <c:v>43187.666666666599</c:v>
                </c:pt>
                <c:pt idx="20">
                  <c:v>43188.666666666599</c:v>
                </c:pt>
                <c:pt idx="21">
                  <c:v>43192.666666666599</c:v>
                </c:pt>
                <c:pt idx="22">
                  <c:v>43193.666666666599</c:v>
                </c:pt>
                <c:pt idx="23">
                  <c:v>43194.666666666599</c:v>
                </c:pt>
                <c:pt idx="24">
                  <c:v>43195.666666666599</c:v>
                </c:pt>
                <c:pt idx="25">
                  <c:v>43196.666666666599</c:v>
                </c:pt>
                <c:pt idx="26">
                  <c:v>43199.666666666599</c:v>
                </c:pt>
                <c:pt idx="27">
                  <c:v>43200.666666666599</c:v>
                </c:pt>
                <c:pt idx="28">
                  <c:v>43201.666666666599</c:v>
                </c:pt>
                <c:pt idx="29">
                  <c:v>43202.666666666599</c:v>
                </c:pt>
                <c:pt idx="30">
                  <c:v>43203.666666666599</c:v>
                </c:pt>
                <c:pt idx="31">
                  <c:v>43206.666666666599</c:v>
                </c:pt>
                <c:pt idx="32">
                  <c:v>43207.666666666599</c:v>
                </c:pt>
                <c:pt idx="33">
                  <c:v>43208.666666666599</c:v>
                </c:pt>
                <c:pt idx="34">
                  <c:v>43209.666666666599</c:v>
                </c:pt>
                <c:pt idx="35">
                  <c:v>43210.666666666599</c:v>
                </c:pt>
                <c:pt idx="36">
                  <c:v>43213.666666666599</c:v>
                </c:pt>
                <c:pt idx="37">
                  <c:v>43214.666666666599</c:v>
                </c:pt>
                <c:pt idx="38">
                  <c:v>43215.666666666599</c:v>
                </c:pt>
                <c:pt idx="39">
                  <c:v>43216.666666666599</c:v>
                </c:pt>
                <c:pt idx="40">
                  <c:v>43217.666666666599</c:v>
                </c:pt>
                <c:pt idx="41">
                  <c:v>43220.666666666599</c:v>
                </c:pt>
                <c:pt idx="42">
                  <c:v>43221.666666666599</c:v>
                </c:pt>
                <c:pt idx="43">
                  <c:v>43222.666666666599</c:v>
                </c:pt>
                <c:pt idx="44">
                  <c:v>43223.666666666599</c:v>
                </c:pt>
                <c:pt idx="45">
                  <c:v>43224.666666666599</c:v>
                </c:pt>
                <c:pt idx="46">
                  <c:v>43227.666666666599</c:v>
                </c:pt>
                <c:pt idx="47">
                  <c:v>43228.666666666599</c:v>
                </c:pt>
                <c:pt idx="48">
                  <c:v>43229.666666666599</c:v>
                </c:pt>
                <c:pt idx="49">
                  <c:v>43230.666666666599</c:v>
                </c:pt>
                <c:pt idx="50">
                  <c:v>43231.666666666599</c:v>
                </c:pt>
                <c:pt idx="51">
                  <c:v>43234.666666666599</c:v>
                </c:pt>
                <c:pt idx="52">
                  <c:v>43235.666666666599</c:v>
                </c:pt>
                <c:pt idx="53">
                  <c:v>43236.666666666599</c:v>
                </c:pt>
                <c:pt idx="54">
                  <c:v>43237.666666666599</c:v>
                </c:pt>
                <c:pt idx="55">
                  <c:v>43238.666666666599</c:v>
                </c:pt>
                <c:pt idx="56">
                  <c:v>43241.666666666599</c:v>
                </c:pt>
                <c:pt idx="57">
                  <c:v>43242.666666666599</c:v>
                </c:pt>
                <c:pt idx="58">
                  <c:v>43243.666666666599</c:v>
                </c:pt>
                <c:pt idx="59">
                  <c:v>43244.666666666599</c:v>
                </c:pt>
                <c:pt idx="60">
                  <c:v>43245.666666666599</c:v>
                </c:pt>
                <c:pt idx="61">
                  <c:v>43249.666666666599</c:v>
                </c:pt>
                <c:pt idx="62">
                  <c:v>43250.666666666599</c:v>
                </c:pt>
                <c:pt idx="63">
                  <c:v>43251.666666666599</c:v>
                </c:pt>
                <c:pt idx="64">
                  <c:v>43252.666666666599</c:v>
                </c:pt>
                <c:pt idx="65">
                  <c:v>43255.666666666599</c:v>
                </c:pt>
                <c:pt idx="66">
                  <c:v>43256.666666666599</c:v>
                </c:pt>
                <c:pt idx="67">
                  <c:v>43257.666666666599</c:v>
                </c:pt>
                <c:pt idx="68">
                  <c:v>43258.666666666599</c:v>
                </c:pt>
                <c:pt idx="69">
                  <c:v>43259.666666666599</c:v>
                </c:pt>
                <c:pt idx="70">
                  <c:v>43262.666666666599</c:v>
                </c:pt>
                <c:pt idx="71">
                  <c:v>43263.666666666599</c:v>
                </c:pt>
                <c:pt idx="72">
                  <c:v>43264.666666666599</c:v>
                </c:pt>
                <c:pt idx="73">
                  <c:v>43265.666666666599</c:v>
                </c:pt>
                <c:pt idx="74">
                  <c:v>43266.666666666599</c:v>
                </c:pt>
                <c:pt idx="75">
                  <c:v>43269.666666666599</c:v>
                </c:pt>
                <c:pt idx="76">
                  <c:v>43270.666666666599</c:v>
                </c:pt>
                <c:pt idx="77">
                  <c:v>43271.666666666599</c:v>
                </c:pt>
                <c:pt idx="78">
                  <c:v>43272.666666666599</c:v>
                </c:pt>
                <c:pt idx="79">
                  <c:v>43273.666666666599</c:v>
                </c:pt>
                <c:pt idx="80">
                  <c:v>43276.666666666599</c:v>
                </c:pt>
                <c:pt idx="81">
                  <c:v>43277.666666666599</c:v>
                </c:pt>
                <c:pt idx="82">
                  <c:v>43278.666666666599</c:v>
                </c:pt>
                <c:pt idx="83">
                  <c:v>43279.666666666599</c:v>
                </c:pt>
                <c:pt idx="84">
                  <c:v>43280.666666666599</c:v>
                </c:pt>
                <c:pt idx="85">
                  <c:v>43283.666666666599</c:v>
                </c:pt>
                <c:pt idx="86">
                  <c:v>43284.541666666599</c:v>
                </c:pt>
                <c:pt idx="87">
                  <c:v>43286.666666666599</c:v>
                </c:pt>
                <c:pt idx="88">
                  <c:v>43287.666666666599</c:v>
                </c:pt>
                <c:pt idx="89">
                  <c:v>43290.666666666599</c:v>
                </c:pt>
                <c:pt idx="90">
                  <c:v>43291.666666666599</c:v>
                </c:pt>
                <c:pt idx="91">
                  <c:v>43292.666666666599</c:v>
                </c:pt>
                <c:pt idx="92">
                  <c:v>43293.666666666599</c:v>
                </c:pt>
                <c:pt idx="93">
                  <c:v>43294.666666666599</c:v>
                </c:pt>
                <c:pt idx="94">
                  <c:v>43297.666666666599</c:v>
                </c:pt>
                <c:pt idx="95">
                  <c:v>43298.666666666599</c:v>
                </c:pt>
                <c:pt idx="96">
                  <c:v>43299.666666666599</c:v>
                </c:pt>
                <c:pt idx="97">
                  <c:v>43300.666666666599</c:v>
                </c:pt>
                <c:pt idx="98">
                  <c:v>43301.666666666599</c:v>
                </c:pt>
                <c:pt idx="99">
                  <c:v>43304.666666666599</c:v>
                </c:pt>
                <c:pt idx="100">
                  <c:v>43305.666666666599</c:v>
                </c:pt>
                <c:pt idx="101">
                  <c:v>43306.666666666599</c:v>
                </c:pt>
                <c:pt idx="102">
                  <c:v>43307.666666666599</c:v>
                </c:pt>
                <c:pt idx="103">
                  <c:v>43308.666666666599</c:v>
                </c:pt>
                <c:pt idx="104">
                  <c:v>43311.666666666599</c:v>
                </c:pt>
                <c:pt idx="105">
                  <c:v>43312.666666666599</c:v>
                </c:pt>
                <c:pt idx="106">
                  <c:v>43313.666666666599</c:v>
                </c:pt>
                <c:pt idx="107">
                  <c:v>43314.666666666599</c:v>
                </c:pt>
                <c:pt idx="108">
                  <c:v>43315.666666666599</c:v>
                </c:pt>
                <c:pt idx="109">
                  <c:v>43318.666666666599</c:v>
                </c:pt>
                <c:pt idx="110">
                  <c:v>43319.666666666599</c:v>
                </c:pt>
                <c:pt idx="111">
                  <c:v>43320.666666666599</c:v>
                </c:pt>
                <c:pt idx="112">
                  <c:v>43321.666666666599</c:v>
                </c:pt>
                <c:pt idx="113">
                  <c:v>43322.666666666599</c:v>
                </c:pt>
                <c:pt idx="114">
                  <c:v>43325.666666666599</c:v>
                </c:pt>
                <c:pt idx="115">
                  <c:v>43326.666666666599</c:v>
                </c:pt>
                <c:pt idx="116">
                  <c:v>43327.666666666599</c:v>
                </c:pt>
                <c:pt idx="117">
                  <c:v>43328.666666666599</c:v>
                </c:pt>
                <c:pt idx="118">
                  <c:v>43329.666666666599</c:v>
                </c:pt>
                <c:pt idx="119">
                  <c:v>43332.666666666599</c:v>
                </c:pt>
                <c:pt idx="120">
                  <c:v>43333.666666666599</c:v>
                </c:pt>
                <c:pt idx="121">
                  <c:v>43334.666666666599</c:v>
                </c:pt>
                <c:pt idx="122">
                  <c:v>43335.666666666599</c:v>
                </c:pt>
                <c:pt idx="123">
                  <c:v>43336.666666666599</c:v>
                </c:pt>
                <c:pt idx="124">
                  <c:v>43339.666666666599</c:v>
                </c:pt>
                <c:pt idx="125">
                  <c:v>43340.666666666599</c:v>
                </c:pt>
                <c:pt idx="126">
                  <c:v>43341.666666666599</c:v>
                </c:pt>
                <c:pt idx="127">
                  <c:v>43342.666666666599</c:v>
                </c:pt>
                <c:pt idx="128">
                  <c:v>43343.666666666599</c:v>
                </c:pt>
                <c:pt idx="129">
                  <c:v>43347.666666666599</c:v>
                </c:pt>
                <c:pt idx="130">
                  <c:v>43348.666666666599</c:v>
                </c:pt>
                <c:pt idx="131">
                  <c:v>43349.666666666599</c:v>
                </c:pt>
                <c:pt idx="132">
                  <c:v>43350.666666666599</c:v>
                </c:pt>
                <c:pt idx="133">
                  <c:v>43353.666666666599</c:v>
                </c:pt>
                <c:pt idx="134">
                  <c:v>43354.666666666599</c:v>
                </c:pt>
                <c:pt idx="135">
                  <c:v>43355.666666666599</c:v>
                </c:pt>
                <c:pt idx="136">
                  <c:v>43356.666666666599</c:v>
                </c:pt>
                <c:pt idx="137">
                  <c:v>43357.666666666599</c:v>
                </c:pt>
                <c:pt idx="138">
                  <c:v>43360.666666666599</c:v>
                </c:pt>
                <c:pt idx="139">
                  <c:v>43361.666666666599</c:v>
                </c:pt>
                <c:pt idx="140">
                  <c:v>43362.666666666599</c:v>
                </c:pt>
                <c:pt idx="141">
                  <c:v>43363.666666666599</c:v>
                </c:pt>
                <c:pt idx="142">
                  <c:v>43364.666666666599</c:v>
                </c:pt>
                <c:pt idx="143">
                  <c:v>43367.666666666599</c:v>
                </c:pt>
                <c:pt idx="144">
                  <c:v>43368.666666666599</c:v>
                </c:pt>
                <c:pt idx="145">
                  <c:v>43369.666666666599</c:v>
                </c:pt>
                <c:pt idx="146">
                  <c:v>43370.666666666599</c:v>
                </c:pt>
                <c:pt idx="147">
                  <c:v>43371.666666666599</c:v>
                </c:pt>
                <c:pt idx="148">
                  <c:v>43374.666666666599</c:v>
                </c:pt>
                <c:pt idx="149">
                  <c:v>43375.666666666599</c:v>
                </c:pt>
                <c:pt idx="150">
                  <c:v>43376.666666666599</c:v>
                </c:pt>
                <c:pt idx="151">
                  <c:v>43377.666666666599</c:v>
                </c:pt>
                <c:pt idx="152">
                  <c:v>43378.666666666599</c:v>
                </c:pt>
                <c:pt idx="153">
                  <c:v>43381.666666666599</c:v>
                </c:pt>
                <c:pt idx="154">
                  <c:v>43382.666666666599</c:v>
                </c:pt>
                <c:pt idx="155">
                  <c:v>43383.666666666599</c:v>
                </c:pt>
                <c:pt idx="156">
                  <c:v>43384.666666666599</c:v>
                </c:pt>
                <c:pt idx="157">
                  <c:v>43385.666666666599</c:v>
                </c:pt>
                <c:pt idx="158">
                  <c:v>43388.666666666599</c:v>
                </c:pt>
                <c:pt idx="159">
                  <c:v>43389.666666666599</c:v>
                </c:pt>
                <c:pt idx="160">
                  <c:v>43390.666666666599</c:v>
                </c:pt>
                <c:pt idx="161">
                  <c:v>43391.666666666599</c:v>
                </c:pt>
                <c:pt idx="162">
                  <c:v>43392.666666666599</c:v>
                </c:pt>
                <c:pt idx="163">
                  <c:v>43395.666666666599</c:v>
                </c:pt>
                <c:pt idx="164">
                  <c:v>43396.666666666599</c:v>
                </c:pt>
                <c:pt idx="165">
                  <c:v>43397.666666666599</c:v>
                </c:pt>
                <c:pt idx="166">
                  <c:v>43398.666666666599</c:v>
                </c:pt>
                <c:pt idx="167">
                  <c:v>43399.666666666599</c:v>
                </c:pt>
                <c:pt idx="168">
                  <c:v>43402.666666666599</c:v>
                </c:pt>
                <c:pt idx="169">
                  <c:v>43403.666666666599</c:v>
                </c:pt>
                <c:pt idx="170">
                  <c:v>43404.666666666599</c:v>
                </c:pt>
                <c:pt idx="171">
                  <c:v>43405.666666666599</c:v>
                </c:pt>
                <c:pt idx="172">
                  <c:v>43406.666666666599</c:v>
                </c:pt>
                <c:pt idx="173">
                  <c:v>43409.666666666599</c:v>
                </c:pt>
                <c:pt idx="174">
                  <c:v>43410.666666666599</c:v>
                </c:pt>
                <c:pt idx="175">
                  <c:v>43411.666666666599</c:v>
                </c:pt>
                <c:pt idx="176">
                  <c:v>43412.666666666599</c:v>
                </c:pt>
                <c:pt idx="177">
                  <c:v>43413.666666666599</c:v>
                </c:pt>
                <c:pt idx="178">
                  <c:v>43416.666666666599</c:v>
                </c:pt>
                <c:pt idx="179">
                  <c:v>43417.666666666599</c:v>
                </c:pt>
                <c:pt idx="180">
                  <c:v>43418.666666666599</c:v>
                </c:pt>
                <c:pt idx="181">
                  <c:v>43419.666666666599</c:v>
                </c:pt>
                <c:pt idx="182">
                  <c:v>43420.666666666599</c:v>
                </c:pt>
                <c:pt idx="183">
                  <c:v>43423.666666666599</c:v>
                </c:pt>
                <c:pt idx="184">
                  <c:v>43424.666666666599</c:v>
                </c:pt>
                <c:pt idx="185">
                  <c:v>43425.666666666599</c:v>
                </c:pt>
                <c:pt idx="186">
                  <c:v>43427.541666666599</c:v>
                </c:pt>
                <c:pt idx="187">
                  <c:v>43430.666666666599</c:v>
                </c:pt>
                <c:pt idx="188">
                  <c:v>43431.666666666599</c:v>
                </c:pt>
                <c:pt idx="189">
                  <c:v>43432.666666666599</c:v>
                </c:pt>
                <c:pt idx="190">
                  <c:v>43433.666666666599</c:v>
                </c:pt>
                <c:pt idx="191">
                  <c:v>43434.666666666599</c:v>
                </c:pt>
                <c:pt idx="192">
                  <c:v>43437.666666666599</c:v>
                </c:pt>
                <c:pt idx="193">
                  <c:v>43438.666666666599</c:v>
                </c:pt>
                <c:pt idx="194">
                  <c:v>43440.666666666599</c:v>
                </c:pt>
                <c:pt idx="195">
                  <c:v>43441.666666666599</c:v>
                </c:pt>
                <c:pt idx="196">
                  <c:v>43444.666666666599</c:v>
                </c:pt>
                <c:pt idx="197">
                  <c:v>43445.666666666599</c:v>
                </c:pt>
                <c:pt idx="198">
                  <c:v>43446.666666666599</c:v>
                </c:pt>
                <c:pt idx="199">
                  <c:v>43447.666666666599</c:v>
                </c:pt>
                <c:pt idx="200">
                  <c:v>43448.666666666599</c:v>
                </c:pt>
                <c:pt idx="201">
                  <c:v>43451.666666666599</c:v>
                </c:pt>
                <c:pt idx="202">
                  <c:v>43452.666666666599</c:v>
                </c:pt>
                <c:pt idx="203">
                  <c:v>43453.666666666599</c:v>
                </c:pt>
                <c:pt idx="204">
                  <c:v>43454.666666666599</c:v>
                </c:pt>
                <c:pt idx="205">
                  <c:v>43455.666666666599</c:v>
                </c:pt>
                <c:pt idx="206">
                  <c:v>43458.541666666599</c:v>
                </c:pt>
                <c:pt idx="207">
                  <c:v>43460.666666666599</c:v>
                </c:pt>
                <c:pt idx="208">
                  <c:v>43461.666666666599</c:v>
                </c:pt>
                <c:pt idx="209">
                  <c:v>43462.666666666599</c:v>
                </c:pt>
                <c:pt idx="210">
                  <c:v>43465.666666666599</c:v>
                </c:pt>
                <c:pt idx="211">
                  <c:v>43467.666666666599</c:v>
                </c:pt>
                <c:pt idx="212">
                  <c:v>43468.666666666599</c:v>
                </c:pt>
                <c:pt idx="213">
                  <c:v>43469.666666666599</c:v>
                </c:pt>
                <c:pt idx="214">
                  <c:v>43472.666666666599</c:v>
                </c:pt>
                <c:pt idx="215">
                  <c:v>43473.666666666599</c:v>
                </c:pt>
                <c:pt idx="216">
                  <c:v>43474.666666666599</c:v>
                </c:pt>
                <c:pt idx="217">
                  <c:v>43475.666666666599</c:v>
                </c:pt>
                <c:pt idx="218">
                  <c:v>43476.666666666599</c:v>
                </c:pt>
                <c:pt idx="219">
                  <c:v>43479.666666666599</c:v>
                </c:pt>
                <c:pt idx="220">
                  <c:v>43480.666666666599</c:v>
                </c:pt>
                <c:pt idx="221">
                  <c:v>43481.666666666599</c:v>
                </c:pt>
                <c:pt idx="222">
                  <c:v>43482.666666666599</c:v>
                </c:pt>
                <c:pt idx="223">
                  <c:v>43483.666666666599</c:v>
                </c:pt>
                <c:pt idx="224">
                  <c:v>43487.666666666599</c:v>
                </c:pt>
                <c:pt idx="225">
                  <c:v>43488.666666666599</c:v>
                </c:pt>
                <c:pt idx="226">
                  <c:v>43489.666666666599</c:v>
                </c:pt>
                <c:pt idx="227">
                  <c:v>43490.666666666599</c:v>
                </c:pt>
                <c:pt idx="228">
                  <c:v>43493.666666666599</c:v>
                </c:pt>
                <c:pt idx="229">
                  <c:v>43494.666666666599</c:v>
                </c:pt>
                <c:pt idx="230">
                  <c:v>43495.666666666599</c:v>
                </c:pt>
                <c:pt idx="231">
                  <c:v>43496.666666666599</c:v>
                </c:pt>
                <c:pt idx="232">
                  <c:v>43497.666666666599</c:v>
                </c:pt>
                <c:pt idx="233">
                  <c:v>43500.666666666599</c:v>
                </c:pt>
                <c:pt idx="234">
                  <c:v>43501.666666666599</c:v>
                </c:pt>
                <c:pt idx="235">
                  <c:v>43502.666666666599</c:v>
                </c:pt>
                <c:pt idx="236">
                  <c:v>43503.666666666599</c:v>
                </c:pt>
                <c:pt idx="237">
                  <c:v>43504.666666666599</c:v>
                </c:pt>
                <c:pt idx="238">
                  <c:v>43507.666666666599</c:v>
                </c:pt>
                <c:pt idx="239">
                  <c:v>43508.666666666599</c:v>
                </c:pt>
                <c:pt idx="240">
                  <c:v>43509.666666666599</c:v>
                </c:pt>
                <c:pt idx="241">
                  <c:v>43510.666666666599</c:v>
                </c:pt>
                <c:pt idx="242">
                  <c:v>43511.666666666599</c:v>
                </c:pt>
                <c:pt idx="243">
                  <c:v>43515.666666666599</c:v>
                </c:pt>
                <c:pt idx="244">
                  <c:v>43516.666666666599</c:v>
                </c:pt>
                <c:pt idx="245">
                  <c:v>43517.666666666599</c:v>
                </c:pt>
                <c:pt idx="246">
                  <c:v>43518.666666666599</c:v>
                </c:pt>
                <c:pt idx="247">
                  <c:v>43521.666666666599</c:v>
                </c:pt>
                <c:pt idx="248">
                  <c:v>43522.666666666599</c:v>
                </c:pt>
                <c:pt idx="249">
                  <c:v>43523.666666666599</c:v>
                </c:pt>
                <c:pt idx="250">
                  <c:v>43524.666666666599</c:v>
                </c:pt>
                <c:pt idx="251">
                  <c:v>43525.666666666599</c:v>
                </c:pt>
                <c:pt idx="252">
                  <c:v>43528.666666666599</c:v>
                </c:pt>
                <c:pt idx="253">
                  <c:v>43529.666666666599</c:v>
                </c:pt>
                <c:pt idx="254">
                  <c:v>43530.666666666599</c:v>
                </c:pt>
                <c:pt idx="255">
                  <c:v>43531.666666666599</c:v>
                </c:pt>
                <c:pt idx="256">
                  <c:v>43532.666666666599</c:v>
                </c:pt>
                <c:pt idx="257">
                  <c:v>43535.666666666599</c:v>
                </c:pt>
                <c:pt idx="258">
                  <c:v>43536.666666666599</c:v>
                </c:pt>
                <c:pt idx="259">
                  <c:v>43537.666666666599</c:v>
                </c:pt>
                <c:pt idx="260">
                  <c:v>43538.666666666599</c:v>
                </c:pt>
                <c:pt idx="261">
                  <c:v>43539.666666666599</c:v>
                </c:pt>
                <c:pt idx="262">
                  <c:v>43542.666666666599</c:v>
                </c:pt>
                <c:pt idx="263">
                  <c:v>43543.666666666599</c:v>
                </c:pt>
                <c:pt idx="264">
                  <c:v>43544.666666666599</c:v>
                </c:pt>
                <c:pt idx="265">
                  <c:v>43545.666666666599</c:v>
                </c:pt>
                <c:pt idx="266">
                  <c:v>43546.666666666599</c:v>
                </c:pt>
                <c:pt idx="267">
                  <c:v>43549.666666666599</c:v>
                </c:pt>
                <c:pt idx="268">
                  <c:v>43550.666666666599</c:v>
                </c:pt>
                <c:pt idx="269">
                  <c:v>43551.666666666599</c:v>
                </c:pt>
                <c:pt idx="270">
                  <c:v>43552.666666666599</c:v>
                </c:pt>
                <c:pt idx="271">
                  <c:v>43553.666666666599</c:v>
                </c:pt>
                <c:pt idx="272">
                  <c:v>43556.666666666599</c:v>
                </c:pt>
                <c:pt idx="273">
                  <c:v>43557.666666666599</c:v>
                </c:pt>
                <c:pt idx="274">
                  <c:v>43558.666666666599</c:v>
                </c:pt>
                <c:pt idx="275">
                  <c:v>43559.666666666599</c:v>
                </c:pt>
                <c:pt idx="276">
                  <c:v>43560.666666666599</c:v>
                </c:pt>
                <c:pt idx="277">
                  <c:v>43563.666666666599</c:v>
                </c:pt>
                <c:pt idx="278">
                  <c:v>43564.666666666599</c:v>
                </c:pt>
                <c:pt idx="279">
                  <c:v>43565.666666666599</c:v>
                </c:pt>
                <c:pt idx="280">
                  <c:v>43566.666666666599</c:v>
                </c:pt>
                <c:pt idx="281">
                  <c:v>43567.666666666599</c:v>
                </c:pt>
                <c:pt idx="282">
                  <c:v>43570.666666666599</c:v>
                </c:pt>
                <c:pt idx="283">
                  <c:v>43571.666666666599</c:v>
                </c:pt>
                <c:pt idx="284">
                  <c:v>43572.666666666599</c:v>
                </c:pt>
                <c:pt idx="285">
                  <c:v>43573.666666666599</c:v>
                </c:pt>
                <c:pt idx="286">
                  <c:v>43577.666666666599</c:v>
                </c:pt>
                <c:pt idx="287">
                  <c:v>43578.666666666599</c:v>
                </c:pt>
                <c:pt idx="288">
                  <c:v>43579.666666666599</c:v>
                </c:pt>
                <c:pt idx="289">
                  <c:v>43580.666666666599</c:v>
                </c:pt>
                <c:pt idx="290">
                  <c:v>43581.666666666599</c:v>
                </c:pt>
                <c:pt idx="291">
                  <c:v>43584.666666666599</c:v>
                </c:pt>
                <c:pt idx="292">
                  <c:v>43585.666666666599</c:v>
                </c:pt>
                <c:pt idx="293">
                  <c:v>43586.666666666599</c:v>
                </c:pt>
                <c:pt idx="294">
                  <c:v>43587.666666666599</c:v>
                </c:pt>
                <c:pt idx="295">
                  <c:v>43588.666666666599</c:v>
                </c:pt>
                <c:pt idx="296">
                  <c:v>43591.666666666599</c:v>
                </c:pt>
                <c:pt idx="297">
                  <c:v>43592.666666666599</c:v>
                </c:pt>
                <c:pt idx="298">
                  <c:v>43593.666666666599</c:v>
                </c:pt>
                <c:pt idx="299">
                  <c:v>43594.666666666599</c:v>
                </c:pt>
                <c:pt idx="300">
                  <c:v>43595.666666666599</c:v>
                </c:pt>
                <c:pt idx="301">
                  <c:v>43598.666666666599</c:v>
                </c:pt>
                <c:pt idx="302">
                  <c:v>43599.666666666599</c:v>
                </c:pt>
                <c:pt idx="303">
                  <c:v>43600.666666666599</c:v>
                </c:pt>
                <c:pt idx="304">
                  <c:v>43601.666666666599</c:v>
                </c:pt>
                <c:pt idx="305">
                  <c:v>43602.666666666599</c:v>
                </c:pt>
                <c:pt idx="306">
                  <c:v>43605.666666666599</c:v>
                </c:pt>
                <c:pt idx="307">
                  <c:v>43606.666666666599</c:v>
                </c:pt>
                <c:pt idx="308">
                  <c:v>43607.666666666599</c:v>
                </c:pt>
                <c:pt idx="309">
                  <c:v>43608.666666666599</c:v>
                </c:pt>
                <c:pt idx="310">
                  <c:v>43609.666666666599</c:v>
                </c:pt>
                <c:pt idx="311">
                  <c:v>43613.666666666599</c:v>
                </c:pt>
                <c:pt idx="312">
                  <c:v>43614.666666666599</c:v>
                </c:pt>
                <c:pt idx="313">
                  <c:v>43615.666666666599</c:v>
                </c:pt>
                <c:pt idx="314">
                  <c:v>43616.666666666599</c:v>
                </c:pt>
                <c:pt idx="315">
                  <c:v>43619.666666666599</c:v>
                </c:pt>
                <c:pt idx="316">
                  <c:v>43620.666666666599</c:v>
                </c:pt>
                <c:pt idx="317">
                  <c:v>43621.666666666599</c:v>
                </c:pt>
                <c:pt idx="318">
                  <c:v>43622.666666666599</c:v>
                </c:pt>
                <c:pt idx="319">
                  <c:v>43623.666666666599</c:v>
                </c:pt>
                <c:pt idx="320">
                  <c:v>43626.666666666599</c:v>
                </c:pt>
                <c:pt idx="321">
                  <c:v>43627.666666666599</c:v>
                </c:pt>
                <c:pt idx="322">
                  <c:v>43628.666666666599</c:v>
                </c:pt>
                <c:pt idx="323">
                  <c:v>43629.666666666599</c:v>
                </c:pt>
                <c:pt idx="324">
                  <c:v>43630.666666666599</c:v>
                </c:pt>
                <c:pt idx="325">
                  <c:v>43633.666666666599</c:v>
                </c:pt>
                <c:pt idx="326">
                  <c:v>43634.666666666599</c:v>
                </c:pt>
                <c:pt idx="327">
                  <c:v>43635.666666666599</c:v>
                </c:pt>
                <c:pt idx="328">
                  <c:v>43636.666666666599</c:v>
                </c:pt>
                <c:pt idx="329">
                  <c:v>43637.666666666599</c:v>
                </c:pt>
                <c:pt idx="330">
                  <c:v>43640.666666666599</c:v>
                </c:pt>
                <c:pt idx="331">
                  <c:v>43641.666666666599</c:v>
                </c:pt>
                <c:pt idx="332">
                  <c:v>43642.666666666599</c:v>
                </c:pt>
                <c:pt idx="333">
                  <c:v>43643.666666666599</c:v>
                </c:pt>
                <c:pt idx="334">
                  <c:v>43644.666666666599</c:v>
                </c:pt>
                <c:pt idx="335">
                  <c:v>43647.666666666599</c:v>
                </c:pt>
                <c:pt idx="336">
                  <c:v>43648.666666666599</c:v>
                </c:pt>
                <c:pt idx="337">
                  <c:v>43649.541666666599</c:v>
                </c:pt>
                <c:pt idx="338">
                  <c:v>43651.666666666599</c:v>
                </c:pt>
                <c:pt idx="339">
                  <c:v>43654.666666666599</c:v>
                </c:pt>
                <c:pt idx="340">
                  <c:v>43655.666666666599</c:v>
                </c:pt>
                <c:pt idx="341">
                  <c:v>43656.666666666599</c:v>
                </c:pt>
                <c:pt idx="342">
                  <c:v>43657.666666666599</c:v>
                </c:pt>
                <c:pt idx="343">
                  <c:v>43658.666666666599</c:v>
                </c:pt>
                <c:pt idx="344">
                  <c:v>43661.666666666599</c:v>
                </c:pt>
                <c:pt idx="345">
                  <c:v>43662.666666666599</c:v>
                </c:pt>
                <c:pt idx="346">
                  <c:v>43663.666666666599</c:v>
                </c:pt>
                <c:pt idx="347">
                  <c:v>43664.666666666599</c:v>
                </c:pt>
                <c:pt idx="348">
                  <c:v>43665.666666666599</c:v>
                </c:pt>
                <c:pt idx="349">
                  <c:v>43668.666666666599</c:v>
                </c:pt>
                <c:pt idx="350">
                  <c:v>43669.666666666599</c:v>
                </c:pt>
                <c:pt idx="351">
                  <c:v>43670.666666666599</c:v>
                </c:pt>
                <c:pt idx="352">
                  <c:v>43671.666666666599</c:v>
                </c:pt>
                <c:pt idx="353">
                  <c:v>43672.666666666599</c:v>
                </c:pt>
                <c:pt idx="354">
                  <c:v>43675.666666666599</c:v>
                </c:pt>
                <c:pt idx="355">
                  <c:v>43676.666666666599</c:v>
                </c:pt>
                <c:pt idx="356">
                  <c:v>43677.666666666599</c:v>
                </c:pt>
                <c:pt idx="357">
                  <c:v>43678.666666666599</c:v>
                </c:pt>
                <c:pt idx="358">
                  <c:v>43679.666666666599</c:v>
                </c:pt>
                <c:pt idx="359">
                  <c:v>43682.666666666599</c:v>
                </c:pt>
                <c:pt idx="360">
                  <c:v>43683.666666666599</c:v>
                </c:pt>
                <c:pt idx="361">
                  <c:v>43684.666666666599</c:v>
                </c:pt>
                <c:pt idx="362">
                  <c:v>43685.666666666599</c:v>
                </c:pt>
                <c:pt idx="363">
                  <c:v>43686.666666666599</c:v>
                </c:pt>
                <c:pt idx="364">
                  <c:v>43689.666666666599</c:v>
                </c:pt>
                <c:pt idx="365">
                  <c:v>43690.666666666599</c:v>
                </c:pt>
                <c:pt idx="366">
                  <c:v>43691.666666666599</c:v>
                </c:pt>
                <c:pt idx="367">
                  <c:v>43692.666666666599</c:v>
                </c:pt>
                <c:pt idx="368">
                  <c:v>43693.666666666599</c:v>
                </c:pt>
                <c:pt idx="369">
                  <c:v>43696.666666666599</c:v>
                </c:pt>
                <c:pt idx="370">
                  <c:v>43697.666666666599</c:v>
                </c:pt>
                <c:pt idx="371">
                  <c:v>43698.666666666599</c:v>
                </c:pt>
                <c:pt idx="372">
                  <c:v>43699.666666666599</c:v>
                </c:pt>
                <c:pt idx="373">
                  <c:v>43700.666666666599</c:v>
                </c:pt>
                <c:pt idx="374">
                  <c:v>43703.666666666599</c:v>
                </c:pt>
                <c:pt idx="375">
                  <c:v>43704.666666666599</c:v>
                </c:pt>
                <c:pt idx="376">
                  <c:v>43705.666666666599</c:v>
                </c:pt>
                <c:pt idx="377">
                  <c:v>43706.666666666599</c:v>
                </c:pt>
                <c:pt idx="378">
                  <c:v>43707.666666666599</c:v>
                </c:pt>
                <c:pt idx="379">
                  <c:v>43711.666666666599</c:v>
                </c:pt>
                <c:pt idx="380">
                  <c:v>43712.666666666599</c:v>
                </c:pt>
                <c:pt idx="381">
                  <c:v>43713.666666666599</c:v>
                </c:pt>
                <c:pt idx="382">
                  <c:v>43714.666666666599</c:v>
                </c:pt>
                <c:pt idx="383">
                  <c:v>43717.666666666599</c:v>
                </c:pt>
                <c:pt idx="384">
                  <c:v>43718.666666666599</c:v>
                </c:pt>
                <c:pt idx="385">
                  <c:v>43719.666666666599</c:v>
                </c:pt>
                <c:pt idx="386">
                  <c:v>43720.666666666599</c:v>
                </c:pt>
                <c:pt idx="387">
                  <c:v>43721.666666666599</c:v>
                </c:pt>
                <c:pt idx="388">
                  <c:v>43724.666666666599</c:v>
                </c:pt>
                <c:pt idx="389">
                  <c:v>43725.666666666599</c:v>
                </c:pt>
                <c:pt idx="390">
                  <c:v>43726.666666666599</c:v>
                </c:pt>
                <c:pt idx="391">
                  <c:v>43727.666666666599</c:v>
                </c:pt>
                <c:pt idx="392">
                  <c:v>43728.666666666599</c:v>
                </c:pt>
                <c:pt idx="393">
                  <c:v>43731.666666666599</c:v>
                </c:pt>
                <c:pt idx="394">
                  <c:v>43732.666666666599</c:v>
                </c:pt>
                <c:pt idx="395">
                  <c:v>43733.666666666599</c:v>
                </c:pt>
                <c:pt idx="396">
                  <c:v>43734.666666666599</c:v>
                </c:pt>
                <c:pt idx="397">
                  <c:v>43735.666666666599</c:v>
                </c:pt>
                <c:pt idx="398">
                  <c:v>43738.666666666599</c:v>
                </c:pt>
                <c:pt idx="399">
                  <c:v>43739.666666666599</c:v>
                </c:pt>
                <c:pt idx="400">
                  <c:v>43740.666666666599</c:v>
                </c:pt>
                <c:pt idx="401">
                  <c:v>43741.666666666599</c:v>
                </c:pt>
                <c:pt idx="402">
                  <c:v>43742.666666666599</c:v>
                </c:pt>
                <c:pt idx="403">
                  <c:v>43745.666666666599</c:v>
                </c:pt>
                <c:pt idx="404">
                  <c:v>43746.666666666599</c:v>
                </c:pt>
                <c:pt idx="405">
                  <c:v>43747.666666666599</c:v>
                </c:pt>
                <c:pt idx="406">
                  <c:v>43748.666666666599</c:v>
                </c:pt>
                <c:pt idx="407">
                  <c:v>43749.666666666599</c:v>
                </c:pt>
                <c:pt idx="408">
                  <c:v>43752.666666666599</c:v>
                </c:pt>
                <c:pt idx="409">
                  <c:v>43753.666666666599</c:v>
                </c:pt>
                <c:pt idx="410">
                  <c:v>43754.666666666599</c:v>
                </c:pt>
                <c:pt idx="411">
                  <c:v>43755.666666666599</c:v>
                </c:pt>
                <c:pt idx="412">
                  <c:v>43756.666666666599</c:v>
                </c:pt>
                <c:pt idx="413">
                  <c:v>43759.666666666599</c:v>
                </c:pt>
                <c:pt idx="414">
                  <c:v>43760.666666666599</c:v>
                </c:pt>
                <c:pt idx="415">
                  <c:v>43761.666666666599</c:v>
                </c:pt>
                <c:pt idx="416">
                  <c:v>43762.666666666599</c:v>
                </c:pt>
                <c:pt idx="417">
                  <c:v>43763.666666666599</c:v>
                </c:pt>
                <c:pt idx="418">
                  <c:v>43766.666666666599</c:v>
                </c:pt>
                <c:pt idx="419">
                  <c:v>43767.666666666599</c:v>
                </c:pt>
                <c:pt idx="420">
                  <c:v>43768.666666666599</c:v>
                </c:pt>
                <c:pt idx="421">
                  <c:v>43769.666666666599</c:v>
                </c:pt>
                <c:pt idx="422">
                  <c:v>43770.666666666599</c:v>
                </c:pt>
                <c:pt idx="423">
                  <c:v>43773.666666666599</c:v>
                </c:pt>
                <c:pt idx="424">
                  <c:v>43774.666666666599</c:v>
                </c:pt>
                <c:pt idx="425">
                  <c:v>43775.666666666599</c:v>
                </c:pt>
                <c:pt idx="426">
                  <c:v>43776.666666666599</c:v>
                </c:pt>
                <c:pt idx="427">
                  <c:v>43777.666666666599</c:v>
                </c:pt>
                <c:pt idx="428">
                  <c:v>43780.666666666599</c:v>
                </c:pt>
                <c:pt idx="429">
                  <c:v>43781.666666666599</c:v>
                </c:pt>
                <c:pt idx="430">
                  <c:v>43782.666666666599</c:v>
                </c:pt>
                <c:pt idx="431">
                  <c:v>43783.666666666599</c:v>
                </c:pt>
                <c:pt idx="432">
                  <c:v>43784.666666666599</c:v>
                </c:pt>
                <c:pt idx="433">
                  <c:v>43787.666666666599</c:v>
                </c:pt>
                <c:pt idx="434">
                  <c:v>43788.666666666599</c:v>
                </c:pt>
                <c:pt idx="435">
                  <c:v>43789.666666666599</c:v>
                </c:pt>
                <c:pt idx="436">
                  <c:v>43790.666666666599</c:v>
                </c:pt>
                <c:pt idx="437">
                  <c:v>43791.666666666599</c:v>
                </c:pt>
                <c:pt idx="438">
                  <c:v>43794.666666666599</c:v>
                </c:pt>
                <c:pt idx="439">
                  <c:v>43795.666666666599</c:v>
                </c:pt>
                <c:pt idx="440">
                  <c:v>43796.666666666599</c:v>
                </c:pt>
                <c:pt idx="441">
                  <c:v>43798.541666666599</c:v>
                </c:pt>
                <c:pt idx="442">
                  <c:v>43801.666666666599</c:v>
                </c:pt>
                <c:pt idx="443">
                  <c:v>43802.666666666599</c:v>
                </c:pt>
                <c:pt idx="444">
                  <c:v>43803.666666666599</c:v>
                </c:pt>
                <c:pt idx="445">
                  <c:v>43804.666666666599</c:v>
                </c:pt>
                <c:pt idx="446">
                  <c:v>43805.666666666599</c:v>
                </c:pt>
                <c:pt idx="447">
                  <c:v>43808.666666666599</c:v>
                </c:pt>
                <c:pt idx="448">
                  <c:v>43809.666666666599</c:v>
                </c:pt>
                <c:pt idx="449">
                  <c:v>43810.666666666599</c:v>
                </c:pt>
                <c:pt idx="450">
                  <c:v>43811.666666666599</c:v>
                </c:pt>
                <c:pt idx="451">
                  <c:v>43812.666666666599</c:v>
                </c:pt>
                <c:pt idx="452">
                  <c:v>43815.666666666599</c:v>
                </c:pt>
                <c:pt idx="453">
                  <c:v>43816.666666666599</c:v>
                </c:pt>
                <c:pt idx="454">
                  <c:v>43817.666666666599</c:v>
                </c:pt>
                <c:pt idx="455">
                  <c:v>43818.666666666599</c:v>
                </c:pt>
                <c:pt idx="456">
                  <c:v>43819.666666666599</c:v>
                </c:pt>
                <c:pt idx="457">
                  <c:v>43822.666666666599</c:v>
                </c:pt>
                <c:pt idx="458">
                  <c:v>43823.541666666599</c:v>
                </c:pt>
                <c:pt idx="459">
                  <c:v>43825.666666666599</c:v>
                </c:pt>
                <c:pt idx="460">
                  <c:v>43826.666666666599</c:v>
                </c:pt>
                <c:pt idx="461">
                  <c:v>43829.666666666599</c:v>
                </c:pt>
                <c:pt idx="462">
                  <c:v>43830.666666666599</c:v>
                </c:pt>
                <c:pt idx="463">
                  <c:v>43832.666666666599</c:v>
                </c:pt>
                <c:pt idx="464">
                  <c:v>43833.666666666599</c:v>
                </c:pt>
                <c:pt idx="465">
                  <c:v>43836.666666666599</c:v>
                </c:pt>
                <c:pt idx="466">
                  <c:v>43837.666666666599</c:v>
                </c:pt>
                <c:pt idx="467">
                  <c:v>43838.666666666599</c:v>
                </c:pt>
                <c:pt idx="468">
                  <c:v>43839.666666666599</c:v>
                </c:pt>
                <c:pt idx="469">
                  <c:v>43840.666666666599</c:v>
                </c:pt>
                <c:pt idx="470">
                  <c:v>43843.666666666599</c:v>
                </c:pt>
                <c:pt idx="471">
                  <c:v>43844.666666666599</c:v>
                </c:pt>
                <c:pt idx="472">
                  <c:v>43845.666666666599</c:v>
                </c:pt>
                <c:pt idx="473">
                  <c:v>43846.666666666599</c:v>
                </c:pt>
                <c:pt idx="474">
                  <c:v>43847.666666666599</c:v>
                </c:pt>
                <c:pt idx="475">
                  <c:v>43851.666666666599</c:v>
                </c:pt>
                <c:pt idx="476">
                  <c:v>43852.666666666599</c:v>
                </c:pt>
                <c:pt idx="477">
                  <c:v>43853.666666666599</c:v>
                </c:pt>
                <c:pt idx="478">
                  <c:v>43854.666666666599</c:v>
                </c:pt>
                <c:pt idx="479">
                  <c:v>43857.666666666599</c:v>
                </c:pt>
                <c:pt idx="480">
                  <c:v>43858.666666666599</c:v>
                </c:pt>
                <c:pt idx="481">
                  <c:v>43859.666666666599</c:v>
                </c:pt>
                <c:pt idx="482">
                  <c:v>43860.666666666599</c:v>
                </c:pt>
                <c:pt idx="483">
                  <c:v>43861.666666666599</c:v>
                </c:pt>
                <c:pt idx="484">
                  <c:v>43864.666666666599</c:v>
                </c:pt>
                <c:pt idx="485">
                  <c:v>43865.666666666599</c:v>
                </c:pt>
                <c:pt idx="486">
                  <c:v>43866.666666666599</c:v>
                </c:pt>
                <c:pt idx="487">
                  <c:v>43867.666666666599</c:v>
                </c:pt>
                <c:pt idx="488">
                  <c:v>43868.666666666599</c:v>
                </c:pt>
                <c:pt idx="489">
                  <c:v>43871.666666666599</c:v>
                </c:pt>
                <c:pt idx="490">
                  <c:v>43872.666666666599</c:v>
                </c:pt>
                <c:pt idx="491">
                  <c:v>43873.666666666599</c:v>
                </c:pt>
                <c:pt idx="492">
                  <c:v>43874.666666666599</c:v>
                </c:pt>
                <c:pt idx="493">
                  <c:v>43875.666666666599</c:v>
                </c:pt>
                <c:pt idx="494">
                  <c:v>43879.666666666599</c:v>
                </c:pt>
                <c:pt idx="495">
                  <c:v>43880.666666666599</c:v>
                </c:pt>
                <c:pt idx="496">
                  <c:v>43881.666666666599</c:v>
                </c:pt>
                <c:pt idx="497">
                  <c:v>43882.666666666599</c:v>
                </c:pt>
                <c:pt idx="498">
                  <c:v>43885.666666666599</c:v>
                </c:pt>
                <c:pt idx="499">
                  <c:v>43886.666666666599</c:v>
                </c:pt>
                <c:pt idx="500">
                  <c:v>43887.666666666599</c:v>
                </c:pt>
                <c:pt idx="501">
                  <c:v>43888.666666666599</c:v>
                </c:pt>
                <c:pt idx="502">
                  <c:v>43889.666666666599</c:v>
                </c:pt>
                <c:pt idx="503">
                  <c:v>43892.666666666599</c:v>
                </c:pt>
                <c:pt idx="504">
                  <c:v>43893.666666666599</c:v>
                </c:pt>
                <c:pt idx="505">
                  <c:v>43894.666666666599</c:v>
                </c:pt>
                <c:pt idx="506">
                  <c:v>43895.666666666599</c:v>
                </c:pt>
                <c:pt idx="507">
                  <c:v>43896.666666666599</c:v>
                </c:pt>
                <c:pt idx="508">
                  <c:v>43899.666666666599</c:v>
                </c:pt>
                <c:pt idx="509">
                  <c:v>43900.666666666599</c:v>
                </c:pt>
                <c:pt idx="510">
                  <c:v>43901.666666666599</c:v>
                </c:pt>
                <c:pt idx="511">
                  <c:v>43902.666666666599</c:v>
                </c:pt>
                <c:pt idx="512">
                  <c:v>43903.666666666599</c:v>
                </c:pt>
                <c:pt idx="513">
                  <c:v>43906.666666666599</c:v>
                </c:pt>
                <c:pt idx="514">
                  <c:v>43907.666666666599</c:v>
                </c:pt>
                <c:pt idx="515">
                  <c:v>43908.666666666599</c:v>
                </c:pt>
                <c:pt idx="516">
                  <c:v>43909.666666666599</c:v>
                </c:pt>
                <c:pt idx="517">
                  <c:v>43910.666666666599</c:v>
                </c:pt>
                <c:pt idx="518">
                  <c:v>43913.666666666599</c:v>
                </c:pt>
                <c:pt idx="519">
                  <c:v>43914.666666666599</c:v>
                </c:pt>
                <c:pt idx="520">
                  <c:v>43915.666666666599</c:v>
                </c:pt>
                <c:pt idx="521">
                  <c:v>43916.666666666599</c:v>
                </c:pt>
                <c:pt idx="522">
                  <c:v>43917.666666666599</c:v>
                </c:pt>
                <c:pt idx="523">
                  <c:v>43920.666666666599</c:v>
                </c:pt>
                <c:pt idx="524">
                  <c:v>43921.666666666599</c:v>
                </c:pt>
                <c:pt idx="525">
                  <c:v>43922.666666666599</c:v>
                </c:pt>
                <c:pt idx="526">
                  <c:v>43923.666666666599</c:v>
                </c:pt>
                <c:pt idx="527">
                  <c:v>43924.666666666599</c:v>
                </c:pt>
                <c:pt idx="528">
                  <c:v>43927.666666666599</c:v>
                </c:pt>
                <c:pt idx="529">
                  <c:v>43928.666666666599</c:v>
                </c:pt>
                <c:pt idx="530">
                  <c:v>43929.666666666599</c:v>
                </c:pt>
                <c:pt idx="531">
                  <c:v>43930.666666666599</c:v>
                </c:pt>
                <c:pt idx="532">
                  <c:v>43934.666666666599</c:v>
                </c:pt>
                <c:pt idx="533">
                  <c:v>43935.666666666599</c:v>
                </c:pt>
                <c:pt idx="534">
                  <c:v>43936.666666666599</c:v>
                </c:pt>
                <c:pt idx="535">
                  <c:v>43937.666666666599</c:v>
                </c:pt>
                <c:pt idx="536">
                  <c:v>43938.666666666599</c:v>
                </c:pt>
                <c:pt idx="537">
                  <c:v>43941.666666666599</c:v>
                </c:pt>
                <c:pt idx="538">
                  <c:v>43942.666666666599</c:v>
                </c:pt>
                <c:pt idx="539">
                  <c:v>43943.666666666599</c:v>
                </c:pt>
                <c:pt idx="540">
                  <c:v>43944.666666666599</c:v>
                </c:pt>
                <c:pt idx="541">
                  <c:v>43945.666666666599</c:v>
                </c:pt>
                <c:pt idx="542">
                  <c:v>43948.666666666599</c:v>
                </c:pt>
                <c:pt idx="543">
                  <c:v>43949.666666666599</c:v>
                </c:pt>
                <c:pt idx="544">
                  <c:v>43950.666666666599</c:v>
                </c:pt>
                <c:pt idx="545">
                  <c:v>43951.666666666599</c:v>
                </c:pt>
                <c:pt idx="546">
                  <c:v>43952.666666666599</c:v>
                </c:pt>
                <c:pt idx="547">
                  <c:v>43955.666666666599</c:v>
                </c:pt>
                <c:pt idx="548">
                  <c:v>43956.666666666599</c:v>
                </c:pt>
                <c:pt idx="549">
                  <c:v>43957.666666666599</c:v>
                </c:pt>
                <c:pt idx="550">
                  <c:v>43958.666666666599</c:v>
                </c:pt>
                <c:pt idx="551">
                  <c:v>43959.666666666599</c:v>
                </c:pt>
                <c:pt idx="552">
                  <c:v>43962.666666666599</c:v>
                </c:pt>
                <c:pt idx="553">
                  <c:v>43963.666666666599</c:v>
                </c:pt>
                <c:pt idx="554">
                  <c:v>43964.666666666599</c:v>
                </c:pt>
                <c:pt idx="555">
                  <c:v>43965.666666666599</c:v>
                </c:pt>
                <c:pt idx="556">
                  <c:v>43966.666666666599</c:v>
                </c:pt>
                <c:pt idx="557">
                  <c:v>43969.666666666599</c:v>
                </c:pt>
                <c:pt idx="558">
                  <c:v>43970.666666666599</c:v>
                </c:pt>
                <c:pt idx="559">
                  <c:v>43971.666666666599</c:v>
                </c:pt>
                <c:pt idx="560">
                  <c:v>43972.666666666599</c:v>
                </c:pt>
                <c:pt idx="561">
                  <c:v>43973.666666666599</c:v>
                </c:pt>
                <c:pt idx="562">
                  <c:v>43977.666666666599</c:v>
                </c:pt>
                <c:pt idx="563">
                  <c:v>43978.666666666599</c:v>
                </c:pt>
                <c:pt idx="564">
                  <c:v>43979.666666666599</c:v>
                </c:pt>
                <c:pt idx="565">
                  <c:v>43980.666666666599</c:v>
                </c:pt>
                <c:pt idx="566">
                  <c:v>43983.666666666599</c:v>
                </c:pt>
                <c:pt idx="567">
                  <c:v>43984.666666666599</c:v>
                </c:pt>
                <c:pt idx="568">
                  <c:v>43985.666666666599</c:v>
                </c:pt>
                <c:pt idx="569">
                  <c:v>43986.666666666599</c:v>
                </c:pt>
                <c:pt idx="570">
                  <c:v>43987.666666666599</c:v>
                </c:pt>
                <c:pt idx="571">
                  <c:v>43990.666666666599</c:v>
                </c:pt>
                <c:pt idx="572">
                  <c:v>43991.666666666599</c:v>
                </c:pt>
                <c:pt idx="573">
                  <c:v>43992.666666666599</c:v>
                </c:pt>
                <c:pt idx="574">
                  <c:v>43993.666666666599</c:v>
                </c:pt>
                <c:pt idx="575">
                  <c:v>43994.666666666599</c:v>
                </c:pt>
                <c:pt idx="576">
                  <c:v>43997.666666666599</c:v>
                </c:pt>
                <c:pt idx="577">
                  <c:v>43998.666666666599</c:v>
                </c:pt>
                <c:pt idx="578">
                  <c:v>43999.666666666599</c:v>
                </c:pt>
                <c:pt idx="579">
                  <c:v>44000.666666666599</c:v>
                </c:pt>
                <c:pt idx="580">
                  <c:v>44001.666666666599</c:v>
                </c:pt>
                <c:pt idx="581">
                  <c:v>44004.666666666599</c:v>
                </c:pt>
                <c:pt idx="582">
                  <c:v>44005.666666666599</c:v>
                </c:pt>
                <c:pt idx="583">
                  <c:v>44006.666666666599</c:v>
                </c:pt>
                <c:pt idx="584">
                  <c:v>44007.666666666599</c:v>
                </c:pt>
                <c:pt idx="585">
                  <c:v>44008.666666666599</c:v>
                </c:pt>
                <c:pt idx="586">
                  <c:v>44011.666666666599</c:v>
                </c:pt>
                <c:pt idx="587">
                  <c:v>44012.666666666599</c:v>
                </c:pt>
                <c:pt idx="588">
                  <c:v>44013.666666666599</c:v>
                </c:pt>
                <c:pt idx="589">
                  <c:v>44014.666666666599</c:v>
                </c:pt>
                <c:pt idx="590">
                  <c:v>44018.666666666599</c:v>
                </c:pt>
                <c:pt idx="591">
                  <c:v>44019.666666666599</c:v>
                </c:pt>
                <c:pt idx="592">
                  <c:v>44020.666666666599</c:v>
                </c:pt>
                <c:pt idx="593">
                  <c:v>44021.666666666599</c:v>
                </c:pt>
                <c:pt idx="594">
                  <c:v>44022.666666666599</c:v>
                </c:pt>
                <c:pt idx="595">
                  <c:v>44025.666666666599</c:v>
                </c:pt>
                <c:pt idx="596">
                  <c:v>44026.666666666599</c:v>
                </c:pt>
                <c:pt idx="597">
                  <c:v>44027.666666666599</c:v>
                </c:pt>
                <c:pt idx="598">
                  <c:v>44028.666666666599</c:v>
                </c:pt>
                <c:pt idx="599">
                  <c:v>44029.666666666599</c:v>
                </c:pt>
                <c:pt idx="600">
                  <c:v>44032.666666666599</c:v>
                </c:pt>
                <c:pt idx="601">
                  <c:v>44033.666666666599</c:v>
                </c:pt>
                <c:pt idx="602">
                  <c:v>44034.666666666599</c:v>
                </c:pt>
                <c:pt idx="603">
                  <c:v>44035.666666666599</c:v>
                </c:pt>
                <c:pt idx="604">
                  <c:v>44036.666666666599</c:v>
                </c:pt>
                <c:pt idx="605">
                  <c:v>44039.666666666599</c:v>
                </c:pt>
                <c:pt idx="606">
                  <c:v>44040.666666666599</c:v>
                </c:pt>
                <c:pt idx="607">
                  <c:v>44041.666666666599</c:v>
                </c:pt>
                <c:pt idx="608">
                  <c:v>44042.666666666599</c:v>
                </c:pt>
                <c:pt idx="609">
                  <c:v>44043.666666666599</c:v>
                </c:pt>
                <c:pt idx="610">
                  <c:v>44046.666666666599</c:v>
                </c:pt>
                <c:pt idx="611">
                  <c:v>44047.666666666599</c:v>
                </c:pt>
                <c:pt idx="612">
                  <c:v>44048.666666666599</c:v>
                </c:pt>
                <c:pt idx="613">
                  <c:v>44049.666666666599</c:v>
                </c:pt>
                <c:pt idx="614">
                  <c:v>44050.666666666599</c:v>
                </c:pt>
                <c:pt idx="615">
                  <c:v>44053.666666666599</c:v>
                </c:pt>
                <c:pt idx="616">
                  <c:v>44054.666666666599</c:v>
                </c:pt>
                <c:pt idx="617">
                  <c:v>44055.666666666599</c:v>
                </c:pt>
                <c:pt idx="618">
                  <c:v>44056.666666666599</c:v>
                </c:pt>
                <c:pt idx="619">
                  <c:v>44057.666666666599</c:v>
                </c:pt>
                <c:pt idx="620">
                  <c:v>44060.666666666599</c:v>
                </c:pt>
                <c:pt idx="621">
                  <c:v>44061.666666666599</c:v>
                </c:pt>
                <c:pt idx="622">
                  <c:v>44062.666666666599</c:v>
                </c:pt>
                <c:pt idx="623">
                  <c:v>44063.666666666599</c:v>
                </c:pt>
                <c:pt idx="624">
                  <c:v>44064.666666666599</c:v>
                </c:pt>
                <c:pt idx="625">
                  <c:v>44067.666666666599</c:v>
                </c:pt>
                <c:pt idx="626">
                  <c:v>44068.666666666599</c:v>
                </c:pt>
                <c:pt idx="627">
                  <c:v>44069.666666666599</c:v>
                </c:pt>
                <c:pt idx="628">
                  <c:v>44070.666666666599</c:v>
                </c:pt>
                <c:pt idx="629">
                  <c:v>44071.666666666599</c:v>
                </c:pt>
                <c:pt idx="630">
                  <c:v>44074.666666666599</c:v>
                </c:pt>
                <c:pt idx="631">
                  <c:v>44075.666666666599</c:v>
                </c:pt>
                <c:pt idx="632">
                  <c:v>44076.666666666599</c:v>
                </c:pt>
                <c:pt idx="633">
                  <c:v>44077.666666666599</c:v>
                </c:pt>
                <c:pt idx="634">
                  <c:v>44078.666666666599</c:v>
                </c:pt>
                <c:pt idx="635">
                  <c:v>44082.666666666599</c:v>
                </c:pt>
                <c:pt idx="636">
                  <c:v>44083.666666666599</c:v>
                </c:pt>
                <c:pt idx="637">
                  <c:v>44084.666666666599</c:v>
                </c:pt>
                <c:pt idx="638">
                  <c:v>44085.666666666599</c:v>
                </c:pt>
                <c:pt idx="639">
                  <c:v>44088.666666666599</c:v>
                </c:pt>
                <c:pt idx="640">
                  <c:v>44089.666666666599</c:v>
                </c:pt>
                <c:pt idx="641">
                  <c:v>44090.666666666599</c:v>
                </c:pt>
                <c:pt idx="642">
                  <c:v>44091.666666666599</c:v>
                </c:pt>
                <c:pt idx="643">
                  <c:v>44092.666666666599</c:v>
                </c:pt>
                <c:pt idx="644">
                  <c:v>44095.666666666599</c:v>
                </c:pt>
                <c:pt idx="645">
                  <c:v>44096.666666666599</c:v>
                </c:pt>
                <c:pt idx="646">
                  <c:v>44097.666666666599</c:v>
                </c:pt>
                <c:pt idx="647">
                  <c:v>44098.666666666599</c:v>
                </c:pt>
                <c:pt idx="648">
                  <c:v>44099.666666666599</c:v>
                </c:pt>
                <c:pt idx="649">
                  <c:v>44102.666666666599</c:v>
                </c:pt>
                <c:pt idx="650">
                  <c:v>44103.666666666599</c:v>
                </c:pt>
                <c:pt idx="651">
                  <c:v>44104.666666666599</c:v>
                </c:pt>
                <c:pt idx="652">
                  <c:v>44105.666666666599</c:v>
                </c:pt>
                <c:pt idx="653">
                  <c:v>44106.666666666599</c:v>
                </c:pt>
                <c:pt idx="654">
                  <c:v>44109.666666666599</c:v>
                </c:pt>
                <c:pt idx="655">
                  <c:v>44110.666666666599</c:v>
                </c:pt>
                <c:pt idx="656">
                  <c:v>44111.666666666599</c:v>
                </c:pt>
                <c:pt idx="657">
                  <c:v>44112.666666666599</c:v>
                </c:pt>
                <c:pt idx="658">
                  <c:v>44113.666666666599</c:v>
                </c:pt>
                <c:pt idx="659">
                  <c:v>44116.666666666599</c:v>
                </c:pt>
                <c:pt idx="660">
                  <c:v>44117.666666666599</c:v>
                </c:pt>
                <c:pt idx="661">
                  <c:v>44118.666666666599</c:v>
                </c:pt>
                <c:pt idx="662">
                  <c:v>44119.666666666599</c:v>
                </c:pt>
                <c:pt idx="663">
                  <c:v>44120.666666666599</c:v>
                </c:pt>
                <c:pt idx="664">
                  <c:v>44123.666666666599</c:v>
                </c:pt>
                <c:pt idx="665">
                  <c:v>44124.666666666599</c:v>
                </c:pt>
                <c:pt idx="666">
                  <c:v>44125.666666666599</c:v>
                </c:pt>
                <c:pt idx="667">
                  <c:v>44126.666666666599</c:v>
                </c:pt>
                <c:pt idx="668">
                  <c:v>44127.666666666599</c:v>
                </c:pt>
                <c:pt idx="669">
                  <c:v>44130.666666666599</c:v>
                </c:pt>
                <c:pt idx="670">
                  <c:v>44131.666666666599</c:v>
                </c:pt>
                <c:pt idx="671">
                  <c:v>44132.666666666599</c:v>
                </c:pt>
                <c:pt idx="672">
                  <c:v>44133.666666666599</c:v>
                </c:pt>
                <c:pt idx="673">
                  <c:v>44134.666666666599</c:v>
                </c:pt>
                <c:pt idx="674">
                  <c:v>44137.666666666599</c:v>
                </c:pt>
                <c:pt idx="675">
                  <c:v>44138.666666666599</c:v>
                </c:pt>
                <c:pt idx="676">
                  <c:v>44139.666666666599</c:v>
                </c:pt>
                <c:pt idx="677">
                  <c:v>44140.666666666599</c:v>
                </c:pt>
                <c:pt idx="678">
                  <c:v>44141.666666666599</c:v>
                </c:pt>
                <c:pt idx="679">
                  <c:v>44144.666666666599</c:v>
                </c:pt>
                <c:pt idx="680">
                  <c:v>44145.666666666599</c:v>
                </c:pt>
                <c:pt idx="681">
                  <c:v>44146.666666666599</c:v>
                </c:pt>
                <c:pt idx="682">
                  <c:v>44147.666666666599</c:v>
                </c:pt>
                <c:pt idx="683">
                  <c:v>44148.666666666599</c:v>
                </c:pt>
                <c:pt idx="684">
                  <c:v>44151.666666666599</c:v>
                </c:pt>
                <c:pt idx="685">
                  <c:v>44152.666666666599</c:v>
                </c:pt>
                <c:pt idx="686">
                  <c:v>44153.666666666599</c:v>
                </c:pt>
                <c:pt idx="687">
                  <c:v>44154.666666666599</c:v>
                </c:pt>
                <c:pt idx="688">
                  <c:v>44155.666666666599</c:v>
                </c:pt>
                <c:pt idx="689">
                  <c:v>44158.666666666599</c:v>
                </c:pt>
                <c:pt idx="690">
                  <c:v>44159.666666666599</c:v>
                </c:pt>
                <c:pt idx="691">
                  <c:v>44160.666666666599</c:v>
                </c:pt>
                <c:pt idx="692">
                  <c:v>44162.541666666599</c:v>
                </c:pt>
                <c:pt idx="693">
                  <c:v>44165.666666666599</c:v>
                </c:pt>
                <c:pt idx="694">
                  <c:v>44166.666666666599</c:v>
                </c:pt>
                <c:pt idx="695">
                  <c:v>44167.666666666599</c:v>
                </c:pt>
                <c:pt idx="696">
                  <c:v>44168.666666666599</c:v>
                </c:pt>
                <c:pt idx="697">
                  <c:v>44169.666666666599</c:v>
                </c:pt>
                <c:pt idx="698">
                  <c:v>44172.666666666599</c:v>
                </c:pt>
                <c:pt idx="699">
                  <c:v>44173.666666666599</c:v>
                </c:pt>
                <c:pt idx="700">
                  <c:v>44174.666666666599</c:v>
                </c:pt>
                <c:pt idx="701">
                  <c:v>44175.666666666599</c:v>
                </c:pt>
                <c:pt idx="702">
                  <c:v>44176.666666666599</c:v>
                </c:pt>
                <c:pt idx="703">
                  <c:v>44179.666666666599</c:v>
                </c:pt>
                <c:pt idx="704">
                  <c:v>44180.666666666599</c:v>
                </c:pt>
                <c:pt idx="705">
                  <c:v>44181.666666666599</c:v>
                </c:pt>
                <c:pt idx="706">
                  <c:v>44182.666666666599</c:v>
                </c:pt>
                <c:pt idx="707">
                  <c:v>44183.666666666599</c:v>
                </c:pt>
                <c:pt idx="708">
                  <c:v>44186.666666666599</c:v>
                </c:pt>
                <c:pt idx="709">
                  <c:v>44187.666666666599</c:v>
                </c:pt>
                <c:pt idx="710">
                  <c:v>44188.666666666599</c:v>
                </c:pt>
                <c:pt idx="711">
                  <c:v>44189.541666666599</c:v>
                </c:pt>
                <c:pt idx="712">
                  <c:v>44193.666666666599</c:v>
                </c:pt>
                <c:pt idx="713">
                  <c:v>44194.666666666599</c:v>
                </c:pt>
                <c:pt idx="714">
                  <c:v>44195.666666666599</c:v>
                </c:pt>
                <c:pt idx="715">
                  <c:v>44196.666666666599</c:v>
                </c:pt>
                <c:pt idx="716">
                  <c:v>44200.666666666599</c:v>
                </c:pt>
                <c:pt idx="717">
                  <c:v>44201.666666666599</c:v>
                </c:pt>
                <c:pt idx="718">
                  <c:v>44202.666666666599</c:v>
                </c:pt>
                <c:pt idx="719">
                  <c:v>44203.666666666599</c:v>
                </c:pt>
                <c:pt idx="720">
                  <c:v>44204.666666666599</c:v>
                </c:pt>
                <c:pt idx="721">
                  <c:v>44207.666666666599</c:v>
                </c:pt>
                <c:pt idx="722">
                  <c:v>44208.666666666599</c:v>
                </c:pt>
                <c:pt idx="723">
                  <c:v>44209.666666666599</c:v>
                </c:pt>
                <c:pt idx="724">
                  <c:v>44210.666666666599</c:v>
                </c:pt>
                <c:pt idx="725">
                  <c:v>44211.666666666599</c:v>
                </c:pt>
                <c:pt idx="726">
                  <c:v>44215.666666666599</c:v>
                </c:pt>
                <c:pt idx="727">
                  <c:v>44216.666666666599</c:v>
                </c:pt>
                <c:pt idx="728">
                  <c:v>44217.666666666599</c:v>
                </c:pt>
                <c:pt idx="729">
                  <c:v>44218.666666666599</c:v>
                </c:pt>
                <c:pt idx="730">
                  <c:v>44221.666666666599</c:v>
                </c:pt>
                <c:pt idx="731">
                  <c:v>44222.666666666599</c:v>
                </c:pt>
                <c:pt idx="732">
                  <c:v>44223.666666666599</c:v>
                </c:pt>
                <c:pt idx="733">
                  <c:v>44224.666666666599</c:v>
                </c:pt>
                <c:pt idx="734">
                  <c:v>44225.666666666599</c:v>
                </c:pt>
                <c:pt idx="735">
                  <c:v>44228.666666666599</c:v>
                </c:pt>
                <c:pt idx="736">
                  <c:v>44229.666666666599</c:v>
                </c:pt>
                <c:pt idx="737">
                  <c:v>44230.666666666599</c:v>
                </c:pt>
                <c:pt idx="738">
                  <c:v>44231.666666666599</c:v>
                </c:pt>
                <c:pt idx="739">
                  <c:v>44232.666666666599</c:v>
                </c:pt>
                <c:pt idx="740">
                  <c:v>44235.666666666599</c:v>
                </c:pt>
                <c:pt idx="741">
                  <c:v>44236.666666666599</c:v>
                </c:pt>
                <c:pt idx="742">
                  <c:v>44237.666666666599</c:v>
                </c:pt>
                <c:pt idx="743">
                  <c:v>44238.666666666599</c:v>
                </c:pt>
                <c:pt idx="744">
                  <c:v>44239.666666666599</c:v>
                </c:pt>
                <c:pt idx="745">
                  <c:v>44243.666666666599</c:v>
                </c:pt>
                <c:pt idx="746">
                  <c:v>44244.666666666599</c:v>
                </c:pt>
                <c:pt idx="747">
                  <c:v>44245.666666666599</c:v>
                </c:pt>
                <c:pt idx="748">
                  <c:v>44246.666666666599</c:v>
                </c:pt>
                <c:pt idx="749">
                  <c:v>44249.666666666599</c:v>
                </c:pt>
                <c:pt idx="750">
                  <c:v>44250.666666666599</c:v>
                </c:pt>
                <c:pt idx="751">
                  <c:v>44251.666666666599</c:v>
                </c:pt>
                <c:pt idx="752">
                  <c:v>44252.666666666599</c:v>
                </c:pt>
                <c:pt idx="753">
                  <c:v>44253.666666666599</c:v>
                </c:pt>
                <c:pt idx="754">
                  <c:v>44256.666666666599</c:v>
                </c:pt>
                <c:pt idx="755">
                  <c:v>44257.666666666599</c:v>
                </c:pt>
                <c:pt idx="756">
                  <c:v>44258.666666666599</c:v>
                </c:pt>
                <c:pt idx="757">
                  <c:v>44259.666666666599</c:v>
                </c:pt>
                <c:pt idx="758">
                  <c:v>44260.666666666599</c:v>
                </c:pt>
                <c:pt idx="759">
                  <c:v>44263.666666666599</c:v>
                </c:pt>
                <c:pt idx="760">
                  <c:v>44264.666666666599</c:v>
                </c:pt>
                <c:pt idx="761">
                  <c:v>44265.666666666599</c:v>
                </c:pt>
                <c:pt idx="762">
                  <c:v>44266.666666666599</c:v>
                </c:pt>
                <c:pt idx="763">
                  <c:v>44267.666666666599</c:v>
                </c:pt>
                <c:pt idx="764">
                  <c:v>44270.666666666599</c:v>
                </c:pt>
                <c:pt idx="765">
                  <c:v>44271.666666666599</c:v>
                </c:pt>
                <c:pt idx="766">
                  <c:v>44272.666666666599</c:v>
                </c:pt>
                <c:pt idx="767">
                  <c:v>44273.666666666599</c:v>
                </c:pt>
                <c:pt idx="768">
                  <c:v>44274.666666666599</c:v>
                </c:pt>
                <c:pt idx="769">
                  <c:v>44277.666666666599</c:v>
                </c:pt>
                <c:pt idx="770">
                  <c:v>44278.666666666599</c:v>
                </c:pt>
                <c:pt idx="771">
                  <c:v>44279.666666666599</c:v>
                </c:pt>
                <c:pt idx="772">
                  <c:v>44280.666666666599</c:v>
                </c:pt>
                <c:pt idx="773">
                  <c:v>44281.666666666599</c:v>
                </c:pt>
                <c:pt idx="774">
                  <c:v>44284.666666666599</c:v>
                </c:pt>
                <c:pt idx="775">
                  <c:v>44285.666666666599</c:v>
                </c:pt>
                <c:pt idx="776">
                  <c:v>44286.666666666599</c:v>
                </c:pt>
                <c:pt idx="777">
                  <c:v>44287.666666666599</c:v>
                </c:pt>
                <c:pt idx="778">
                  <c:v>44291.666666666599</c:v>
                </c:pt>
                <c:pt idx="779">
                  <c:v>44292.666666666599</c:v>
                </c:pt>
                <c:pt idx="780">
                  <c:v>44293.666666666599</c:v>
                </c:pt>
                <c:pt idx="781">
                  <c:v>44294.666666666599</c:v>
                </c:pt>
                <c:pt idx="782">
                  <c:v>44295.666666666599</c:v>
                </c:pt>
                <c:pt idx="783">
                  <c:v>44298.666666666599</c:v>
                </c:pt>
                <c:pt idx="784">
                  <c:v>44299.666666666599</c:v>
                </c:pt>
                <c:pt idx="785">
                  <c:v>44300.666666666599</c:v>
                </c:pt>
                <c:pt idx="786">
                  <c:v>44301.666666666599</c:v>
                </c:pt>
                <c:pt idx="787">
                  <c:v>44302.666666666599</c:v>
                </c:pt>
                <c:pt idx="788">
                  <c:v>44305.666666666599</c:v>
                </c:pt>
                <c:pt idx="789">
                  <c:v>44306.666666666599</c:v>
                </c:pt>
                <c:pt idx="790">
                  <c:v>44307.666666666599</c:v>
                </c:pt>
                <c:pt idx="791">
                  <c:v>44308.666666666599</c:v>
                </c:pt>
                <c:pt idx="792">
                  <c:v>44309.666666666599</c:v>
                </c:pt>
                <c:pt idx="793">
                  <c:v>44312.666666666599</c:v>
                </c:pt>
                <c:pt idx="794">
                  <c:v>44313.666666666599</c:v>
                </c:pt>
                <c:pt idx="795">
                  <c:v>44314.666666666599</c:v>
                </c:pt>
                <c:pt idx="796">
                  <c:v>44315.666666666599</c:v>
                </c:pt>
                <c:pt idx="797">
                  <c:v>44316.666666666599</c:v>
                </c:pt>
                <c:pt idx="798">
                  <c:v>44319.666666666599</c:v>
                </c:pt>
                <c:pt idx="799">
                  <c:v>44320.666666666599</c:v>
                </c:pt>
                <c:pt idx="800">
                  <c:v>44321.666666666599</c:v>
                </c:pt>
                <c:pt idx="801">
                  <c:v>44322.666666666599</c:v>
                </c:pt>
                <c:pt idx="802">
                  <c:v>44323.666666666599</c:v>
                </c:pt>
                <c:pt idx="803">
                  <c:v>44326.666666666599</c:v>
                </c:pt>
                <c:pt idx="804">
                  <c:v>44327.666666666599</c:v>
                </c:pt>
                <c:pt idx="805">
                  <c:v>44328.666666666599</c:v>
                </c:pt>
                <c:pt idx="806">
                  <c:v>44329.666666666599</c:v>
                </c:pt>
                <c:pt idx="807">
                  <c:v>44330.666666666599</c:v>
                </c:pt>
                <c:pt idx="808">
                  <c:v>44333.666666666599</c:v>
                </c:pt>
                <c:pt idx="809">
                  <c:v>44334.666666666599</c:v>
                </c:pt>
                <c:pt idx="810">
                  <c:v>44335.666666666599</c:v>
                </c:pt>
                <c:pt idx="811">
                  <c:v>44336.666666666599</c:v>
                </c:pt>
                <c:pt idx="812">
                  <c:v>44337.666666666599</c:v>
                </c:pt>
                <c:pt idx="813">
                  <c:v>44340.666666666599</c:v>
                </c:pt>
                <c:pt idx="814">
                  <c:v>44341.666666666599</c:v>
                </c:pt>
                <c:pt idx="815">
                  <c:v>44342.666666666599</c:v>
                </c:pt>
                <c:pt idx="816">
                  <c:v>44343.666666666599</c:v>
                </c:pt>
                <c:pt idx="817">
                  <c:v>44344.666666666599</c:v>
                </c:pt>
                <c:pt idx="818">
                  <c:v>44348.666666666599</c:v>
                </c:pt>
                <c:pt idx="819">
                  <c:v>44349.666666666599</c:v>
                </c:pt>
                <c:pt idx="820">
                  <c:v>44350.666666666599</c:v>
                </c:pt>
                <c:pt idx="821">
                  <c:v>44351.666666666599</c:v>
                </c:pt>
                <c:pt idx="822">
                  <c:v>44354.666666666599</c:v>
                </c:pt>
                <c:pt idx="823">
                  <c:v>44355.666666666599</c:v>
                </c:pt>
                <c:pt idx="824">
                  <c:v>44356.666666666599</c:v>
                </c:pt>
                <c:pt idx="825">
                  <c:v>44357.666666666599</c:v>
                </c:pt>
                <c:pt idx="826">
                  <c:v>44358.666666666599</c:v>
                </c:pt>
                <c:pt idx="827">
                  <c:v>44361.666666666599</c:v>
                </c:pt>
                <c:pt idx="828">
                  <c:v>44362.666666666599</c:v>
                </c:pt>
                <c:pt idx="829">
                  <c:v>44363.666666666599</c:v>
                </c:pt>
                <c:pt idx="830">
                  <c:v>44364.666666666599</c:v>
                </c:pt>
                <c:pt idx="831">
                  <c:v>44365.666666666599</c:v>
                </c:pt>
                <c:pt idx="832">
                  <c:v>44368.666666666599</c:v>
                </c:pt>
                <c:pt idx="833">
                  <c:v>44369.666666666599</c:v>
                </c:pt>
                <c:pt idx="834">
                  <c:v>44370.666666666599</c:v>
                </c:pt>
                <c:pt idx="835">
                  <c:v>44371.666666666599</c:v>
                </c:pt>
                <c:pt idx="836">
                  <c:v>44372.666666666599</c:v>
                </c:pt>
                <c:pt idx="837">
                  <c:v>44375.666666666599</c:v>
                </c:pt>
                <c:pt idx="838">
                  <c:v>44376.666666666599</c:v>
                </c:pt>
                <c:pt idx="839">
                  <c:v>44377.666666666599</c:v>
                </c:pt>
                <c:pt idx="840">
                  <c:v>44378.666666666599</c:v>
                </c:pt>
                <c:pt idx="841">
                  <c:v>44379.666666666599</c:v>
                </c:pt>
                <c:pt idx="842">
                  <c:v>44383.666666666599</c:v>
                </c:pt>
                <c:pt idx="843">
                  <c:v>44384.666666666599</c:v>
                </c:pt>
                <c:pt idx="844">
                  <c:v>44385.666666666599</c:v>
                </c:pt>
                <c:pt idx="845">
                  <c:v>44386.666666666599</c:v>
                </c:pt>
                <c:pt idx="846">
                  <c:v>44389.666666666599</c:v>
                </c:pt>
                <c:pt idx="847">
                  <c:v>44390.666666666599</c:v>
                </c:pt>
                <c:pt idx="848">
                  <c:v>44391.666666666599</c:v>
                </c:pt>
                <c:pt idx="849">
                  <c:v>44392.666666666599</c:v>
                </c:pt>
                <c:pt idx="850">
                  <c:v>44393.666666666599</c:v>
                </c:pt>
                <c:pt idx="851">
                  <c:v>44396.666666666599</c:v>
                </c:pt>
                <c:pt idx="852">
                  <c:v>44397.666666666599</c:v>
                </c:pt>
                <c:pt idx="853">
                  <c:v>44398.666666666599</c:v>
                </c:pt>
                <c:pt idx="854">
                  <c:v>44399.666666666599</c:v>
                </c:pt>
                <c:pt idx="855">
                  <c:v>44400.666666666599</c:v>
                </c:pt>
                <c:pt idx="856">
                  <c:v>44403.666666666599</c:v>
                </c:pt>
                <c:pt idx="857">
                  <c:v>44404.666666666599</c:v>
                </c:pt>
                <c:pt idx="858">
                  <c:v>44405.666666666599</c:v>
                </c:pt>
                <c:pt idx="859">
                  <c:v>44406.666666666599</c:v>
                </c:pt>
                <c:pt idx="860">
                  <c:v>44407.666666666599</c:v>
                </c:pt>
                <c:pt idx="861">
                  <c:v>44410.666666666599</c:v>
                </c:pt>
                <c:pt idx="862">
                  <c:v>44411.666666666599</c:v>
                </c:pt>
                <c:pt idx="863">
                  <c:v>44412.666666666599</c:v>
                </c:pt>
                <c:pt idx="864">
                  <c:v>44413.666666666599</c:v>
                </c:pt>
                <c:pt idx="865">
                  <c:v>44414.666666666599</c:v>
                </c:pt>
                <c:pt idx="866">
                  <c:v>44417.666666666599</c:v>
                </c:pt>
                <c:pt idx="867">
                  <c:v>44418.666666666599</c:v>
                </c:pt>
                <c:pt idx="868">
                  <c:v>44419.666666666599</c:v>
                </c:pt>
                <c:pt idx="869">
                  <c:v>44420.666666666599</c:v>
                </c:pt>
                <c:pt idx="870">
                  <c:v>44421.666666666599</c:v>
                </c:pt>
                <c:pt idx="871">
                  <c:v>44424.666666666599</c:v>
                </c:pt>
                <c:pt idx="872">
                  <c:v>44425.666666666599</c:v>
                </c:pt>
                <c:pt idx="873">
                  <c:v>44426.666666666599</c:v>
                </c:pt>
                <c:pt idx="874">
                  <c:v>44427.666666666599</c:v>
                </c:pt>
                <c:pt idx="875">
                  <c:v>44428.666666666599</c:v>
                </c:pt>
                <c:pt idx="876">
                  <c:v>44431.666666666599</c:v>
                </c:pt>
                <c:pt idx="877">
                  <c:v>44432.666666666599</c:v>
                </c:pt>
                <c:pt idx="878">
                  <c:v>44433.666666666599</c:v>
                </c:pt>
                <c:pt idx="879">
                  <c:v>44434.666666666599</c:v>
                </c:pt>
                <c:pt idx="880">
                  <c:v>44435.666666666599</c:v>
                </c:pt>
                <c:pt idx="881">
                  <c:v>44438.666666666599</c:v>
                </c:pt>
                <c:pt idx="882">
                  <c:v>44439.666666666599</c:v>
                </c:pt>
                <c:pt idx="883">
                  <c:v>44440.666666666599</c:v>
                </c:pt>
                <c:pt idx="884">
                  <c:v>44441.666666666599</c:v>
                </c:pt>
                <c:pt idx="885">
                  <c:v>44442.666666666599</c:v>
                </c:pt>
                <c:pt idx="886">
                  <c:v>44446.666666666599</c:v>
                </c:pt>
                <c:pt idx="887">
                  <c:v>44447.666666666599</c:v>
                </c:pt>
                <c:pt idx="888">
                  <c:v>44448.666666666599</c:v>
                </c:pt>
                <c:pt idx="889">
                  <c:v>44449.666666666599</c:v>
                </c:pt>
                <c:pt idx="890">
                  <c:v>44452.666666666599</c:v>
                </c:pt>
                <c:pt idx="891">
                  <c:v>44453.666666666599</c:v>
                </c:pt>
                <c:pt idx="892">
                  <c:v>44454.666666666599</c:v>
                </c:pt>
                <c:pt idx="893">
                  <c:v>44455.666666666599</c:v>
                </c:pt>
                <c:pt idx="894">
                  <c:v>44456.666666666599</c:v>
                </c:pt>
                <c:pt idx="895">
                  <c:v>44459.666666666599</c:v>
                </c:pt>
                <c:pt idx="896">
                  <c:v>44460.666666666599</c:v>
                </c:pt>
                <c:pt idx="897">
                  <c:v>44461.666666666599</c:v>
                </c:pt>
                <c:pt idx="898">
                  <c:v>44462.666666666599</c:v>
                </c:pt>
                <c:pt idx="899">
                  <c:v>44463.666666666599</c:v>
                </c:pt>
                <c:pt idx="900">
                  <c:v>44466.666666666599</c:v>
                </c:pt>
                <c:pt idx="901">
                  <c:v>44467.666666666599</c:v>
                </c:pt>
                <c:pt idx="902">
                  <c:v>44468.666666666599</c:v>
                </c:pt>
                <c:pt idx="903">
                  <c:v>44469.666666666599</c:v>
                </c:pt>
                <c:pt idx="904">
                  <c:v>44470.666666666599</c:v>
                </c:pt>
                <c:pt idx="905">
                  <c:v>44473.666666666599</c:v>
                </c:pt>
                <c:pt idx="906">
                  <c:v>44474.666666666599</c:v>
                </c:pt>
                <c:pt idx="907">
                  <c:v>44475.666666666599</c:v>
                </c:pt>
                <c:pt idx="908">
                  <c:v>44476.666666666599</c:v>
                </c:pt>
                <c:pt idx="909">
                  <c:v>44477.666666666599</c:v>
                </c:pt>
                <c:pt idx="910">
                  <c:v>44480.666666666599</c:v>
                </c:pt>
                <c:pt idx="911">
                  <c:v>44481.666666666599</c:v>
                </c:pt>
                <c:pt idx="912">
                  <c:v>44482.666666666599</c:v>
                </c:pt>
                <c:pt idx="913">
                  <c:v>44483.666666666599</c:v>
                </c:pt>
                <c:pt idx="914">
                  <c:v>44484.666666666599</c:v>
                </c:pt>
                <c:pt idx="915">
                  <c:v>44487.666666666599</c:v>
                </c:pt>
                <c:pt idx="916">
                  <c:v>44488.666666666599</c:v>
                </c:pt>
                <c:pt idx="917">
                  <c:v>44489.666666666599</c:v>
                </c:pt>
                <c:pt idx="918">
                  <c:v>44490.666666666599</c:v>
                </c:pt>
                <c:pt idx="919">
                  <c:v>44491.666666666599</c:v>
                </c:pt>
                <c:pt idx="920">
                  <c:v>44494.666666666599</c:v>
                </c:pt>
                <c:pt idx="921">
                  <c:v>44495.666666666599</c:v>
                </c:pt>
                <c:pt idx="922">
                  <c:v>44496.666666666599</c:v>
                </c:pt>
                <c:pt idx="923">
                  <c:v>44497.666666666599</c:v>
                </c:pt>
                <c:pt idx="924">
                  <c:v>44498.666666666599</c:v>
                </c:pt>
                <c:pt idx="925">
                  <c:v>44501.666666666599</c:v>
                </c:pt>
                <c:pt idx="926">
                  <c:v>44502.666666666599</c:v>
                </c:pt>
                <c:pt idx="927">
                  <c:v>44503.666666666599</c:v>
                </c:pt>
                <c:pt idx="928">
                  <c:v>44504.666666666599</c:v>
                </c:pt>
                <c:pt idx="929">
                  <c:v>44505.666666666599</c:v>
                </c:pt>
                <c:pt idx="930">
                  <c:v>44508.666666666599</c:v>
                </c:pt>
                <c:pt idx="931">
                  <c:v>44509.666666666599</c:v>
                </c:pt>
                <c:pt idx="932">
                  <c:v>44510.666666666599</c:v>
                </c:pt>
                <c:pt idx="933">
                  <c:v>44511.666666666599</c:v>
                </c:pt>
                <c:pt idx="934">
                  <c:v>44512.666666666599</c:v>
                </c:pt>
                <c:pt idx="935">
                  <c:v>44515.666666666599</c:v>
                </c:pt>
                <c:pt idx="936">
                  <c:v>44516.666666666599</c:v>
                </c:pt>
                <c:pt idx="937">
                  <c:v>44517.666666666599</c:v>
                </c:pt>
                <c:pt idx="938">
                  <c:v>44518.666666666599</c:v>
                </c:pt>
                <c:pt idx="939">
                  <c:v>44519.666666666599</c:v>
                </c:pt>
                <c:pt idx="940">
                  <c:v>44522.666666666599</c:v>
                </c:pt>
                <c:pt idx="941">
                  <c:v>44523.666666666599</c:v>
                </c:pt>
                <c:pt idx="942">
                  <c:v>44524.666666666599</c:v>
                </c:pt>
                <c:pt idx="943">
                  <c:v>44526.541666666599</c:v>
                </c:pt>
                <c:pt idx="944">
                  <c:v>44529.666666666599</c:v>
                </c:pt>
                <c:pt idx="945">
                  <c:v>44530.666666666599</c:v>
                </c:pt>
                <c:pt idx="946">
                  <c:v>44531.666666666599</c:v>
                </c:pt>
                <c:pt idx="947">
                  <c:v>44532.666666666599</c:v>
                </c:pt>
                <c:pt idx="948">
                  <c:v>44533.666666666599</c:v>
                </c:pt>
                <c:pt idx="949">
                  <c:v>44536.666666666599</c:v>
                </c:pt>
                <c:pt idx="950">
                  <c:v>44537.666666666599</c:v>
                </c:pt>
                <c:pt idx="951">
                  <c:v>44538.666666666599</c:v>
                </c:pt>
                <c:pt idx="952">
                  <c:v>44539.666666666599</c:v>
                </c:pt>
                <c:pt idx="953">
                  <c:v>44540.666666666599</c:v>
                </c:pt>
                <c:pt idx="954">
                  <c:v>44543.666666666599</c:v>
                </c:pt>
                <c:pt idx="955">
                  <c:v>44544.666666666599</c:v>
                </c:pt>
                <c:pt idx="956">
                  <c:v>44545.666666666599</c:v>
                </c:pt>
                <c:pt idx="957">
                  <c:v>44546.666666666599</c:v>
                </c:pt>
                <c:pt idx="958">
                  <c:v>44547.666666666599</c:v>
                </c:pt>
                <c:pt idx="959">
                  <c:v>44550.666666666599</c:v>
                </c:pt>
                <c:pt idx="960">
                  <c:v>44551.666666666599</c:v>
                </c:pt>
                <c:pt idx="961">
                  <c:v>44552.666666666599</c:v>
                </c:pt>
                <c:pt idx="962">
                  <c:v>44553.666666666599</c:v>
                </c:pt>
                <c:pt idx="963">
                  <c:v>44557.666666666599</c:v>
                </c:pt>
                <c:pt idx="964">
                  <c:v>44558.666666666599</c:v>
                </c:pt>
                <c:pt idx="965">
                  <c:v>44559.666666666599</c:v>
                </c:pt>
                <c:pt idx="966">
                  <c:v>44560.666666666599</c:v>
                </c:pt>
                <c:pt idx="967">
                  <c:v>44561.666666666599</c:v>
                </c:pt>
                <c:pt idx="968">
                  <c:v>44564.666666666599</c:v>
                </c:pt>
                <c:pt idx="969">
                  <c:v>44565.666666666599</c:v>
                </c:pt>
                <c:pt idx="970">
                  <c:v>44566.666666666599</c:v>
                </c:pt>
                <c:pt idx="971">
                  <c:v>44567.666666666599</c:v>
                </c:pt>
                <c:pt idx="972">
                  <c:v>44568.666666666599</c:v>
                </c:pt>
                <c:pt idx="973">
                  <c:v>44571.666666666599</c:v>
                </c:pt>
                <c:pt idx="974">
                  <c:v>44572.666666666599</c:v>
                </c:pt>
                <c:pt idx="975">
                  <c:v>44573.666666666599</c:v>
                </c:pt>
                <c:pt idx="976">
                  <c:v>44574.666666666599</c:v>
                </c:pt>
                <c:pt idx="977">
                  <c:v>44575.666666666599</c:v>
                </c:pt>
                <c:pt idx="978">
                  <c:v>44579.666666666599</c:v>
                </c:pt>
                <c:pt idx="979">
                  <c:v>44580.666666666599</c:v>
                </c:pt>
                <c:pt idx="980">
                  <c:v>44581.666666666599</c:v>
                </c:pt>
                <c:pt idx="981">
                  <c:v>44582.666666666599</c:v>
                </c:pt>
                <c:pt idx="982">
                  <c:v>44585.666666666599</c:v>
                </c:pt>
                <c:pt idx="983">
                  <c:v>44586.666666666599</c:v>
                </c:pt>
                <c:pt idx="984">
                  <c:v>44587.666666666599</c:v>
                </c:pt>
                <c:pt idx="985">
                  <c:v>44588.666666666599</c:v>
                </c:pt>
                <c:pt idx="986">
                  <c:v>44589.666666666599</c:v>
                </c:pt>
                <c:pt idx="987">
                  <c:v>44592.666666666599</c:v>
                </c:pt>
                <c:pt idx="988">
                  <c:v>44593.666666666599</c:v>
                </c:pt>
                <c:pt idx="989">
                  <c:v>44594.666666666599</c:v>
                </c:pt>
                <c:pt idx="990">
                  <c:v>44595.666666666599</c:v>
                </c:pt>
                <c:pt idx="991">
                  <c:v>44596.666666666599</c:v>
                </c:pt>
                <c:pt idx="992">
                  <c:v>44599.666666666599</c:v>
                </c:pt>
                <c:pt idx="993">
                  <c:v>44600.666666666599</c:v>
                </c:pt>
                <c:pt idx="994">
                  <c:v>44601.666666666599</c:v>
                </c:pt>
                <c:pt idx="995">
                  <c:v>44602.666666666599</c:v>
                </c:pt>
                <c:pt idx="996">
                  <c:v>44603.666666666599</c:v>
                </c:pt>
                <c:pt idx="997">
                  <c:v>44606.666666666599</c:v>
                </c:pt>
                <c:pt idx="998">
                  <c:v>44607.666666666599</c:v>
                </c:pt>
                <c:pt idx="999">
                  <c:v>44608.666666666599</c:v>
                </c:pt>
                <c:pt idx="1000">
                  <c:v>44609.666666666599</c:v>
                </c:pt>
                <c:pt idx="1001">
                  <c:v>44610.666666666599</c:v>
                </c:pt>
                <c:pt idx="1002">
                  <c:v>44614.666666666599</c:v>
                </c:pt>
                <c:pt idx="1003">
                  <c:v>44615.666666666599</c:v>
                </c:pt>
                <c:pt idx="1004">
                  <c:v>44616.666666666599</c:v>
                </c:pt>
                <c:pt idx="1005">
                  <c:v>44617.666666666599</c:v>
                </c:pt>
                <c:pt idx="1006">
                  <c:v>44620.666666666599</c:v>
                </c:pt>
                <c:pt idx="1007">
                  <c:v>44621.666666666599</c:v>
                </c:pt>
                <c:pt idx="1008">
                  <c:v>44622.666666666599</c:v>
                </c:pt>
                <c:pt idx="1009">
                  <c:v>44623.666666666599</c:v>
                </c:pt>
                <c:pt idx="1010">
                  <c:v>44624.666666666599</c:v>
                </c:pt>
                <c:pt idx="1011">
                  <c:v>44627.666666666599</c:v>
                </c:pt>
                <c:pt idx="1012">
                  <c:v>44628.666666666599</c:v>
                </c:pt>
                <c:pt idx="1013">
                  <c:v>44629.666666666599</c:v>
                </c:pt>
                <c:pt idx="1014">
                  <c:v>44630.666666666599</c:v>
                </c:pt>
                <c:pt idx="1015">
                  <c:v>44631.666666666599</c:v>
                </c:pt>
                <c:pt idx="1016">
                  <c:v>44634.666666666599</c:v>
                </c:pt>
                <c:pt idx="1017">
                  <c:v>44635.666666666599</c:v>
                </c:pt>
                <c:pt idx="1018">
                  <c:v>44636.666666666599</c:v>
                </c:pt>
                <c:pt idx="1019">
                  <c:v>44637.666666666599</c:v>
                </c:pt>
                <c:pt idx="1020">
                  <c:v>44638.666666666599</c:v>
                </c:pt>
                <c:pt idx="1021">
                  <c:v>44641.666666666599</c:v>
                </c:pt>
                <c:pt idx="1022">
                  <c:v>44642.666666666599</c:v>
                </c:pt>
                <c:pt idx="1023">
                  <c:v>44643.666666666599</c:v>
                </c:pt>
                <c:pt idx="1024">
                  <c:v>44644.666666666599</c:v>
                </c:pt>
                <c:pt idx="1025">
                  <c:v>44645.666666666599</c:v>
                </c:pt>
                <c:pt idx="1026">
                  <c:v>44648.666666666599</c:v>
                </c:pt>
                <c:pt idx="1027">
                  <c:v>44649.666666666599</c:v>
                </c:pt>
                <c:pt idx="1028">
                  <c:v>44650.666666666599</c:v>
                </c:pt>
                <c:pt idx="1029">
                  <c:v>44651.666666666599</c:v>
                </c:pt>
                <c:pt idx="1030">
                  <c:v>44652.666666666599</c:v>
                </c:pt>
                <c:pt idx="1031">
                  <c:v>44655.666666666599</c:v>
                </c:pt>
                <c:pt idx="1032">
                  <c:v>44656.666666666599</c:v>
                </c:pt>
                <c:pt idx="1033">
                  <c:v>44657.666666666599</c:v>
                </c:pt>
                <c:pt idx="1034">
                  <c:v>44658.666666666599</c:v>
                </c:pt>
                <c:pt idx="1035">
                  <c:v>44659.666666666599</c:v>
                </c:pt>
                <c:pt idx="1036">
                  <c:v>44662.666666666599</c:v>
                </c:pt>
                <c:pt idx="1037">
                  <c:v>44663.666666666599</c:v>
                </c:pt>
                <c:pt idx="1038">
                  <c:v>44664.666666666599</c:v>
                </c:pt>
                <c:pt idx="1039">
                  <c:v>44665.666666666599</c:v>
                </c:pt>
                <c:pt idx="1040">
                  <c:v>44669.666666666599</c:v>
                </c:pt>
                <c:pt idx="1041">
                  <c:v>44670.666666666599</c:v>
                </c:pt>
                <c:pt idx="1042">
                  <c:v>44671.666666666599</c:v>
                </c:pt>
                <c:pt idx="1043">
                  <c:v>44672.666666666599</c:v>
                </c:pt>
                <c:pt idx="1044">
                  <c:v>44673.666666666599</c:v>
                </c:pt>
                <c:pt idx="1045">
                  <c:v>44676.666666666599</c:v>
                </c:pt>
                <c:pt idx="1046">
                  <c:v>44677.666666666599</c:v>
                </c:pt>
                <c:pt idx="1047">
                  <c:v>44678.666666666599</c:v>
                </c:pt>
                <c:pt idx="1048">
                  <c:v>44679.666666666599</c:v>
                </c:pt>
                <c:pt idx="1049">
                  <c:v>44680.666666666599</c:v>
                </c:pt>
                <c:pt idx="1050">
                  <c:v>44683.666666666599</c:v>
                </c:pt>
                <c:pt idx="1051">
                  <c:v>44684.666666666599</c:v>
                </c:pt>
                <c:pt idx="1052">
                  <c:v>44685.666666666599</c:v>
                </c:pt>
                <c:pt idx="1053">
                  <c:v>44686.666666666599</c:v>
                </c:pt>
                <c:pt idx="1054">
                  <c:v>44687.666666666599</c:v>
                </c:pt>
                <c:pt idx="1055">
                  <c:v>44690.666666666599</c:v>
                </c:pt>
                <c:pt idx="1056">
                  <c:v>44691.666666666599</c:v>
                </c:pt>
                <c:pt idx="1057">
                  <c:v>44692.666666666599</c:v>
                </c:pt>
                <c:pt idx="1058">
                  <c:v>44693.666666666599</c:v>
                </c:pt>
                <c:pt idx="1059">
                  <c:v>44694.666666666599</c:v>
                </c:pt>
                <c:pt idx="1060">
                  <c:v>44697.666666666599</c:v>
                </c:pt>
                <c:pt idx="1061">
                  <c:v>44698.666666666599</c:v>
                </c:pt>
                <c:pt idx="1062">
                  <c:v>44699.666666666599</c:v>
                </c:pt>
                <c:pt idx="1063">
                  <c:v>44700.666666666599</c:v>
                </c:pt>
                <c:pt idx="1064">
                  <c:v>44701.666666666599</c:v>
                </c:pt>
                <c:pt idx="1065">
                  <c:v>44704.666666666599</c:v>
                </c:pt>
                <c:pt idx="1066">
                  <c:v>44705.666666666599</c:v>
                </c:pt>
                <c:pt idx="1067">
                  <c:v>44706.666666666599</c:v>
                </c:pt>
                <c:pt idx="1068">
                  <c:v>44707.666666666599</c:v>
                </c:pt>
                <c:pt idx="1069">
                  <c:v>44708.666666666599</c:v>
                </c:pt>
                <c:pt idx="1070">
                  <c:v>44712.666666666599</c:v>
                </c:pt>
                <c:pt idx="1071">
                  <c:v>44713.666666666599</c:v>
                </c:pt>
                <c:pt idx="1072">
                  <c:v>44714.666666666599</c:v>
                </c:pt>
                <c:pt idx="1073">
                  <c:v>44715.666666666599</c:v>
                </c:pt>
                <c:pt idx="1074">
                  <c:v>44718.666666666599</c:v>
                </c:pt>
                <c:pt idx="1075">
                  <c:v>44719.666666666599</c:v>
                </c:pt>
                <c:pt idx="1076">
                  <c:v>44720.666666666599</c:v>
                </c:pt>
                <c:pt idx="1077">
                  <c:v>44721.666666666599</c:v>
                </c:pt>
                <c:pt idx="1078">
                  <c:v>44722.666666666599</c:v>
                </c:pt>
                <c:pt idx="1079">
                  <c:v>44725.666666666599</c:v>
                </c:pt>
                <c:pt idx="1080">
                  <c:v>44726.666666666599</c:v>
                </c:pt>
                <c:pt idx="1081">
                  <c:v>44727.666666666599</c:v>
                </c:pt>
                <c:pt idx="1082">
                  <c:v>44728.666666666599</c:v>
                </c:pt>
                <c:pt idx="1083">
                  <c:v>44729.666666666599</c:v>
                </c:pt>
                <c:pt idx="1084">
                  <c:v>44733.666666666599</c:v>
                </c:pt>
                <c:pt idx="1085">
                  <c:v>44734.666666666599</c:v>
                </c:pt>
                <c:pt idx="1086">
                  <c:v>44735.666666666599</c:v>
                </c:pt>
                <c:pt idx="1087">
                  <c:v>44736.666666666599</c:v>
                </c:pt>
                <c:pt idx="1088">
                  <c:v>44739.666666666599</c:v>
                </c:pt>
                <c:pt idx="1089">
                  <c:v>44740.666666666599</c:v>
                </c:pt>
                <c:pt idx="1090">
                  <c:v>44741.666666666599</c:v>
                </c:pt>
                <c:pt idx="1091">
                  <c:v>44742.666666666599</c:v>
                </c:pt>
                <c:pt idx="1092">
                  <c:v>44743.666666666599</c:v>
                </c:pt>
                <c:pt idx="1093">
                  <c:v>44747.666666666599</c:v>
                </c:pt>
                <c:pt idx="1094">
                  <c:v>44748.666666666599</c:v>
                </c:pt>
                <c:pt idx="1095">
                  <c:v>44749.666666666599</c:v>
                </c:pt>
                <c:pt idx="1096">
                  <c:v>44750.666666666599</c:v>
                </c:pt>
                <c:pt idx="1097">
                  <c:v>44753.666666666599</c:v>
                </c:pt>
                <c:pt idx="1098">
                  <c:v>44754.666666666599</c:v>
                </c:pt>
                <c:pt idx="1099">
                  <c:v>44755.666666666599</c:v>
                </c:pt>
                <c:pt idx="1100">
                  <c:v>44756.666666666599</c:v>
                </c:pt>
                <c:pt idx="1101">
                  <c:v>44757.666666666599</c:v>
                </c:pt>
                <c:pt idx="1102">
                  <c:v>44760.666666666599</c:v>
                </c:pt>
                <c:pt idx="1103">
                  <c:v>44761.666666666599</c:v>
                </c:pt>
                <c:pt idx="1104">
                  <c:v>44762.666666666599</c:v>
                </c:pt>
                <c:pt idx="1105">
                  <c:v>44763.666666666599</c:v>
                </c:pt>
                <c:pt idx="1106">
                  <c:v>44764.666666666599</c:v>
                </c:pt>
                <c:pt idx="1107">
                  <c:v>44767.666666666599</c:v>
                </c:pt>
                <c:pt idx="1108">
                  <c:v>44768.666666666599</c:v>
                </c:pt>
                <c:pt idx="1109">
                  <c:v>44769.666666666599</c:v>
                </c:pt>
                <c:pt idx="1110">
                  <c:v>44770.666666666599</c:v>
                </c:pt>
                <c:pt idx="1111">
                  <c:v>44771.666666666599</c:v>
                </c:pt>
                <c:pt idx="1112">
                  <c:v>44774.666666666599</c:v>
                </c:pt>
                <c:pt idx="1113">
                  <c:v>44775.666666666599</c:v>
                </c:pt>
                <c:pt idx="1114">
                  <c:v>44776.666666666599</c:v>
                </c:pt>
                <c:pt idx="1115">
                  <c:v>44777.666666666599</c:v>
                </c:pt>
                <c:pt idx="1116">
                  <c:v>44778.666666666599</c:v>
                </c:pt>
                <c:pt idx="1117">
                  <c:v>44781.666666666599</c:v>
                </c:pt>
                <c:pt idx="1118">
                  <c:v>44782.666666666599</c:v>
                </c:pt>
                <c:pt idx="1119">
                  <c:v>44783.666666666599</c:v>
                </c:pt>
                <c:pt idx="1120">
                  <c:v>44784.666666666599</c:v>
                </c:pt>
                <c:pt idx="1121">
                  <c:v>44785.666666666599</c:v>
                </c:pt>
                <c:pt idx="1122">
                  <c:v>44788.666666666599</c:v>
                </c:pt>
                <c:pt idx="1123">
                  <c:v>44789.666666666599</c:v>
                </c:pt>
                <c:pt idx="1124">
                  <c:v>44790.666666666599</c:v>
                </c:pt>
                <c:pt idx="1125">
                  <c:v>44791.666666666599</c:v>
                </c:pt>
                <c:pt idx="1126">
                  <c:v>44792.666666666599</c:v>
                </c:pt>
                <c:pt idx="1127">
                  <c:v>44795.666666666599</c:v>
                </c:pt>
                <c:pt idx="1128">
                  <c:v>44796.666666666599</c:v>
                </c:pt>
                <c:pt idx="1129">
                  <c:v>44797.666666666599</c:v>
                </c:pt>
                <c:pt idx="1130">
                  <c:v>44798.666666666599</c:v>
                </c:pt>
                <c:pt idx="1131">
                  <c:v>44799.666666666599</c:v>
                </c:pt>
                <c:pt idx="1132">
                  <c:v>44802.666666666599</c:v>
                </c:pt>
                <c:pt idx="1133">
                  <c:v>44803.666666666599</c:v>
                </c:pt>
                <c:pt idx="1134">
                  <c:v>44804.666666666599</c:v>
                </c:pt>
                <c:pt idx="1135">
                  <c:v>44805.666666666599</c:v>
                </c:pt>
                <c:pt idx="1136">
                  <c:v>44806.666666666599</c:v>
                </c:pt>
                <c:pt idx="1137">
                  <c:v>44810.666666666599</c:v>
                </c:pt>
                <c:pt idx="1138">
                  <c:v>44811.666666666599</c:v>
                </c:pt>
                <c:pt idx="1139">
                  <c:v>44812.666666666599</c:v>
                </c:pt>
                <c:pt idx="1140">
                  <c:v>44813.666666666599</c:v>
                </c:pt>
                <c:pt idx="1141">
                  <c:v>44816.666666666599</c:v>
                </c:pt>
                <c:pt idx="1142">
                  <c:v>44817.666666666599</c:v>
                </c:pt>
                <c:pt idx="1143">
                  <c:v>44818.666666666599</c:v>
                </c:pt>
                <c:pt idx="1144">
                  <c:v>44819.666666666599</c:v>
                </c:pt>
                <c:pt idx="1145">
                  <c:v>44820.666666666599</c:v>
                </c:pt>
                <c:pt idx="1146">
                  <c:v>44823.666666666599</c:v>
                </c:pt>
                <c:pt idx="1147">
                  <c:v>44824.666666666599</c:v>
                </c:pt>
                <c:pt idx="1148">
                  <c:v>44825.666666666599</c:v>
                </c:pt>
                <c:pt idx="1149">
                  <c:v>44826.666666666599</c:v>
                </c:pt>
                <c:pt idx="1150">
                  <c:v>44827.666666666599</c:v>
                </c:pt>
                <c:pt idx="1151">
                  <c:v>44830.666666666599</c:v>
                </c:pt>
                <c:pt idx="1152">
                  <c:v>44831.666666666599</c:v>
                </c:pt>
                <c:pt idx="1153">
                  <c:v>44832.666666666599</c:v>
                </c:pt>
                <c:pt idx="1154">
                  <c:v>44833.666666666599</c:v>
                </c:pt>
                <c:pt idx="1155">
                  <c:v>44834.666666666599</c:v>
                </c:pt>
                <c:pt idx="1156">
                  <c:v>44837.666666666599</c:v>
                </c:pt>
                <c:pt idx="1157">
                  <c:v>44838.666666666599</c:v>
                </c:pt>
                <c:pt idx="1158">
                  <c:v>44839.666666666599</c:v>
                </c:pt>
                <c:pt idx="1159">
                  <c:v>44840.666666666599</c:v>
                </c:pt>
                <c:pt idx="1160">
                  <c:v>44841.666666666599</c:v>
                </c:pt>
                <c:pt idx="1161">
                  <c:v>44844.666666666599</c:v>
                </c:pt>
                <c:pt idx="1162">
                  <c:v>44845.666666666599</c:v>
                </c:pt>
                <c:pt idx="1163">
                  <c:v>44846.666666666599</c:v>
                </c:pt>
                <c:pt idx="1164">
                  <c:v>44847.666666666599</c:v>
                </c:pt>
                <c:pt idx="1165">
                  <c:v>44848.666666666599</c:v>
                </c:pt>
                <c:pt idx="1166">
                  <c:v>44851.666666666599</c:v>
                </c:pt>
                <c:pt idx="1167">
                  <c:v>44852.666666666599</c:v>
                </c:pt>
                <c:pt idx="1168">
                  <c:v>44853.666666666599</c:v>
                </c:pt>
                <c:pt idx="1169">
                  <c:v>44854.666666666599</c:v>
                </c:pt>
                <c:pt idx="1170">
                  <c:v>44855.666666666599</c:v>
                </c:pt>
                <c:pt idx="1171">
                  <c:v>44858.666666666599</c:v>
                </c:pt>
                <c:pt idx="1172">
                  <c:v>44859.666666666599</c:v>
                </c:pt>
                <c:pt idx="1173">
                  <c:v>44860.666666666599</c:v>
                </c:pt>
                <c:pt idx="1174">
                  <c:v>44861.666666666599</c:v>
                </c:pt>
                <c:pt idx="1175">
                  <c:v>44862.666666666599</c:v>
                </c:pt>
                <c:pt idx="1176">
                  <c:v>44865.666666666599</c:v>
                </c:pt>
                <c:pt idx="1177">
                  <c:v>44866.666666666599</c:v>
                </c:pt>
                <c:pt idx="1178">
                  <c:v>44867.666666666599</c:v>
                </c:pt>
                <c:pt idx="1179">
                  <c:v>44868.666666666599</c:v>
                </c:pt>
                <c:pt idx="1180">
                  <c:v>44869.666666666599</c:v>
                </c:pt>
                <c:pt idx="1181">
                  <c:v>44872.666666666599</c:v>
                </c:pt>
                <c:pt idx="1182">
                  <c:v>44873.666666666599</c:v>
                </c:pt>
                <c:pt idx="1183">
                  <c:v>44874.666666666599</c:v>
                </c:pt>
                <c:pt idx="1184">
                  <c:v>44875.666666666599</c:v>
                </c:pt>
                <c:pt idx="1185">
                  <c:v>44876.666666666599</c:v>
                </c:pt>
                <c:pt idx="1186">
                  <c:v>44879.666666666599</c:v>
                </c:pt>
                <c:pt idx="1187">
                  <c:v>44880.666666666599</c:v>
                </c:pt>
                <c:pt idx="1188">
                  <c:v>44881.666666666599</c:v>
                </c:pt>
                <c:pt idx="1189">
                  <c:v>44882.666666666599</c:v>
                </c:pt>
                <c:pt idx="1190">
                  <c:v>44883.666666666599</c:v>
                </c:pt>
                <c:pt idx="1191">
                  <c:v>44886.666666666599</c:v>
                </c:pt>
                <c:pt idx="1192">
                  <c:v>44887.666666666599</c:v>
                </c:pt>
                <c:pt idx="1193">
                  <c:v>44888.666666666599</c:v>
                </c:pt>
                <c:pt idx="1194">
                  <c:v>44890.545138888803</c:v>
                </c:pt>
                <c:pt idx="1195">
                  <c:v>44893.666666666599</c:v>
                </c:pt>
                <c:pt idx="1196">
                  <c:v>44894.666666666599</c:v>
                </c:pt>
                <c:pt idx="1197">
                  <c:v>44895.666666666599</c:v>
                </c:pt>
                <c:pt idx="1198">
                  <c:v>44896.666666666599</c:v>
                </c:pt>
                <c:pt idx="1199">
                  <c:v>44897.666666666599</c:v>
                </c:pt>
                <c:pt idx="1200">
                  <c:v>44900.666666666599</c:v>
                </c:pt>
                <c:pt idx="1201">
                  <c:v>44901.666666666599</c:v>
                </c:pt>
                <c:pt idx="1202">
                  <c:v>44902.666666666599</c:v>
                </c:pt>
                <c:pt idx="1203">
                  <c:v>44903.666666666599</c:v>
                </c:pt>
                <c:pt idx="1204">
                  <c:v>44904.666666666599</c:v>
                </c:pt>
                <c:pt idx="1205">
                  <c:v>44907.666666666599</c:v>
                </c:pt>
                <c:pt idx="1206">
                  <c:v>44908.666666666599</c:v>
                </c:pt>
                <c:pt idx="1207">
                  <c:v>44909.666666666599</c:v>
                </c:pt>
                <c:pt idx="1208">
                  <c:v>44910.666666666599</c:v>
                </c:pt>
                <c:pt idx="1209">
                  <c:v>44911.666666666599</c:v>
                </c:pt>
                <c:pt idx="1210">
                  <c:v>44914.666666666599</c:v>
                </c:pt>
                <c:pt idx="1211">
                  <c:v>44915.666666666599</c:v>
                </c:pt>
                <c:pt idx="1212">
                  <c:v>44916.666666666599</c:v>
                </c:pt>
                <c:pt idx="1213">
                  <c:v>44917.666666666599</c:v>
                </c:pt>
                <c:pt idx="1214">
                  <c:v>44918.666666666599</c:v>
                </c:pt>
                <c:pt idx="1215">
                  <c:v>44922.666666666599</c:v>
                </c:pt>
                <c:pt idx="1216">
                  <c:v>44923.666666666599</c:v>
                </c:pt>
                <c:pt idx="1217">
                  <c:v>44924.666666666599</c:v>
                </c:pt>
                <c:pt idx="1218">
                  <c:v>44925.666666666599</c:v>
                </c:pt>
                <c:pt idx="1219">
                  <c:v>44929.666666666599</c:v>
                </c:pt>
                <c:pt idx="1220">
                  <c:v>44930.666666666599</c:v>
                </c:pt>
                <c:pt idx="1221">
                  <c:v>44931.666666666599</c:v>
                </c:pt>
                <c:pt idx="1222">
                  <c:v>44932.666666666599</c:v>
                </c:pt>
                <c:pt idx="1223">
                  <c:v>44935.666666666599</c:v>
                </c:pt>
                <c:pt idx="1224">
                  <c:v>44936.666666666599</c:v>
                </c:pt>
                <c:pt idx="1225">
                  <c:v>44937.666666666599</c:v>
                </c:pt>
                <c:pt idx="1226">
                  <c:v>44938.666666666599</c:v>
                </c:pt>
                <c:pt idx="1227">
                  <c:v>44939.666666666599</c:v>
                </c:pt>
                <c:pt idx="1228">
                  <c:v>44943.666666666599</c:v>
                </c:pt>
                <c:pt idx="1229">
                  <c:v>44944.666666666599</c:v>
                </c:pt>
                <c:pt idx="1230">
                  <c:v>44945.666666666599</c:v>
                </c:pt>
                <c:pt idx="1231">
                  <c:v>44946.666666666599</c:v>
                </c:pt>
                <c:pt idx="1232">
                  <c:v>44949.666666666599</c:v>
                </c:pt>
                <c:pt idx="1233">
                  <c:v>44950.666666666599</c:v>
                </c:pt>
                <c:pt idx="1234">
                  <c:v>44951.666666666599</c:v>
                </c:pt>
                <c:pt idx="1235">
                  <c:v>44952.666666666599</c:v>
                </c:pt>
                <c:pt idx="1236">
                  <c:v>44953.666666666599</c:v>
                </c:pt>
                <c:pt idx="1237">
                  <c:v>44956.666666666599</c:v>
                </c:pt>
                <c:pt idx="1238">
                  <c:v>44957.666666666599</c:v>
                </c:pt>
                <c:pt idx="1239">
                  <c:v>44958.666666666599</c:v>
                </c:pt>
                <c:pt idx="1240">
                  <c:v>44959.666666666599</c:v>
                </c:pt>
                <c:pt idx="1241">
                  <c:v>44960.666666666599</c:v>
                </c:pt>
                <c:pt idx="1242">
                  <c:v>44963.666666666599</c:v>
                </c:pt>
                <c:pt idx="1243">
                  <c:v>44964.666666666599</c:v>
                </c:pt>
                <c:pt idx="1244">
                  <c:v>44965.666666666599</c:v>
                </c:pt>
                <c:pt idx="1245">
                  <c:v>44966.666666666599</c:v>
                </c:pt>
                <c:pt idx="1246">
                  <c:v>44967.666666666599</c:v>
                </c:pt>
                <c:pt idx="1247">
                  <c:v>44970.666666666599</c:v>
                </c:pt>
                <c:pt idx="1248">
                  <c:v>44971.666666666599</c:v>
                </c:pt>
                <c:pt idx="1249">
                  <c:v>44972.666666666599</c:v>
                </c:pt>
                <c:pt idx="1250">
                  <c:v>44973.666666666599</c:v>
                </c:pt>
                <c:pt idx="1251">
                  <c:v>44974.666666666599</c:v>
                </c:pt>
                <c:pt idx="1252">
                  <c:v>44978.666666666599</c:v>
                </c:pt>
                <c:pt idx="1253">
                  <c:v>44979.666666666599</c:v>
                </c:pt>
                <c:pt idx="1254">
                  <c:v>44980.666666666599</c:v>
                </c:pt>
                <c:pt idx="1255">
                  <c:v>44981.666666666599</c:v>
                </c:pt>
                <c:pt idx="1256">
                  <c:v>44984.666666666599</c:v>
                </c:pt>
              </c:numCache>
            </c:numRef>
          </c:cat>
          <c:val>
            <c:numRef>
              <c:f>Sheet1!$C$2:$C$1289</c:f>
              <c:numCache>
                <c:formatCode>#,##0.00;\(#,##0.00\)</c:formatCode>
                <c:ptCount val="1288"/>
                <c:pt idx="0">
                  <c:v>25.23741110724</c:v>
                </c:pt>
                <c:pt idx="1">
                  <c:v>22.953920492450099</c:v>
                </c:pt>
                <c:pt idx="2">
                  <c:v>20.390354604329101</c:v>
                </c:pt>
                <c:pt idx="3">
                  <c:v>18.3097731644568</c:v>
                </c:pt>
                <c:pt idx="4">
                  <c:v>17.517371318484098</c:v>
                </c:pt>
                <c:pt idx="5">
                  <c:v>16.377625321060201</c:v>
                </c:pt>
                <c:pt idx="6">
                  <c:v>15.401482823555799</c:v>
                </c:pt>
                <c:pt idx="7">
                  <c:v>17.1360038863934</c:v>
                </c:pt>
                <c:pt idx="8">
                  <c:v>16.516463752209201</c:v>
                </c:pt>
                <c:pt idx="9">
                  <c:v>17.151412178071102</c:v>
                </c:pt>
                <c:pt idx="10">
                  <c:v>17.378466803914002</c:v>
                </c:pt>
                <c:pt idx="11">
                  <c:v>17.683863606460601</c:v>
                </c:pt>
                <c:pt idx="12">
                  <c:v>22.5477425698951</c:v>
                </c:pt>
                <c:pt idx="13">
                  <c:v>22.6823819987818</c:v>
                </c:pt>
                <c:pt idx="14">
                  <c:v>23.9114431414209</c:v>
                </c:pt>
                <c:pt idx="15">
                  <c:v>24.569259713714999</c:v>
                </c:pt>
                <c:pt idx="16">
                  <c:v>25.1428075379761</c:v>
                </c:pt>
                <c:pt idx="17">
                  <c:v>29.8990576183675</c:v>
                </c:pt>
                <c:pt idx="18">
                  <c:v>29.7314241562778</c:v>
                </c:pt>
                <c:pt idx="19">
                  <c:v>30.550518803502499</c:v>
                </c:pt>
                <c:pt idx="20">
                  <c:v>30.708895585335299</c:v>
                </c:pt>
                <c:pt idx="21">
                  <c:v>33.537581602084501</c:v>
                </c:pt>
                <c:pt idx="22">
                  <c:v>32.7150651386739</c:v>
                </c:pt>
                <c:pt idx="23">
                  <c:v>32.9021489140817</c:v>
                </c:pt>
                <c:pt idx="24">
                  <c:v>32.465487469824602</c:v>
                </c:pt>
                <c:pt idx="25">
                  <c:v>31.923030990191201</c:v>
                </c:pt>
                <c:pt idx="26">
                  <c:v>33.474087159171702</c:v>
                </c:pt>
                <c:pt idx="27">
                  <c:v>32.358879963290903</c:v>
                </c:pt>
                <c:pt idx="28">
                  <c:v>32.316887106262101</c:v>
                </c:pt>
                <c:pt idx="29">
                  <c:v>31.709311250629501</c:v>
                </c:pt>
                <c:pt idx="30">
                  <c:v>31.0463101687447</c:v>
                </c:pt>
                <c:pt idx="31">
                  <c:v>32.432917493168397</c:v>
                </c:pt>
                <c:pt idx="32">
                  <c:v>31.287712965438999</c:v>
                </c:pt>
                <c:pt idx="33">
                  <c:v>31.2064445655732</c:v>
                </c:pt>
                <c:pt idx="34">
                  <c:v>30.5376229919354</c:v>
                </c:pt>
                <c:pt idx="35">
                  <c:v>29.779616579449701</c:v>
                </c:pt>
                <c:pt idx="36">
                  <c:v>30.583437635173599</c:v>
                </c:pt>
                <c:pt idx="37">
                  <c:v>29.123068712532699</c:v>
                </c:pt>
                <c:pt idx="38">
                  <c:v>28.661349466970002</c:v>
                </c:pt>
                <c:pt idx="39">
                  <c:v>27.547822760290099</c:v>
                </c:pt>
                <c:pt idx="40">
                  <c:v>26.284577102494001</c:v>
                </c:pt>
                <c:pt idx="41">
                  <c:v>25.284902830902201</c:v>
                </c:pt>
                <c:pt idx="42">
                  <c:v>23.163852429066999</c:v>
                </c:pt>
                <c:pt idx="43">
                  <c:v>22.0344478861219</c:v>
                </c:pt>
                <c:pt idx="44">
                  <c:v>20.261791307589601</c:v>
                </c:pt>
                <c:pt idx="45">
                  <c:v>18.364166636740499</c:v>
                </c:pt>
                <c:pt idx="46">
                  <c:v>15.770995348721399</c:v>
                </c:pt>
                <c:pt idx="47">
                  <c:v>13.271975462926299</c:v>
                </c:pt>
                <c:pt idx="48">
                  <c:v>11.862689281057399</c:v>
                </c:pt>
                <c:pt idx="49">
                  <c:v>9.9181555107457697</c:v>
                </c:pt>
                <c:pt idx="50">
                  <c:v>7.96410753228011</c:v>
                </c:pt>
                <c:pt idx="51">
                  <c:v>5.9271207801263097</c:v>
                </c:pt>
                <c:pt idx="52">
                  <c:v>3.8514835568941601</c:v>
                </c:pt>
                <c:pt idx="53">
                  <c:v>2.97528192471</c:v>
                </c:pt>
                <c:pt idx="54">
                  <c:v>1.6637718869422</c:v>
                </c:pt>
                <c:pt idx="55">
                  <c:v>0.43044570904232698</c:v>
                </c:pt>
                <c:pt idx="56">
                  <c:v>0.92944036395481</c:v>
                </c:pt>
                <c:pt idx="57">
                  <c:v>-0.234113338762689</c:v>
                </c:pt>
                <c:pt idx="58">
                  <c:v>-0.195655806632753</c:v>
                </c:pt>
                <c:pt idx="59">
                  <c:v>-0.60848736507311596</c:v>
                </c:pt>
                <c:pt idx="60">
                  <c:v>-0.97701517589703002</c:v>
                </c:pt>
                <c:pt idx="61">
                  <c:v>1.1697991321591299</c:v>
                </c:pt>
                <c:pt idx="62">
                  <c:v>1.68967201153177</c:v>
                </c:pt>
                <c:pt idx="63">
                  <c:v>1.6547065694124601</c:v>
                </c:pt>
                <c:pt idx="64">
                  <c:v>1.55795080716459</c:v>
                </c:pt>
                <c:pt idx="65">
                  <c:v>4.4857255573044696</c:v>
                </c:pt>
                <c:pt idx="66">
                  <c:v>3.78099169433513</c:v>
                </c:pt>
                <c:pt idx="67">
                  <c:v>4.1030220573754903</c:v>
                </c:pt>
                <c:pt idx="68">
                  <c:v>3.8056855360133399</c:v>
                </c:pt>
                <c:pt idx="69">
                  <c:v>3.3961218673909102</c:v>
                </c:pt>
                <c:pt idx="70">
                  <c:v>5.2363364917574096</c:v>
                </c:pt>
                <c:pt idx="71">
                  <c:v>4.1714099467252499</c:v>
                </c:pt>
                <c:pt idx="72">
                  <c:v>4.1592222726564803</c:v>
                </c:pt>
                <c:pt idx="73">
                  <c:v>3.5668707678777398</c:v>
                </c:pt>
                <c:pt idx="74">
                  <c:v>2.9130654057056802</c:v>
                </c:pt>
                <c:pt idx="75">
                  <c:v>4.4096620981910304</c:v>
                </c:pt>
                <c:pt idx="76">
                  <c:v>3.3761661337503601</c:v>
                </c:pt>
                <c:pt idx="77">
                  <c:v>3.4702013311715798</c:v>
                </c:pt>
                <c:pt idx="78">
                  <c:v>3.05614752288048</c:v>
                </c:pt>
                <c:pt idx="79">
                  <c:v>2.6476065635080102</c:v>
                </c:pt>
                <c:pt idx="80">
                  <c:v>5.1995676341466899</c:v>
                </c:pt>
                <c:pt idx="81">
                  <c:v>4.5887347999949704</c:v>
                </c:pt>
                <c:pt idx="82">
                  <c:v>5.1202239358002704</c:v>
                </c:pt>
                <c:pt idx="83">
                  <c:v>5.1452038542888197</c:v>
                </c:pt>
                <c:pt idx="84">
                  <c:v>5.1641266947211601</c:v>
                </c:pt>
                <c:pt idx="85">
                  <c:v>8.8074308807921096</c:v>
                </c:pt>
                <c:pt idx="86">
                  <c:v>8.4621754532420201</c:v>
                </c:pt>
                <c:pt idx="87">
                  <c:v>9.3584528095229302</c:v>
                </c:pt>
                <c:pt idx="88">
                  <c:v>9.4442859269122703</c:v>
                </c:pt>
                <c:pt idx="89">
                  <c:v>12.881144819725799</c:v>
                </c:pt>
                <c:pt idx="90">
                  <c:v>12.3459370316665</c:v>
                </c:pt>
                <c:pt idx="91">
                  <c:v>12.842707323345801</c:v>
                </c:pt>
                <c:pt idx="92">
                  <c:v>12.7278283277674</c:v>
                </c:pt>
                <c:pt idx="93">
                  <c:v>12.5104846974791</c:v>
                </c:pt>
                <c:pt idx="94">
                  <c:v>14.999610783336401</c:v>
                </c:pt>
                <c:pt idx="95">
                  <c:v>14.1774583223629</c:v>
                </c:pt>
                <c:pt idx="96">
                  <c:v>14.421447767801601</c:v>
                </c:pt>
                <c:pt idx="97">
                  <c:v>14.098205788452599</c:v>
                </c:pt>
                <c:pt idx="98">
                  <c:v>13.7256228873702</c:v>
                </c:pt>
                <c:pt idx="99">
                  <c:v>16.125636653140401</c:v>
                </c:pt>
                <c:pt idx="100">
                  <c:v>15.4074748392011</c:v>
                </c:pt>
                <c:pt idx="101">
                  <c:v>15.820456575958101</c:v>
                </c:pt>
                <c:pt idx="102">
                  <c:v>15.726544448006299</c:v>
                </c:pt>
                <c:pt idx="103">
                  <c:v>15.6367383167107</c:v>
                </c:pt>
                <c:pt idx="104">
                  <c:v>19.108190926586101</c:v>
                </c:pt>
                <c:pt idx="105">
                  <c:v>18.781631175440602</c:v>
                </c:pt>
                <c:pt idx="106">
                  <c:v>19.581111405190999</c:v>
                </c:pt>
                <c:pt idx="107">
                  <c:v>19.854662948773498</c:v>
                </c:pt>
                <c:pt idx="108">
                  <c:v>20.0996296629495</c:v>
                </c:pt>
                <c:pt idx="109">
                  <c:v>24.256159721374502</c:v>
                </c:pt>
                <c:pt idx="110">
                  <c:v>24.0178740711494</c:v>
                </c:pt>
                <c:pt idx="111">
                  <c:v>24.8236680325893</c:v>
                </c:pt>
                <c:pt idx="112">
                  <c:v>25.017954015605898</c:v>
                </c:pt>
                <c:pt idx="113">
                  <c:v>25.097068266676999</c:v>
                </c:pt>
                <c:pt idx="114">
                  <c:v>28.2666642828672</c:v>
                </c:pt>
                <c:pt idx="115">
                  <c:v>27.5592933972463</c:v>
                </c:pt>
                <c:pt idx="116">
                  <c:v>27.843337388757899</c:v>
                </c:pt>
                <c:pt idx="117">
                  <c:v>27.476590185549501</c:v>
                </c:pt>
                <c:pt idx="118">
                  <c:v>26.970222118345799</c:v>
                </c:pt>
                <c:pt idx="119">
                  <c:v>28.397325875066102</c:v>
                </c:pt>
                <c:pt idx="120">
                  <c:v>27.167985459547399</c:v>
                </c:pt>
                <c:pt idx="121">
                  <c:v>26.985151515129701</c:v>
                </c:pt>
                <c:pt idx="122">
                  <c:v>26.220108528377299</c:v>
                </c:pt>
                <c:pt idx="123">
                  <c:v>25.395606902681699</c:v>
                </c:pt>
                <c:pt idx="124">
                  <c:v>26.428619138849999</c:v>
                </c:pt>
                <c:pt idx="125">
                  <c:v>25.267028691280998</c:v>
                </c:pt>
                <c:pt idx="126">
                  <c:v>25.250034265245901</c:v>
                </c:pt>
                <c:pt idx="127">
                  <c:v>24.743356410679599</c:v>
                </c:pt>
                <c:pt idx="128">
                  <c:v>24.261168896301399</c:v>
                </c:pt>
                <c:pt idx="129">
                  <c:v>26.078164221484599</c:v>
                </c:pt>
                <c:pt idx="130">
                  <c:v>26.608100379125201</c:v>
                </c:pt>
                <c:pt idx="131">
                  <c:v>26.634678113565801</c:v>
                </c:pt>
                <c:pt idx="132">
                  <c:v>26.652405692780199</c:v>
                </c:pt>
                <c:pt idx="133">
                  <c:v>30.204282273223701</c:v>
                </c:pt>
                <c:pt idx="134">
                  <c:v>29.772582084907899</c:v>
                </c:pt>
                <c:pt idx="135">
                  <c:v>30.3787603849653</c:v>
                </c:pt>
                <c:pt idx="136">
                  <c:v>30.360467073521999</c:v>
                </c:pt>
                <c:pt idx="137">
                  <c:v>30.207106566741899</c:v>
                </c:pt>
                <c:pt idx="138">
                  <c:v>32.491970080313799</c:v>
                </c:pt>
                <c:pt idx="139">
                  <c:v>31.406435440378999</c:v>
                </c:pt>
                <c:pt idx="140">
                  <c:v>31.2618802622879</c:v>
                </c:pt>
                <c:pt idx="141">
                  <c:v>30.412167114955</c:v>
                </c:pt>
                <c:pt idx="142">
                  <c:v>29.365677279340598</c:v>
                </c:pt>
                <c:pt idx="143">
                  <c:v>28.8216200171865</c:v>
                </c:pt>
                <c:pt idx="144">
                  <c:v>26.823066007723099</c:v>
                </c:pt>
                <c:pt idx="145">
                  <c:v>25.821232679392001</c:v>
                </c:pt>
                <c:pt idx="146">
                  <c:v>24.193556060070001</c:v>
                </c:pt>
                <c:pt idx="147">
                  <c:v>22.470472775111599</c:v>
                </c:pt>
                <c:pt idx="148">
                  <c:v>20.6898917445581</c:v>
                </c:pt>
                <c:pt idx="149">
                  <c:v>18.5897440784499</c:v>
                </c:pt>
                <c:pt idx="150">
                  <c:v>17.655468013737298</c:v>
                </c:pt>
                <c:pt idx="151">
                  <c:v>16.266677090691999</c:v>
                </c:pt>
                <c:pt idx="152">
                  <c:v>14.951691277550699</c:v>
                </c:pt>
                <c:pt idx="153">
                  <c:v>15.3261219109551</c:v>
                </c:pt>
                <c:pt idx="154">
                  <c:v>14.2066586315614</c:v>
                </c:pt>
                <c:pt idx="155">
                  <c:v>14.3516570789218</c:v>
                </c:pt>
                <c:pt idx="156">
                  <c:v>14.117000683813201</c:v>
                </c:pt>
                <c:pt idx="157">
                  <c:v>14.0053119478423</c:v>
                </c:pt>
                <c:pt idx="158">
                  <c:v>18.012368478039502</c:v>
                </c:pt>
                <c:pt idx="159">
                  <c:v>18.0205216407414</c:v>
                </c:pt>
                <c:pt idx="160">
                  <c:v>19.208548943921699</c:v>
                </c:pt>
                <c:pt idx="161">
                  <c:v>19.909470430901099</c:v>
                </c:pt>
                <c:pt idx="162">
                  <c:v>20.6058517209343</c:v>
                </c:pt>
                <c:pt idx="163">
                  <c:v>26.123927138344801</c:v>
                </c:pt>
                <c:pt idx="164">
                  <c:v>26.301980137098798</c:v>
                </c:pt>
                <c:pt idx="165">
                  <c:v>27.4890844715183</c:v>
                </c:pt>
                <c:pt idx="166">
                  <c:v>28.022467719913099</c:v>
                </c:pt>
                <c:pt idx="167">
                  <c:v>28.393135979789399</c:v>
                </c:pt>
                <c:pt idx="168">
                  <c:v>32.1266778160538</c:v>
                </c:pt>
                <c:pt idx="169">
                  <c:v>31.504014211083099</c:v>
                </c:pt>
                <c:pt idx="170">
                  <c:v>31.825191077773699</c:v>
                </c:pt>
                <c:pt idx="171">
                  <c:v>31.452386925791899</c:v>
                </c:pt>
                <c:pt idx="172">
                  <c:v>30.902127460257901</c:v>
                </c:pt>
                <c:pt idx="173">
                  <c:v>32.033113574002101</c:v>
                </c:pt>
                <c:pt idx="174">
                  <c:v>30.672219357899099</c:v>
                </c:pt>
                <c:pt idx="175">
                  <c:v>30.352034939064001</c:v>
                </c:pt>
                <c:pt idx="176">
                  <c:v>29.449510493693602</c:v>
                </c:pt>
                <c:pt idx="177">
                  <c:v>28.492308203013899</c:v>
                </c:pt>
                <c:pt idx="178">
                  <c:v>29.190789141107999</c:v>
                </c:pt>
                <c:pt idx="179">
                  <c:v>27.945186465443701</c:v>
                </c:pt>
                <c:pt idx="180">
                  <c:v>27.8583427783758</c:v>
                </c:pt>
                <c:pt idx="181">
                  <c:v>27.294659240206599</c:v>
                </c:pt>
                <c:pt idx="182">
                  <c:v>26.766073751150099</c:v>
                </c:pt>
                <c:pt idx="183">
                  <c:v>29.0951539626844</c:v>
                </c:pt>
                <c:pt idx="184">
                  <c:v>28.435428372469499</c:v>
                </c:pt>
                <c:pt idx="185">
                  <c:v>28.917727694253902</c:v>
                </c:pt>
                <c:pt idx="186">
                  <c:v>28.825816610762601</c:v>
                </c:pt>
                <c:pt idx="187">
                  <c:v>32.028524258695001</c:v>
                </c:pt>
                <c:pt idx="188">
                  <c:v>31.4364543881033</c:v>
                </c:pt>
                <c:pt idx="189">
                  <c:v>31.8610753012657</c:v>
                </c:pt>
                <c:pt idx="190">
                  <c:v>31.642221511060399</c:v>
                </c:pt>
                <c:pt idx="191">
                  <c:v>31.272612753463299</c:v>
                </c:pt>
                <c:pt idx="192">
                  <c:v>32.863141366320797</c:v>
                </c:pt>
                <c:pt idx="193">
                  <c:v>31.5513703823332</c:v>
                </c:pt>
                <c:pt idx="194">
                  <c:v>30.155014559864298</c:v>
                </c:pt>
                <c:pt idx="195">
                  <c:v>28.947578257037499</c:v>
                </c:pt>
                <c:pt idx="196">
                  <c:v>28.1644237889147</c:v>
                </c:pt>
                <c:pt idx="197">
                  <c:v>26.1865701938166</c:v>
                </c:pt>
                <c:pt idx="198">
                  <c:v>25.262586796292101</c:v>
                </c:pt>
                <c:pt idx="199">
                  <c:v>23.772102748772301</c:v>
                </c:pt>
                <c:pt idx="200">
                  <c:v>22.246227104542101</c:v>
                </c:pt>
                <c:pt idx="201">
                  <c:v>21.399733111661799</c:v>
                </c:pt>
                <c:pt idx="202">
                  <c:v>19.719617985501301</c:v>
                </c:pt>
                <c:pt idx="203">
                  <c:v>19.2445108717517</c:v>
                </c:pt>
                <c:pt idx="204">
                  <c:v>18.3454043665336</c:v>
                </c:pt>
                <c:pt idx="205">
                  <c:v>17.5408745458151</c:v>
                </c:pt>
                <c:pt idx="206">
                  <c:v>19.4622536481853</c:v>
                </c:pt>
                <c:pt idx="207">
                  <c:v>19.417598376576102</c:v>
                </c:pt>
                <c:pt idx="208">
                  <c:v>19.584062093703199</c:v>
                </c:pt>
                <c:pt idx="209">
                  <c:v>19.817784220330999</c:v>
                </c:pt>
                <c:pt idx="210">
                  <c:v>24.450411109340699</c:v>
                </c:pt>
                <c:pt idx="211">
                  <c:v>25.674886930076401</c:v>
                </c:pt>
                <c:pt idx="212">
                  <c:v>26.269697782235699</c:v>
                </c:pt>
                <c:pt idx="213">
                  <c:v>26.783088022746899</c:v>
                </c:pt>
                <c:pt idx="214">
                  <c:v>31.351711958179799</c:v>
                </c:pt>
                <c:pt idx="215">
                  <c:v>31.1093748841738</c:v>
                </c:pt>
                <c:pt idx="216">
                  <c:v>31.8428694536785</c:v>
                </c:pt>
                <c:pt idx="217">
                  <c:v>31.9024651226275</c:v>
                </c:pt>
                <c:pt idx="218">
                  <c:v>31.792965200731398</c:v>
                </c:pt>
                <c:pt idx="219">
                  <c:v>34.189462757819399</c:v>
                </c:pt>
                <c:pt idx="220">
                  <c:v>33.201498098208397</c:v>
                </c:pt>
                <c:pt idx="221">
                  <c:v>33.218542445279702</c:v>
                </c:pt>
                <c:pt idx="222">
                  <c:v>32.613450388298098</c:v>
                </c:pt>
                <c:pt idx="223">
                  <c:v>31.911716131651801</c:v>
                </c:pt>
                <c:pt idx="224">
                  <c:v>31.990670335475201</c:v>
                </c:pt>
                <c:pt idx="225">
                  <c:v>31.982745782234002</c:v>
                </c:pt>
                <c:pt idx="226">
                  <c:v>31.480570361043299</c:v>
                </c:pt>
                <c:pt idx="227">
                  <c:v>31.004693045695401</c:v>
                </c:pt>
                <c:pt idx="228">
                  <c:v>33.530558637610902</c:v>
                </c:pt>
                <c:pt idx="229">
                  <c:v>32.978989386835501</c:v>
                </c:pt>
                <c:pt idx="230">
                  <c:v>33.603857977240501</c:v>
                </c:pt>
                <c:pt idx="231">
                  <c:v>33.7534310912053</c:v>
                </c:pt>
                <c:pt idx="232">
                  <c:v>33.923189655165899</c:v>
                </c:pt>
                <c:pt idx="233">
                  <c:v>38.096514330728098</c:v>
                </c:pt>
                <c:pt idx="234">
                  <c:v>37.917868600205402</c:v>
                </c:pt>
                <c:pt idx="235">
                  <c:v>38.792432195950902</c:v>
                </c:pt>
                <c:pt idx="236">
                  <c:v>39.051628275807602</c:v>
                </c:pt>
                <c:pt idx="237">
                  <c:v>39.177689320240603</c:v>
                </c:pt>
                <c:pt idx="238">
                  <c:v>42.229742073663402</c:v>
                </c:pt>
                <c:pt idx="239">
                  <c:v>41.346298976751697</c:v>
                </c:pt>
                <c:pt idx="240">
                  <c:v>41.361545253865302</c:v>
                </c:pt>
                <c:pt idx="241">
                  <c:v>40.620205467944402</c:v>
                </c:pt>
                <c:pt idx="242">
                  <c:v>39.632739704979997</c:v>
                </c:pt>
                <c:pt idx="243">
                  <c:v>36.575149392779402</c:v>
                </c:pt>
                <c:pt idx="244">
                  <c:v>35.228421477449899</c:v>
                </c:pt>
                <c:pt idx="245">
                  <c:v>33.162511627117901</c:v>
                </c:pt>
                <c:pt idx="246">
                  <c:v>30.906997937661298</c:v>
                </c:pt>
                <c:pt idx="247">
                  <c:v>26.9796009044192</c:v>
                </c:pt>
                <c:pt idx="248">
                  <c:v>23.994064487660498</c:v>
                </c:pt>
                <c:pt idx="249">
                  <c:v>22.100182174180102</c:v>
                </c:pt>
                <c:pt idx="250">
                  <c:v>19.686203883033301</c:v>
                </c:pt>
                <c:pt idx="251">
                  <c:v>17.290412701241902</c:v>
                </c:pt>
                <c:pt idx="252">
                  <c:v>14.204867224556001</c:v>
                </c:pt>
                <c:pt idx="253">
                  <c:v>11.902437214674899</c:v>
                </c:pt>
                <c:pt idx="254">
                  <c:v>10.872411869103001</c:v>
                </c:pt>
                <c:pt idx="255">
                  <c:v>9.4846366619134095</c:v>
                </c:pt>
                <c:pt idx="256">
                  <c:v>8.2555579779036599</c:v>
                </c:pt>
                <c:pt idx="257">
                  <c:v>9.2558762102214303</c:v>
                </c:pt>
                <c:pt idx="258">
                  <c:v>8.4165870881782396</c:v>
                </c:pt>
                <c:pt idx="259">
                  <c:v>8.8516368538739698</c:v>
                </c:pt>
                <c:pt idx="260">
                  <c:v>8.9022231263115508</c:v>
                </c:pt>
                <c:pt idx="261">
                  <c:v>9.0574932608868792</c:v>
                </c:pt>
                <c:pt idx="262">
                  <c:v>13.647123263908099</c:v>
                </c:pt>
                <c:pt idx="263">
                  <c:v>13.7512678140515</c:v>
                </c:pt>
                <c:pt idx="264">
                  <c:v>14.979522276036001</c:v>
                </c:pt>
                <c:pt idx="265">
                  <c:v>15.6647051114359</c:v>
                </c:pt>
                <c:pt idx="266">
                  <c:v>16.291660703241799</c:v>
                </c:pt>
                <c:pt idx="267">
                  <c:v>21.3356396504754</c:v>
                </c:pt>
                <c:pt idx="268">
                  <c:v>21.295068633910098</c:v>
                </c:pt>
                <c:pt idx="269">
                  <c:v>22.2506309491351</c:v>
                </c:pt>
                <c:pt idx="270">
                  <c:v>22.551120014521899</c:v>
                </c:pt>
                <c:pt idx="271">
                  <c:v>22.699223664019499</c:v>
                </c:pt>
                <c:pt idx="272">
                  <c:v>25.935759258653501</c:v>
                </c:pt>
                <c:pt idx="273">
                  <c:v>25.234749825924901</c:v>
                </c:pt>
                <c:pt idx="274">
                  <c:v>25.532172821237101</c:v>
                </c:pt>
                <c:pt idx="275">
                  <c:v>25.193521223543598</c:v>
                </c:pt>
                <c:pt idx="276">
                  <c:v>24.736152015301801</c:v>
                </c:pt>
                <c:pt idx="277">
                  <c:v>26.467337980035701</c:v>
                </c:pt>
                <c:pt idx="278">
                  <c:v>25.390483230880399</c:v>
                </c:pt>
                <c:pt idx="279">
                  <c:v>25.378763203922901</c:v>
                </c:pt>
                <c:pt idx="280">
                  <c:v>24.795544152675198</c:v>
                </c:pt>
                <c:pt idx="281">
                  <c:v>24.153364767956301</c:v>
                </c:pt>
                <c:pt idx="282">
                  <c:v>25.6063096665785</c:v>
                </c:pt>
                <c:pt idx="283">
                  <c:v>24.492621473320501</c:v>
                </c:pt>
                <c:pt idx="284">
                  <c:v>24.451180861288499</c:v>
                </c:pt>
                <c:pt idx="285">
                  <c:v>23.832220560338001</c:v>
                </c:pt>
                <c:pt idx="286">
                  <c:v>24.197442967900201</c:v>
                </c:pt>
                <c:pt idx="287">
                  <c:v>22.8475906219698</c:v>
                </c:pt>
                <c:pt idx="288">
                  <c:v>22.507153907359399</c:v>
                </c:pt>
                <c:pt idx="289">
                  <c:v>21.524072907699399</c:v>
                </c:pt>
                <c:pt idx="290">
                  <c:v>20.3984031417348</c:v>
                </c:pt>
                <c:pt idx="291">
                  <c:v>19.8287527245718</c:v>
                </c:pt>
                <c:pt idx="292">
                  <c:v>17.847131723481599</c:v>
                </c:pt>
                <c:pt idx="293">
                  <c:v>16.8500761164998</c:v>
                </c:pt>
                <c:pt idx="294">
                  <c:v>15.199637471588501</c:v>
                </c:pt>
                <c:pt idx="295">
                  <c:v>13.4111972612302</c:v>
                </c:pt>
                <c:pt idx="296">
                  <c:v>11.0424230059447</c:v>
                </c:pt>
                <c:pt idx="297">
                  <c:v>8.5773960156880609</c:v>
                </c:pt>
                <c:pt idx="298">
                  <c:v>7.1796575724105196</c:v>
                </c:pt>
                <c:pt idx="299">
                  <c:v>5.22379589297881</c:v>
                </c:pt>
                <c:pt idx="300">
                  <c:v>3.2356777139602202</c:v>
                </c:pt>
                <c:pt idx="301">
                  <c:v>0.96975376532097002</c:v>
                </c:pt>
                <c:pt idx="302">
                  <c:v>-1.2185717222122701</c:v>
                </c:pt>
                <c:pt idx="303">
                  <c:v>-2.2215629760390301</c:v>
                </c:pt>
                <c:pt idx="304">
                  <c:v>-3.6709532368569202</c:v>
                </c:pt>
                <c:pt idx="305">
                  <c:v>-5.0499766917562701</c:v>
                </c:pt>
                <c:pt idx="306">
                  <c:v>-5.0002083013498</c:v>
                </c:pt>
                <c:pt idx="307">
                  <c:v>-6.3059495532581202</c:v>
                </c:pt>
                <c:pt idx="308">
                  <c:v>-6.4004297931986702</c:v>
                </c:pt>
                <c:pt idx="309">
                  <c:v>-6.9340504544222901</c:v>
                </c:pt>
                <c:pt idx="310">
                  <c:v>-7.4086880615285704</c:v>
                </c:pt>
                <c:pt idx="311">
                  <c:v>-5.5051204063460801</c:v>
                </c:pt>
                <c:pt idx="312">
                  <c:v>-4.9967496897958004</c:v>
                </c:pt>
                <c:pt idx="313">
                  <c:v>-5.0238080571421104</c:v>
                </c:pt>
                <c:pt idx="314">
                  <c:v>-5.0943388991138701</c:v>
                </c:pt>
                <c:pt idx="315">
                  <c:v>-1.9957892199652201</c:v>
                </c:pt>
                <c:pt idx="316">
                  <c:v>-2.6207008967030299</c:v>
                </c:pt>
                <c:pt idx="317">
                  <c:v>-2.211972024374</c:v>
                </c:pt>
                <c:pt idx="318">
                  <c:v>-2.4187018029351499</c:v>
                </c:pt>
                <c:pt idx="319">
                  <c:v>-2.73674263456624</c:v>
                </c:pt>
                <c:pt idx="320">
                  <c:v>-0.64487256951375804</c:v>
                </c:pt>
                <c:pt idx="321">
                  <c:v>-1.64193644633795</c:v>
                </c:pt>
                <c:pt idx="322">
                  <c:v>-1.5976682156998301</c:v>
                </c:pt>
                <c:pt idx="323">
                  <c:v>-2.1464066445643</c:v>
                </c:pt>
                <c:pt idx="324">
                  <c:v>-2.7704187188057401</c:v>
                </c:pt>
                <c:pt idx="325">
                  <c:v>-1.26987739797359</c:v>
                </c:pt>
                <c:pt idx="326">
                  <c:v>-2.3289779881961601</c:v>
                </c:pt>
                <c:pt idx="327">
                  <c:v>-2.2721083086701999</c:v>
                </c:pt>
                <c:pt idx="328">
                  <c:v>-2.7331639846425602</c:v>
                </c:pt>
                <c:pt idx="329">
                  <c:v>-3.1965086504906601</c:v>
                </c:pt>
                <c:pt idx="330">
                  <c:v>-0.832296956721162</c:v>
                </c:pt>
                <c:pt idx="331">
                  <c:v>-1.5051841477922301</c:v>
                </c:pt>
                <c:pt idx="332">
                  <c:v>-1.0313785800144399</c:v>
                </c:pt>
                <c:pt idx="333">
                  <c:v>-1.0574467497076401</c:v>
                </c:pt>
                <c:pt idx="334">
                  <c:v>-1.0809099546680001</c:v>
                </c:pt>
                <c:pt idx="335">
                  <c:v>2.5026062415160699</c:v>
                </c:pt>
                <c:pt idx="336">
                  <c:v>2.1630606557963801</c:v>
                </c:pt>
                <c:pt idx="337">
                  <c:v>2.9169864817612199</c:v>
                </c:pt>
                <c:pt idx="338">
                  <c:v>3.2404173108526901</c:v>
                </c:pt>
                <c:pt idx="339">
                  <c:v>6.8691270705476999</c:v>
                </c:pt>
                <c:pt idx="340">
                  <c:v>6.4114376405908304</c:v>
                </c:pt>
                <c:pt idx="341">
                  <c:v>6.9888338791655098</c:v>
                </c:pt>
                <c:pt idx="342">
                  <c:v>6.9552879453537697</c:v>
                </c:pt>
                <c:pt idx="343">
                  <c:v>6.8175656210397904</c:v>
                </c:pt>
                <c:pt idx="344">
                  <c:v>9.5125179741511001</c:v>
                </c:pt>
                <c:pt idx="345">
                  <c:v>8.7413816529687303</c:v>
                </c:pt>
                <c:pt idx="346">
                  <c:v>9.0250427915418001</c:v>
                </c:pt>
                <c:pt idx="347">
                  <c:v>8.72916070305331</c:v>
                </c:pt>
                <c:pt idx="348">
                  <c:v>8.3710886588873894</c:v>
                </c:pt>
                <c:pt idx="349">
                  <c:v>10.738976134565</c:v>
                </c:pt>
                <c:pt idx="350">
                  <c:v>9.9876143297624402</c:v>
                </c:pt>
                <c:pt idx="351">
                  <c:v>10.358561260011999</c:v>
                </c:pt>
                <c:pt idx="352">
                  <c:v>10.215767909794801</c:v>
                </c:pt>
                <c:pt idx="353">
                  <c:v>10.072503268790401</c:v>
                </c:pt>
                <c:pt idx="354">
                  <c:v>13.381472766165899</c:v>
                </c:pt>
                <c:pt idx="355">
                  <c:v>13.008817196386399</c:v>
                </c:pt>
                <c:pt idx="356">
                  <c:v>13.7704764374808</c:v>
                </c:pt>
                <c:pt idx="357">
                  <c:v>14.0167642592793</c:v>
                </c:pt>
                <c:pt idx="358">
                  <c:v>14.2470207835671</c:v>
                </c:pt>
                <c:pt idx="359">
                  <c:v>18.449031434469902</c:v>
                </c:pt>
                <c:pt idx="360">
                  <c:v>18.258296426354701</c:v>
                </c:pt>
                <c:pt idx="361">
                  <c:v>19.127862417886</c:v>
                </c:pt>
                <c:pt idx="362">
                  <c:v>19.401392451531802</c:v>
                </c:pt>
                <c:pt idx="363">
                  <c:v>19.573976714119901</c:v>
                </c:pt>
                <c:pt idx="364">
                  <c:v>23.0901773868063</c:v>
                </c:pt>
                <c:pt idx="365">
                  <c:v>22.512170377612801</c:v>
                </c:pt>
                <c:pt idx="366">
                  <c:v>22.927700222400201</c:v>
                </c:pt>
                <c:pt idx="367">
                  <c:v>22.6914576938388</c:v>
                </c:pt>
                <c:pt idx="368">
                  <c:v>22.3114884664366</c:v>
                </c:pt>
                <c:pt idx="369">
                  <c:v>24.063613451354598</c:v>
                </c:pt>
                <c:pt idx="370">
                  <c:v>22.915930076400599</c:v>
                </c:pt>
                <c:pt idx="371">
                  <c:v>22.798007472324102</c:v>
                </c:pt>
                <c:pt idx="372">
                  <c:v>22.079784187842399</c:v>
                </c:pt>
                <c:pt idx="373">
                  <c:v>21.2832061969305</c:v>
                </c:pt>
                <c:pt idx="374">
                  <c:v>22.287302047579601</c:v>
                </c:pt>
                <c:pt idx="375">
                  <c:v>21.081692457361701</c:v>
                </c:pt>
                <c:pt idx="376">
                  <c:v>21.0064929456457</c:v>
                </c:pt>
                <c:pt idx="377">
                  <c:v>20.429987566950899</c:v>
                </c:pt>
                <c:pt idx="378">
                  <c:v>19.8693324474586</c:v>
                </c:pt>
                <c:pt idx="379">
                  <c:v>21.355455184682</c:v>
                </c:pt>
                <c:pt idx="380">
                  <c:v>21.8167899629962</c:v>
                </c:pt>
                <c:pt idx="381">
                  <c:v>21.787556738571698</c:v>
                </c:pt>
                <c:pt idx="382">
                  <c:v>21.765426836987501</c:v>
                </c:pt>
                <c:pt idx="383">
                  <c:v>25.3185647765293</c:v>
                </c:pt>
                <c:pt idx="384">
                  <c:v>24.9331901218663</c:v>
                </c:pt>
                <c:pt idx="385">
                  <c:v>25.6098715769776</c:v>
                </c:pt>
                <c:pt idx="386">
                  <c:v>25.685959753854998</c:v>
                </c:pt>
                <c:pt idx="387">
                  <c:v>25.649851921544101</c:v>
                </c:pt>
                <c:pt idx="388">
                  <c:v>28.403441562930201</c:v>
                </c:pt>
                <c:pt idx="389">
                  <c:v>27.5033168182804</c:v>
                </c:pt>
                <c:pt idx="390">
                  <c:v>27.552559207254401</c:v>
                </c:pt>
                <c:pt idx="391">
                  <c:v>26.900736019051902</c:v>
                </c:pt>
                <c:pt idx="392">
                  <c:v>26.051701294448101</c:v>
                </c:pt>
                <c:pt idx="393">
                  <c:v>26.051227542006401</c:v>
                </c:pt>
                <c:pt idx="394">
                  <c:v>24.202802012404</c:v>
                </c:pt>
                <c:pt idx="395">
                  <c:v>23.328888548451001</c:v>
                </c:pt>
                <c:pt idx="396">
                  <c:v>21.803596885385801</c:v>
                </c:pt>
                <c:pt idx="397">
                  <c:v>20.154632023076701</c:v>
                </c:pt>
                <c:pt idx="398">
                  <c:v>18.410006025485199</c:v>
                </c:pt>
                <c:pt idx="399">
                  <c:v>16.257970213718199</c:v>
                </c:pt>
                <c:pt idx="400">
                  <c:v>15.2410102936526</c:v>
                </c:pt>
                <c:pt idx="401">
                  <c:v>13.740617740209601</c:v>
                </c:pt>
                <c:pt idx="402">
                  <c:v>12.287736426842701</c:v>
                </c:pt>
                <c:pt idx="403">
                  <c:v>12.1281580259975</c:v>
                </c:pt>
                <c:pt idx="404">
                  <c:v>10.804669453043701</c:v>
                </c:pt>
                <c:pt idx="405">
                  <c:v>10.740819993019899</c:v>
                </c:pt>
                <c:pt idx="406">
                  <c:v>10.297680156106701</c:v>
                </c:pt>
                <c:pt idx="407">
                  <c:v>9.9830534771394603</c:v>
                </c:pt>
                <c:pt idx="408">
                  <c:v>13.463451053314399</c:v>
                </c:pt>
                <c:pt idx="409">
                  <c:v>13.3378611813646</c:v>
                </c:pt>
                <c:pt idx="410">
                  <c:v>14.418929898499</c:v>
                </c:pt>
                <c:pt idx="411">
                  <c:v>15.0422062393164</c:v>
                </c:pt>
                <c:pt idx="412">
                  <c:v>15.692019726698801</c:v>
                </c:pt>
                <c:pt idx="413">
                  <c:v>21.2622622780647</c:v>
                </c:pt>
                <c:pt idx="414">
                  <c:v>21.5193440394142</c:v>
                </c:pt>
                <c:pt idx="415">
                  <c:v>22.813164125807099</c:v>
                </c:pt>
                <c:pt idx="416">
                  <c:v>23.4779981691252</c:v>
                </c:pt>
                <c:pt idx="417">
                  <c:v>24.001297666615201</c:v>
                </c:pt>
                <c:pt idx="418">
                  <c:v>28.277484161312898</c:v>
                </c:pt>
                <c:pt idx="419">
                  <c:v>27.848439696735301</c:v>
                </c:pt>
                <c:pt idx="420">
                  <c:v>28.361610010969201</c:v>
                </c:pt>
                <c:pt idx="421">
                  <c:v>28.1745181105846</c:v>
                </c:pt>
                <c:pt idx="422">
                  <c:v>27.7993126480666</c:v>
                </c:pt>
                <c:pt idx="423">
                  <c:v>29.354383407256499</c:v>
                </c:pt>
                <c:pt idx="424">
                  <c:v>28.091689703970701</c:v>
                </c:pt>
                <c:pt idx="425">
                  <c:v>27.845110235075801</c:v>
                </c:pt>
                <c:pt idx="426">
                  <c:v>26.990920708795699</c:v>
                </c:pt>
                <c:pt idx="427">
                  <c:v>26.0568929316204</c:v>
                </c:pt>
                <c:pt idx="428">
                  <c:v>26.6864147827811</c:v>
                </c:pt>
                <c:pt idx="429">
                  <c:v>25.379289207621301</c:v>
                </c:pt>
                <c:pt idx="430">
                  <c:v>25.216940334476899</c:v>
                </c:pt>
                <c:pt idx="431">
                  <c:v>24.567622011025801</c:v>
                </c:pt>
                <c:pt idx="432">
                  <c:v>23.947418053016602</c:v>
                </c:pt>
                <c:pt idx="433">
                  <c:v>26.008895441178201</c:v>
                </c:pt>
                <c:pt idx="434">
                  <c:v>25.276412844313398</c:v>
                </c:pt>
                <c:pt idx="435">
                  <c:v>25.700561040633598</c:v>
                </c:pt>
                <c:pt idx="436">
                  <c:v>25.6266910703707</c:v>
                </c:pt>
                <c:pt idx="437">
                  <c:v>25.5484166265949</c:v>
                </c:pt>
                <c:pt idx="438">
                  <c:v>28.830548300659999</c:v>
                </c:pt>
                <c:pt idx="439">
                  <c:v>28.3131046195445</c:v>
                </c:pt>
                <c:pt idx="440">
                  <c:v>28.835411614553799</c:v>
                </c:pt>
                <c:pt idx="441">
                  <c:v>28.503878071206</c:v>
                </c:pt>
                <c:pt idx="442">
                  <c:v>30.588489705224099</c:v>
                </c:pt>
                <c:pt idx="443">
                  <c:v>29.5918060596718</c:v>
                </c:pt>
                <c:pt idx="444">
                  <c:v>29.549778571904699</c:v>
                </c:pt>
                <c:pt idx="445">
                  <c:v>28.8191462557037</c:v>
                </c:pt>
                <c:pt idx="446">
                  <c:v>27.911203740559198</c:v>
                </c:pt>
                <c:pt idx="447">
                  <c:v>27.92669900532</c:v>
                </c:pt>
                <c:pt idx="448">
                  <c:v>26.1701149768327</c:v>
                </c:pt>
                <c:pt idx="449">
                  <c:v>25.440518184134898</c:v>
                </c:pt>
                <c:pt idx="450">
                  <c:v>24.115921459949799</c:v>
                </c:pt>
                <c:pt idx="451">
                  <c:v>22.726583991815101</c:v>
                </c:pt>
                <c:pt idx="452">
                  <c:v>22.1170487674644</c:v>
                </c:pt>
                <c:pt idx="453">
                  <c:v>20.454857417092001</c:v>
                </c:pt>
                <c:pt idx="454">
                  <c:v>19.975775279247301</c:v>
                </c:pt>
                <c:pt idx="455">
                  <c:v>19.054352354994801</c:v>
                </c:pt>
                <c:pt idx="456">
                  <c:v>18.213225161701001</c:v>
                </c:pt>
                <c:pt idx="457">
                  <c:v>19.9848272035238</c:v>
                </c:pt>
                <c:pt idx="458">
                  <c:v>19.3007718981031</c:v>
                </c:pt>
                <c:pt idx="459">
                  <c:v>19.997272448828799</c:v>
                </c:pt>
                <c:pt idx="460">
                  <c:v>20.224560576393301</c:v>
                </c:pt>
                <c:pt idx="461">
                  <c:v>24.976736921896901</c:v>
                </c:pt>
                <c:pt idx="462">
                  <c:v>25.132950312381801</c:v>
                </c:pt>
                <c:pt idx="463">
                  <c:v>27.162521701331801</c:v>
                </c:pt>
                <c:pt idx="464">
                  <c:v>27.854330236318798</c:v>
                </c:pt>
                <c:pt idx="465">
                  <c:v>33.103926839882597</c:v>
                </c:pt>
                <c:pt idx="466">
                  <c:v>33.1271342653041</c:v>
                </c:pt>
                <c:pt idx="467">
                  <c:v>34.1391199692914</c:v>
                </c:pt>
                <c:pt idx="468">
                  <c:v>34.485796853953197</c:v>
                </c:pt>
                <c:pt idx="469">
                  <c:v>34.667416702541502</c:v>
                </c:pt>
                <c:pt idx="470">
                  <c:v>37.915923968401998</c:v>
                </c:pt>
                <c:pt idx="471">
                  <c:v>37.190579069398702</c:v>
                </c:pt>
                <c:pt idx="472">
                  <c:v>37.453329862943299</c:v>
                </c:pt>
                <c:pt idx="473">
                  <c:v>37.074085373345902</c:v>
                </c:pt>
                <c:pt idx="474">
                  <c:v>36.576051980854302</c:v>
                </c:pt>
                <c:pt idx="475">
                  <c:v>37.228947390302601</c:v>
                </c:pt>
                <c:pt idx="476">
                  <c:v>37.306402142916497</c:v>
                </c:pt>
                <c:pt idx="477">
                  <c:v>36.8699423451705</c:v>
                </c:pt>
                <c:pt idx="478">
                  <c:v>36.443152787734803</c:v>
                </c:pt>
                <c:pt idx="479">
                  <c:v>39.055110862560397</c:v>
                </c:pt>
                <c:pt idx="480">
                  <c:v>38.526670401690502</c:v>
                </c:pt>
                <c:pt idx="481">
                  <c:v>39.179821819164701</c:v>
                </c:pt>
                <c:pt idx="482">
                  <c:v>39.3676209854695</c:v>
                </c:pt>
                <c:pt idx="483">
                  <c:v>39.777218463557901</c:v>
                </c:pt>
                <c:pt idx="484">
                  <c:v>44.797938662455103</c:v>
                </c:pt>
                <c:pt idx="485">
                  <c:v>44.955219037284103</c:v>
                </c:pt>
                <c:pt idx="486">
                  <c:v>46.196157854598702</c:v>
                </c:pt>
                <c:pt idx="487">
                  <c:v>46.853228382282303</c:v>
                </c:pt>
                <c:pt idx="488">
                  <c:v>47.408857496548698</c:v>
                </c:pt>
                <c:pt idx="489">
                  <c:v>51.928677442142302</c:v>
                </c:pt>
                <c:pt idx="490">
                  <c:v>51.586285479648502</c:v>
                </c:pt>
                <c:pt idx="491">
                  <c:v>52.162623843074897</c:v>
                </c:pt>
                <c:pt idx="492">
                  <c:v>51.997927933639502</c:v>
                </c:pt>
                <c:pt idx="493">
                  <c:v>51.586848011328001</c:v>
                </c:pt>
                <c:pt idx="494">
                  <c:v>50.830400019123303</c:v>
                </c:pt>
                <c:pt idx="495">
                  <c:v>50.029789972399001</c:v>
                </c:pt>
                <c:pt idx="496">
                  <c:v>48.487688473232097</c:v>
                </c:pt>
                <c:pt idx="497">
                  <c:v>46.729033354153302</c:v>
                </c:pt>
                <c:pt idx="498">
                  <c:v>44.0935461051129</c:v>
                </c:pt>
                <c:pt idx="499">
                  <c:v>41.4638832394266</c:v>
                </c:pt>
                <c:pt idx="500">
                  <c:v>39.8863369304839</c:v>
                </c:pt>
                <c:pt idx="501">
                  <c:v>37.749204016073698</c:v>
                </c:pt>
                <c:pt idx="502">
                  <c:v>35.591712360773698</c:v>
                </c:pt>
                <c:pt idx="503">
                  <c:v>33.011955264347698</c:v>
                </c:pt>
                <c:pt idx="504">
                  <c:v>30.819593959726301</c:v>
                </c:pt>
                <c:pt idx="505">
                  <c:v>29.877540975309</c:v>
                </c:pt>
                <c:pt idx="506">
                  <c:v>28.560657249370099</c:v>
                </c:pt>
                <c:pt idx="507">
                  <c:v>27.390704491987599</c:v>
                </c:pt>
                <c:pt idx="508">
                  <c:v>28.552592457890299</c:v>
                </c:pt>
                <c:pt idx="509">
                  <c:v>27.779739130696001</c:v>
                </c:pt>
                <c:pt idx="510">
                  <c:v>28.295774757977501</c:v>
                </c:pt>
                <c:pt idx="511">
                  <c:v>28.446206057748299</c:v>
                </c:pt>
                <c:pt idx="512">
                  <c:v>28.7239166327163</c:v>
                </c:pt>
                <c:pt idx="513">
                  <c:v>33.843687815916901</c:v>
                </c:pt>
                <c:pt idx="514">
                  <c:v>34.184208198708802</c:v>
                </c:pt>
                <c:pt idx="515">
                  <c:v>35.679454300166199</c:v>
                </c:pt>
                <c:pt idx="516">
                  <c:v>36.661591316540999</c:v>
                </c:pt>
                <c:pt idx="517">
                  <c:v>37.614113503504903</c:v>
                </c:pt>
                <c:pt idx="518">
                  <c:v>43.783934306043797</c:v>
                </c:pt>
                <c:pt idx="519">
                  <c:v>44.158447153916399</c:v>
                </c:pt>
                <c:pt idx="520">
                  <c:v>45.543196171571701</c:v>
                </c:pt>
                <c:pt idx="521">
                  <c:v>46.283222901416003</c:v>
                </c:pt>
                <c:pt idx="522">
                  <c:v>46.877442125734802</c:v>
                </c:pt>
                <c:pt idx="523">
                  <c:v>51.456059059758999</c:v>
                </c:pt>
                <c:pt idx="524">
                  <c:v>51.410012969592799</c:v>
                </c:pt>
                <c:pt idx="525">
                  <c:v>52.353457459125799</c:v>
                </c:pt>
                <c:pt idx="526">
                  <c:v>52.650037341105097</c:v>
                </c:pt>
                <c:pt idx="527">
                  <c:v>52.815807631639501</c:v>
                </c:pt>
                <c:pt idx="528">
                  <c:v>56.339325183861</c:v>
                </c:pt>
                <c:pt idx="529">
                  <c:v>55.835461717815797</c:v>
                </c:pt>
                <c:pt idx="530">
                  <c:v>56.386387559220601</c:v>
                </c:pt>
                <c:pt idx="531">
                  <c:v>56.357238288825201</c:v>
                </c:pt>
                <c:pt idx="532">
                  <c:v>59.3434667767945</c:v>
                </c:pt>
                <c:pt idx="533">
                  <c:v>58.775788198445902</c:v>
                </c:pt>
                <c:pt idx="534">
                  <c:v>59.2860643563221</c:v>
                </c:pt>
                <c:pt idx="535">
                  <c:v>59.226647712437497</c:v>
                </c:pt>
                <c:pt idx="536">
                  <c:v>59.099045018811204</c:v>
                </c:pt>
                <c:pt idx="537">
                  <c:v>61.9385188093691</c:v>
                </c:pt>
                <c:pt idx="538">
                  <c:v>61.206165636625997</c:v>
                </c:pt>
                <c:pt idx="539">
                  <c:v>61.495327566286903</c:v>
                </c:pt>
                <c:pt idx="540">
                  <c:v>61.1529391947875</c:v>
                </c:pt>
                <c:pt idx="541">
                  <c:v>60.6775682183751</c:v>
                </c:pt>
                <c:pt idx="542">
                  <c:v>62.095274592653503</c:v>
                </c:pt>
                <c:pt idx="543">
                  <c:v>60.779539782527799</c:v>
                </c:pt>
                <c:pt idx="544">
                  <c:v>60.445167817438602</c:v>
                </c:pt>
                <c:pt idx="545">
                  <c:v>59.451107134481802</c:v>
                </c:pt>
                <c:pt idx="546">
                  <c:v>58.309666269936898</c:v>
                </c:pt>
                <c:pt idx="547">
                  <c:v>57.797304064162603</c:v>
                </c:pt>
                <c:pt idx="548">
                  <c:v>55.914863326204802</c:v>
                </c:pt>
                <c:pt idx="549">
                  <c:v>55.078566495409397</c:v>
                </c:pt>
                <c:pt idx="550">
                  <c:v>53.661895123801997</c:v>
                </c:pt>
                <c:pt idx="551">
                  <c:v>52.190146829830198</c:v>
                </c:pt>
                <c:pt idx="552">
                  <c:v>51.3391514147268</c:v>
                </c:pt>
                <c:pt idx="553">
                  <c:v>49.581435402600697</c:v>
                </c:pt>
                <c:pt idx="554">
                  <c:v>48.991682121388202</c:v>
                </c:pt>
                <c:pt idx="555">
                  <c:v>47.940726640732699</c:v>
                </c:pt>
                <c:pt idx="556">
                  <c:v>46.948266692921102</c:v>
                </c:pt>
                <c:pt idx="557">
                  <c:v>48.119545878454403</c:v>
                </c:pt>
                <c:pt idx="558">
                  <c:v>47.186536124697497</c:v>
                </c:pt>
                <c:pt idx="559">
                  <c:v>47.470013983211501</c:v>
                </c:pt>
                <c:pt idx="560">
                  <c:v>47.322827755607499</c:v>
                </c:pt>
                <c:pt idx="561">
                  <c:v>47.246080213856303</c:v>
                </c:pt>
                <c:pt idx="562">
                  <c:v>50.9017428059894</c:v>
                </c:pt>
                <c:pt idx="563">
                  <c:v>51.895581952375501</c:v>
                </c:pt>
                <c:pt idx="564">
                  <c:v>52.4004031496058</c:v>
                </c:pt>
                <c:pt idx="565">
                  <c:v>52.881353651858397</c:v>
                </c:pt>
                <c:pt idx="566">
                  <c:v>57.739901486328101</c:v>
                </c:pt>
                <c:pt idx="567">
                  <c:v>57.730570147446699</c:v>
                </c:pt>
                <c:pt idx="568">
                  <c:v>58.765293916731203</c:v>
                </c:pt>
                <c:pt idx="569">
                  <c:v>59.192162958399202</c:v>
                </c:pt>
                <c:pt idx="570">
                  <c:v>59.512377016461897</c:v>
                </c:pt>
                <c:pt idx="571">
                  <c:v>63.517309268329697</c:v>
                </c:pt>
                <c:pt idx="572">
                  <c:v>63.148052951121997</c:v>
                </c:pt>
                <c:pt idx="573">
                  <c:v>63.811104765883798</c:v>
                </c:pt>
                <c:pt idx="574">
                  <c:v>63.870169861378997</c:v>
                </c:pt>
                <c:pt idx="575">
                  <c:v>63.841435661383102</c:v>
                </c:pt>
                <c:pt idx="576">
                  <c:v>67.044110623319298</c:v>
                </c:pt>
                <c:pt idx="577">
                  <c:v>66.524055525994598</c:v>
                </c:pt>
                <c:pt idx="578">
                  <c:v>67.106782035956797</c:v>
                </c:pt>
                <c:pt idx="579">
                  <c:v>67.159646985200794</c:v>
                </c:pt>
                <c:pt idx="580">
                  <c:v>67.199923840056698</c:v>
                </c:pt>
                <c:pt idx="581">
                  <c:v>71.034052630959295</c:v>
                </c:pt>
                <c:pt idx="582">
                  <c:v>70.845419830468899</c:v>
                </c:pt>
                <c:pt idx="583">
                  <c:v>71.804797275943699</c:v>
                </c:pt>
                <c:pt idx="584">
                  <c:v>72.268076846727098</c:v>
                </c:pt>
                <c:pt idx="585">
                  <c:v>72.740050269712796</c:v>
                </c:pt>
                <c:pt idx="586">
                  <c:v>77.865838058185005</c:v>
                </c:pt>
                <c:pt idx="587">
                  <c:v>78.063854245897602</c:v>
                </c:pt>
                <c:pt idx="588">
                  <c:v>79.368496705341997</c:v>
                </c:pt>
                <c:pt idx="589">
                  <c:v>80.125974296109803</c:v>
                </c:pt>
                <c:pt idx="590">
                  <c:v>86.263098605545096</c:v>
                </c:pt>
                <c:pt idx="591">
                  <c:v>86.424169973114303</c:v>
                </c:pt>
                <c:pt idx="592">
                  <c:v>87.626286546771098</c:v>
                </c:pt>
                <c:pt idx="593">
                  <c:v>88.221156259834601</c:v>
                </c:pt>
                <c:pt idx="594">
                  <c:v>88.713161729574296</c:v>
                </c:pt>
                <c:pt idx="595">
                  <c:v>93.281245711089497</c:v>
                </c:pt>
                <c:pt idx="596">
                  <c:v>93.121693362875604</c:v>
                </c:pt>
                <c:pt idx="597">
                  <c:v>94.007352474060099</c:v>
                </c:pt>
                <c:pt idx="598">
                  <c:v>94.302429062800499</c:v>
                </c:pt>
                <c:pt idx="599">
                  <c:v>94.523206573849606</c:v>
                </c:pt>
                <c:pt idx="600">
                  <c:v>98.550764469068596</c:v>
                </c:pt>
                <c:pt idx="601">
                  <c:v>98.327860180259904</c:v>
                </c:pt>
                <c:pt idx="602">
                  <c:v>99.216431663663897</c:v>
                </c:pt>
                <c:pt idx="603">
                  <c:v>99.581982261798302</c:v>
                </c:pt>
                <c:pt idx="604">
                  <c:v>99.943132517556805</c:v>
                </c:pt>
                <c:pt idx="605">
                  <c:v>104.744228423286</c:v>
                </c:pt>
                <c:pt idx="606">
                  <c:v>104.870440699339</c:v>
                </c:pt>
                <c:pt idx="607">
                  <c:v>106.136105726342</c:v>
                </c:pt>
                <c:pt idx="608">
                  <c:v>106.89406777376701</c:v>
                </c:pt>
                <c:pt idx="609">
                  <c:v>107.646009105017</c:v>
                </c:pt>
                <c:pt idx="610">
                  <c:v>113.492127458998</c:v>
                </c:pt>
                <c:pt idx="611">
                  <c:v>113.88017951096801</c:v>
                </c:pt>
                <c:pt idx="612">
                  <c:v>115.344970997017</c:v>
                </c:pt>
                <c:pt idx="613">
                  <c:v>116.230055541716</c:v>
                </c:pt>
                <c:pt idx="614">
                  <c:v>117.029901067446</c:v>
                </c:pt>
                <c:pt idx="615">
                  <c:v>122.508551093791</c:v>
                </c:pt>
                <c:pt idx="616">
                  <c:v>122.60486493891401</c:v>
                </c:pt>
                <c:pt idx="617">
                  <c:v>123.70054226740299</c:v>
                </c:pt>
                <c:pt idx="618">
                  <c:v>124.14733042452001</c:v>
                </c:pt>
                <c:pt idx="619">
                  <c:v>124.45019227333</c:v>
                </c:pt>
                <c:pt idx="620">
                  <c:v>128.21868220681699</c:v>
                </c:pt>
                <c:pt idx="621">
                  <c:v>127.72274070952101</c:v>
                </c:pt>
                <c:pt idx="622">
                  <c:v>128.24217977849</c:v>
                </c:pt>
                <c:pt idx="623">
                  <c:v>128.14498795407701</c:v>
                </c:pt>
                <c:pt idx="624">
                  <c:v>127.951637231387</c:v>
                </c:pt>
                <c:pt idx="625">
                  <c:v>130.65202048014601</c:v>
                </c:pt>
                <c:pt idx="626">
                  <c:v>129.97476882037299</c:v>
                </c:pt>
                <c:pt idx="627">
                  <c:v>130.41122874994301</c:v>
                </c:pt>
                <c:pt idx="628">
                  <c:v>130.33162979263699</c:v>
                </c:pt>
                <c:pt idx="629">
                  <c:v>130.25557558687601</c:v>
                </c:pt>
                <c:pt idx="630">
                  <c:v>133.85072576814801</c:v>
                </c:pt>
                <c:pt idx="631">
                  <c:v>133.619562492932</c:v>
                </c:pt>
                <c:pt idx="632">
                  <c:v>134.55298816556601</c:v>
                </c:pt>
                <c:pt idx="633">
                  <c:v>135.00427487721501</c:v>
                </c:pt>
                <c:pt idx="634">
                  <c:v>135.47461379553999</c:v>
                </c:pt>
                <c:pt idx="635">
                  <c:v>140.79052022654599</c:v>
                </c:pt>
                <c:pt idx="636">
                  <c:v>142.05930603580401</c:v>
                </c:pt>
                <c:pt idx="637">
                  <c:v>142.75164072734901</c:v>
                </c:pt>
                <c:pt idx="638">
                  <c:v>143.35579901830599</c:v>
                </c:pt>
                <c:pt idx="639">
                  <c:v>148.16252978001501</c:v>
                </c:pt>
                <c:pt idx="640">
                  <c:v>147.983613220656</c:v>
                </c:pt>
                <c:pt idx="641">
                  <c:v>148.767322930538</c:v>
                </c:pt>
                <c:pt idx="642">
                  <c:v>148.85937881890399</c:v>
                </c:pt>
                <c:pt idx="643">
                  <c:v>148.75941571604099</c:v>
                </c:pt>
                <c:pt idx="644">
                  <c:v>150.99192703433999</c:v>
                </c:pt>
                <c:pt idx="645">
                  <c:v>149.867753527329</c:v>
                </c:pt>
                <c:pt idx="646">
                  <c:v>149.70072800624601</c:v>
                </c:pt>
                <c:pt idx="647">
                  <c:v>148.861029047946</c:v>
                </c:pt>
                <c:pt idx="648">
                  <c:v>147.87290136694301</c:v>
                </c:pt>
                <c:pt idx="649">
                  <c:v>147.93672508969101</c:v>
                </c:pt>
                <c:pt idx="650">
                  <c:v>146.32452041667699</c:v>
                </c:pt>
                <c:pt idx="651">
                  <c:v>145.81536056090101</c:v>
                </c:pt>
                <c:pt idx="652">
                  <c:v>144.79162491613599</c:v>
                </c:pt>
                <c:pt idx="653">
                  <c:v>143.78594128481001</c:v>
                </c:pt>
                <c:pt idx="654">
                  <c:v>144.81757427397</c:v>
                </c:pt>
                <c:pt idx="655">
                  <c:v>143.85397594900601</c:v>
                </c:pt>
                <c:pt idx="656">
                  <c:v>144.13890906601699</c:v>
                </c:pt>
                <c:pt idx="657">
                  <c:v>144.038447507928</c:v>
                </c:pt>
                <c:pt idx="658">
                  <c:v>144.06556201360601</c:v>
                </c:pt>
                <c:pt idx="659">
                  <c:v>148.616837336781</c:v>
                </c:pt>
                <c:pt idx="660">
                  <c:v>148.879443686879</c:v>
                </c:pt>
                <c:pt idx="661">
                  <c:v>150.371356246348</c:v>
                </c:pt>
                <c:pt idx="662">
                  <c:v>151.43151622034901</c:v>
                </c:pt>
                <c:pt idx="663">
                  <c:v>152.54696408217001</c:v>
                </c:pt>
                <c:pt idx="664">
                  <c:v>159.702189830262</c:v>
                </c:pt>
                <c:pt idx="665">
                  <c:v>160.55140115056301</c:v>
                </c:pt>
                <c:pt idx="666">
                  <c:v>162.46775020657901</c:v>
                </c:pt>
                <c:pt idx="667">
                  <c:v>163.78343349314099</c:v>
                </c:pt>
                <c:pt idx="668">
                  <c:v>164.98311544386999</c:v>
                </c:pt>
                <c:pt idx="669">
                  <c:v>171.40499800661701</c:v>
                </c:pt>
                <c:pt idx="670">
                  <c:v>171.715649066026</c:v>
                </c:pt>
                <c:pt idx="671">
                  <c:v>172.97290127584299</c:v>
                </c:pt>
                <c:pt idx="672">
                  <c:v>173.52945784021401</c:v>
                </c:pt>
                <c:pt idx="673">
                  <c:v>173.89276238439999</c:v>
                </c:pt>
                <c:pt idx="674">
                  <c:v>177.58991388173601</c:v>
                </c:pt>
                <c:pt idx="675">
                  <c:v>177.00484801874401</c:v>
                </c:pt>
                <c:pt idx="676">
                  <c:v>177.413225604057</c:v>
                </c:pt>
                <c:pt idx="677">
                  <c:v>177.189687756702</c:v>
                </c:pt>
                <c:pt idx="678">
                  <c:v>176.86113682671899</c:v>
                </c:pt>
                <c:pt idx="679">
                  <c:v>179.159041349071</c:v>
                </c:pt>
                <c:pt idx="680">
                  <c:v>178.36345426800199</c:v>
                </c:pt>
                <c:pt idx="681">
                  <c:v>178.69443827587801</c:v>
                </c:pt>
                <c:pt idx="682">
                  <c:v>178.52356736996001</c:v>
                </c:pt>
                <c:pt idx="683">
                  <c:v>178.370685749807</c:v>
                </c:pt>
                <c:pt idx="684">
                  <c:v>181.80908282027599</c:v>
                </c:pt>
                <c:pt idx="685">
                  <c:v>181.54159041276</c:v>
                </c:pt>
                <c:pt idx="686">
                  <c:v>182.440691432585</c:v>
                </c:pt>
                <c:pt idx="687">
                  <c:v>182.85550271328</c:v>
                </c:pt>
                <c:pt idx="688">
                  <c:v>183.282967034309</c:v>
                </c:pt>
                <c:pt idx="689">
                  <c:v>188.209367203689</c:v>
                </c:pt>
                <c:pt idx="690">
                  <c:v>188.287222526807</c:v>
                </c:pt>
                <c:pt idx="691">
                  <c:v>189.429010071627</c:v>
                </c:pt>
                <c:pt idx="692">
                  <c:v>190.40502281249599</c:v>
                </c:pt>
                <c:pt idx="693">
                  <c:v>194.58895203032</c:v>
                </c:pt>
                <c:pt idx="694">
                  <c:v>194.17878435011301</c:v>
                </c:pt>
                <c:pt idx="695">
                  <c:v>194.72828569369199</c:v>
                </c:pt>
                <c:pt idx="696">
                  <c:v>194.58969816321101</c:v>
                </c:pt>
                <c:pt idx="697">
                  <c:v>194.26972510983299</c:v>
                </c:pt>
                <c:pt idx="698">
                  <c:v>195.98015230244201</c:v>
                </c:pt>
                <c:pt idx="699">
                  <c:v>194.75208252014701</c:v>
                </c:pt>
                <c:pt idx="700">
                  <c:v>194.527136206731</c:v>
                </c:pt>
                <c:pt idx="701">
                  <c:v>193.680825374661</c:v>
                </c:pt>
                <c:pt idx="702">
                  <c:v>192.741608351889</c:v>
                </c:pt>
                <c:pt idx="703">
                  <c:v>193.30695310322301</c:v>
                </c:pt>
                <c:pt idx="704">
                  <c:v>191.97970502514201</c:v>
                </c:pt>
                <c:pt idx="705">
                  <c:v>191.810076326461</c:v>
                </c:pt>
                <c:pt idx="706">
                  <c:v>191.175409187181</c:v>
                </c:pt>
                <c:pt idx="707">
                  <c:v>190.601755755472</c:v>
                </c:pt>
                <c:pt idx="708">
                  <c:v>193.101510045521</c:v>
                </c:pt>
                <c:pt idx="709">
                  <c:v>192.650824785981</c:v>
                </c:pt>
                <c:pt idx="710">
                  <c:v>193.441815041225</c:v>
                </c:pt>
                <c:pt idx="711">
                  <c:v>193.828956239365</c:v>
                </c:pt>
                <c:pt idx="712">
                  <c:v>199.95348050689199</c:v>
                </c:pt>
                <c:pt idx="713">
                  <c:v>200.45404884309201</c:v>
                </c:pt>
                <c:pt idx="714">
                  <c:v>202.1100658167</c:v>
                </c:pt>
                <c:pt idx="715">
                  <c:v>203.25621781089501</c:v>
                </c:pt>
                <c:pt idx="716">
                  <c:v>211.07566736180399</c:v>
                </c:pt>
                <c:pt idx="717">
                  <c:v>211.628183978409</c:v>
                </c:pt>
                <c:pt idx="718">
                  <c:v>213.18739983623999</c:v>
                </c:pt>
                <c:pt idx="719">
                  <c:v>214.09529676946201</c:v>
                </c:pt>
                <c:pt idx="720">
                  <c:v>214.84783937055801</c:v>
                </c:pt>
                <c:pt idx="721">
                  <c:v>219.821847565474</c:v>
                </c:pt>
                <c:pt idx="722">
                  <c:v>219.660833804757</c:v>
                </c:pt>
                <c:pt idx="723">
                  <c:v>220.475471319881</c:v>
                </c:pt>
                <c:pt idx="724">
                  <c:v>220.632029292938</c:v>
                </c:pt>
                <c:pt idx="725">
                  <c:v>220.33393410864801</c:v>
                </c:pt>
                <c:pt idx="726">
                  <c:v>221.55657297008901</c:v>
                </c:pt>
                <c:pt idx="727">
                  <c:v>221.716101728674</c:v>
                </c:pt>
                <c:pt idx="728">
                  <c:v>221.33921812114301</c:v>
                </c:pt>
                <c:pt idx="729">
                  <c:v>220.951685025307</c:v>
                </c:pt>
                <c:pt idx="730">
                  <c:v>223.59120650574701</c:v>
                </c:pt>
                <c:pt idx="731">
                  <c:v>223.05511719876</c:v>
                </c:pt>
                <c:pt idx="732">
                  <c:v>223.69974927369901</c:v>
                </c:pt>
                <c:pt idx="733">
                  <c:v>223.882974207628</c:v>
                </c:pt>
                <c:pt idx="734">
                  <c:v>224.10969413320001</c:v>
                </c:pt>
                <c:pt idx="735">
                  <c:v>228.67944685081</c:v>
                </c:pt>
                <c:pt idx="736">
                  <c:v>228.73206642171201</c:v>
                </c:pt>
                <c:pt idx="737">
                  <c:v>229.896342863027</c:v>
                </c:pt>
                <c:pt idx="738">
                  <c:v>230.50680825279201</c:v>
                </c:pt>
                <c:pt idx="739">
                  <c:v>231.04714792738201</c:v>
                </c:pt>
                <c:pt idx="740">
                  <c:v>235.708746371058</c:v>
                </c:pt>
                <c:pt idx="741">
                  <c:v>235.471748305566</c:v>
                </c:pt>
                <c:pt idx="742">
                  <c:v>236.17825884416001</c:v>
                </c:pt>
                <c:pt idx="743">
                  <c:v>236.16480653657899</c:v>
                </c:pt>
                <c:pt idx="744">
                  <c:v>235.92169593388701</c:v>
                </c:pt>
                <c:pt idx="745">
                  <c:v>235.90155351746901</c:v>
                </c:pt>
                <c:pt idx="746">
                  <c:v>235.273302140841</c:v>
                </c:pt>
                <c:pt idx="747">
                  <c:v>233.887695486371</c:v>
                </c:pt>
                <c:pt idx="748">
                  <c:v>232.26446410904799</c:v>
                </c:pt>
                <c:pt idx="749">
                  <c:v>229.8640371914</c:v>
                </c:pt>
                <c:pt idx="750">
                  <c:v>227.243944432826</c:v>
                </c:pt>
                <c:pt idx="751">
                  <c:v>225.637639862849</c:v>
                </c:pt>
                <c:pt idx="752">
                  <c:v>223.432340797856</c:v>
                </c:pt>
                <c:pt idx="753">
                  <c:v>221.16709586386901</c:v>
                </c:pt>
                <c:pt idx="754">
                  <c:v>218.038125339781</c:v>
                </c:pt>
                <c:pt idx="755">
                  <c:v>215.595422612692</c:v>
                </c:pt>
                <c:pt idx="756">
                  <c:v>214.375280963081</c:v>
                </c:pt>
                <c:pt idx="757">
                  <c:v>212.75702060507501</c:v>
                </c:pt>
                <c:pt idx="758">
                  <c:v>211.26732315677501</c:v>
                </c:pt>
                <c:pt idx="759">
                  <c:v>211.41315158615399</c:v>
                </c:pt>
                <c:pt idx="760">
                  <c:v>210.30090440102401</c:v>
                </c:pt>
                <c:pt idx="761">
                  <c:v>210.48605229196701</c:v>
                </c:pt>
                <c:pt idx="762">
                  <c:v>210.31899006606099</c:v>
                </c:pt>
                <c:pt idx="763">
                  <c:v>210.29703923136299</c:v>
                </c:pt>
                <c:pt idx="764">
                  <c:v>214.66046092583801</c:v>
                </c:pt>
                <c:pt idx="765">
                  <c:v>214.80488280843301</c:v>
                </c:pt>
                <c:pt idx="766">
                  <c:v>216.13441736192101</c:v>
                </c:pt>
                <c:pt idx="767">
                  <c:v>216.98150746195199</c:v>
                </c:pt>
                <c:pt idx="768">
                  <c:v>217.82917597418501</c:v>
                </c:pt>
                <c:pt idx="769">
                  <c:v>223.85060097644899</c:v>
                </c:pt>
                <c:pt idx="770">
                  <c:v>224.22309407409199</c:v>
                </c:pt>
                <c:pt idx="771">
                  <c:v>225.624410943475</c:v>
                </c:pt>
                <c:pt idx="772">
                  <c:v>226.39602954823599</c:v>
                </c:pt>
                <c:pt idx="773">
                  <c:v>227.03313603882</c:v>
                </c:pt>
                <c:pt idx="774">
                  <c:v>231.770828503198</c:v>
                </c:pt>
                <c:pt idx="775">
                  <c:v>231.55933204554901</c:v>
                </c:pt>
                <c:pt idx="776">
                  <c:v>232.33140266911499</c:v>
                </c:pt>
                <c:pt idx="777">
                  <c:v>232.448210129307</c:v>
                </c:pt>
                <c:pt idx="778">
                  <c:v>235.30303819392799</c:v>
                </c:pt>
                <c:pt idx="779">
                  <c:v>234.55874329096201</c:v>
                </c:pt>
                <c:pt idx="780">
                  <c:v>234.85725431469299</c:v>
                </c:pt>
                <c:pt idx="781">
                  <c:v>234.56496261047701</c:v>
                </c:pt>
                <c:pt idx="782">
                  <c:v>234.19817757578599</c:v>
                </c:pt>
                <c:pt idx="783">
                  <c:v>236.42953457868299</c:v>
                </c:pt>
                <c:pt idx="784">
                  <c:v>235.57582924639399</c:v>
                </c:pt>
                <c:pt idx="785">
                  <c:v>235.80282494772399</c:v>
                </c:pt>
                <c:pt idx="786">
                  <c:v>235.465266006658</c:v>
                </c:pt>
                <c:pt idx="787">
                  <c:v>235.06684396719299</c:v>
                </c:pt>
                <c:pt idx="788">
                  <c:v>237.15487401533599</c:v>
                </c:pt>
                <c:pt idx="789">
                  <c:v>236.196030802309</c:v>
                </c:pt>
                <c:pt idx="790">
                  <c:v>236.271345795955</c:v>
                </c:pt>
                <c:pt idx="791">
                  <c:v>235.727382795403</c:v>
                </c:pt>
                <c:pt idx="792">
                  <c:v>235.06182897977999</c:v>
                </c:pt>
                <c:pt idx="793">
                  <c:v>235.96141532186701</c:v>
                </c:pt>
                <c:pt idx="794">
                  <c:v>234.48309008527099</c:v>
                </c:pt>
                <c:pt idx="795">
                  <c:v>233.98670241777199</c:v>
                </c:pt>
                <c:pt idx="796">
                  <c:v>232.82819284326001</c:v>
                </c:pt>
                <c:pt idx="797">
                  <c:v>231.51677407995501</c:v>
                </c:pt>
                <c:pt idx="798">
                  <c:v>230.43100917005199</c:v>
                </c:pt>
                <c:pt idx="799">
                  <c:v>228.32705116430901</c:v>
                </c:pt>
                <c:pt idx="800">
                  <c:v>227.25017114170299</c:v>
                </c:pt>
                <c:pt idx="801">
                  <c:v>225.57212837820401</c:v>
                </c:pt>
                <c:pt idx="802">
                  <c:v>223.81698491377</c:v>
                </c:pt>
                <c:pt idx="803">
                  <c:v>221.979391015109</c:v>
                </c:pt>
                <c:pt idx="804">
                  <c:v>219.84872281921</c:v>
                </c:pt>
                <c:pt idx="805">
                  <c:v>218.866050670823</c:v>
                </c:pt>
                <c:pt idx="806">
                  <c:v>217.404227901073</c:v>
                </c:pt>
                <c:pt idx="807">
                  <c:v>215.98541841407999</c:v>
                </c:pt>
                <c:pt idx="808">
                  <c:v>215.81467460710701</c:v>
                </c:pt>
                <c:pt idx="809">
                  <c:v>214.42447945038501</c:v>
                </c:pt>
                <c:pt idx="810">
                  <c:v>214.251690194708</c:v>
                </c:pt>
                <c:pt idx="811">
                  <c:v>213.652618895404</c:v>
                </c:pt>
                <c:pt idx="812">
                  <c:v>213.131672232624</c:v>
                </c:pt>
                <c:pt idx="813">
                  <c:v>215.67964912583301</c:v>
                </c:pt>
                <c:pt idx="814">
                  <c:v>215.14310894182199</c:v>
                </c:pt>
                <c:pt idx="815">
                  <c:v>215.76937690110199</c:v>
                </c:pt>
                <c:pt idx="816">
                  <c:v>215.900055834586</c:v>
                </c:pt>
                <c:pt idx="817">
                  <c:v>216.02692335517901</c:v>
                </c:pt>
                <c:pt idx="818">
                  <c:v>219.64660276038401</c:v>
                </c:pt>
                <c:pt idx="819">
                  <c:v>220.41291559628601</c:v>
                </c:pt>
                <c:pt idx="820">
                  <c:v>220.582459136957</c:v>
                </c:pt>
                <c:pt idx="821">
                  <c:v>220.65367062655201</c:v>
                </c:pt>
                <c:pt idx="822">
                  <c:v>223.932056400497</c:v>
                </c:pt>
                <c:pt idx="823">
                  <c:v>223.31762691978199</c:v>
                </c:pt>
                <c:pt idx="824">
                  <c:v>223.72942057022999</c:v>
                </c:pt>
                <c:pt idx="825">
                  <c:v>223.528750630703</c:v>
                </c:pt>
                <c:pt idx="826">
                  <c:v>223.229753769024</c:v>
                </c:pt>
                <c:pt idx="827">
                  <c:v>225.54419076215501</c:v>
                </c:pt>
                <c:pt idx="828">
                  <c:v>224.69979460326101</c:v>
                </c:pt>
                <c:pt idx="829">
                  <c:v>224.94403681549201</c:v>
                </c:pt>
                <c:pt idx="830">
                  <c:v>224.64498155736999</c:v>
                </c:pt>
                <c:pt idx="831">
                  <c:v>224.32105078379601</c:v>
                </c:pt>
                <c:pt idx="832">
                  <c:v>227.00593512980601</c:v>
                </c:pt>
                <c:pt idx="833">
                  <c:v>226.42248505387201</c:v>
                </c:pt>
                <c:pt idx="834">
                  <c:v>226.985208131272</c:v>
                </c:pt>
                <c:pt idx="835">
                  <c:v>227.05252285765201</c:v>
                </c:pt>
                <c:pt idx="836">
                  <c:v>227.13170326250901</c:v>
                </c:pt>
                <c:pt idx="837">
                  <c:v>231.120628345661</c:v>
                </c:pt>
                <c:pt idx="838">
                  <c:v>230.959743606806</c:v>
                </c:pt>
                <c:pt idx="839">
                  <c:v>231.91776953119901</c:v>
                </c:pt>
                <c:pt idx="840">
                  <c:v>232.34166596934901</c:v>
                </c:pt>
                <c:pt idx="841">
                  <c:v>232.728626651643</c:v>
                </c:pt>
                <c:pt idx="842">
                  <c:v>237.162878006619</c:v>
                </c:pt>
                <c:pt idx="843">
                  <c:v>238.10096004301599</c:v>
                </c:pt>
                <c:pt idx="844">
                  <c:v>238.43829318122499</c:v>
                </c:pt>
                <c:pt idx="845">
                  <c:v>238.82065744967699</c:v>
                </c:pt>
                <c:pt idx="846">
                  <c:v>243.061649254694</c:v>
                </c:pt>
                <c:pt idx="847">
                  <c:v>242.785766212732</c:v>
                </c:pt>
                <c:pt idx="848">
                  <c:v>243.547785360511</c:v>
                </c:pt>
                <c:pt idx="849">
                  <c:v>243.710053465084</c:v>
                </c:pt>
                <c:pt idx="850">
                  <c:v>243.78731237481699</c:v>
                </c:pt>
                <c:pt idx="851">
                  <c:v>247.31045381936701</c:v>
                </c:pt>
                <c:pt idx="852">
                  <c:v>246.893761490797</c:v>
                </c:pt>
                <c:pt idx="853">
                  <c:v>247.57634180957999</c:v>
                </c:pt>
                <c:pt idx="854">
                  <c:v>247.724741549025</c:v>
                </c:pt>
                <c:pt idx="855">
                  <c:v>247.85559348428501</c:v>
                </c:pt>
                <c:pt idx="856">
                  <c:v>251.92731024954699</c:v>
                </c:pt>
                <c:pt idx="857">
                  <c:v>251.80543716599999</c:v>
                </c:pt>
                <c:pt idx="858">
                  <c:v>252.824855176559</c:v>
                </c:pt>
                <c:pt idx="859">
                  <c:v>253.341055877542</c:v>
                </c:pt>
                <c:pt idx="860">
                  <c:v>253.858286114935</c:v>
                </c:pt>
                <c:pt idx="861">
                  <c:v>259.065226366047</c:v>
                </c:pt>
                <c:pt idx="862">
                  <c:v>259.26789507247798</c:v>
                </c:pt>
                <c:pt idx="863">
                  <c:v>260.56316685661801</c:v>
                </c:pt>
                <c:pt idx="864">
                  <c:v>261.29511763010697</c:v>
                </c:pt>
                <c:pt idx="865">
                  <c:v>261.95823389986901</c:v>
                </c:pt>
                <c:pt idx="866">
                  <c:v>267.11767110129102</c:v>
                </c:pt>
                <c:pt idx="867">
                  <c:v>267.13299782777602</c:v>
                </c:pt>
                <c:pt idx="868">
                  <c:v>268.15686443646399</c:v>
                </c:pt>
                <c:pt idx="869">
                  <c:v>268.53837208899199</c:v>
                </c:pt>
                <c:pt idx="870">
                  <c:v>268.77958912074899</c:v>
                </c:pt>
                <c:pt idx="871">
                  <c:v>272.35414225773002</c:v>
                </c:pt>
                <c:pt idx="872">
                  <c:v>271.78032121795002</c:v>
                </c:pt>
                <c:pt idx="873">
                  <c:v>272.21050317915802</c:v>
                </c:pt>
                <c:pt idx="874">
                  <c:v>272.01022825328403</c:v>
                </c:pt>
                <c:pt idx="875">
                  <c:v>271.697909521383</c:v>
                </c:pt>
                <c:pt idx="876">
                  <c:v>273.93272623448303</c:v>
                </c:pt>
                <c:pt idx="877">
                  <c:v>273.06235932540602</c:v>
                </c:pt>
                <c:pt idx="878">
                  <c:v>273.28735223464997</c:v>
                </c:pt>
                <c:pt idx="879">
                  <c:v>272.97918592244901</c:v>
                </c:pt>
                <c:pt idx="880">
                  <c:v>272.65927572119199</c:v>
                </c:pt>
                <c:pt idx="881">
                  <c:v>275.45659979048702</c:v>
                </c:pt>
                <c:pt idx="882">
                  <c:v>274.94785915186498</c:v>
                </c:pt>
                <c:pt idx="883">
                  <c:v>275.60378816596</c:v>
                </c:pt>
                <c:pt idx="884">
                  <c:v>275.781390274736</c:v>
                </c:pt>
                <c:pt idx="885">
                  <c:v>276.00042670806801</c:v>
                </c:pt>
                <c:pt idx="886">
                  <c:v>280.45343503593</c:v>
                </c:pt>
                <c:pt idx="887">
                  <c:v>281.55565679420403</c:v>
                </c:pt>
                <c:pt idx="888">
                  <c:v>282.10474643202201</c:v>
                </c:pt>
                <c:pt idx="889">
                  <c:v>282.589722735284</c:v>
                </c:pt>
                <c:pt idx="890">
                  <c:v>287.180288512255</c:v>
                </c:pt>
                <c:pt idx="891">
                  <c:v>286.97194398740203</c:v>
                </c:pt>
                <c:pt idx="892">
                  <c:v>287.743622225389</c:v>
                </c:pt>
                <c:pt idx="893">
                  <c:v>287.83779765629401</c:v>
                </c:pt>
                <c:pt idx="894">
                  <c:v>287.75036663732499</c:v>
                </c:pt>
                <c:pt idx="895">
                  <c:v>290.040255279863</c:v>
                </c:pt>
                <c:pt idx="896">
                  <c:v>288.92659878623198</c:v>
                </c:pt>
                <c:pt idx="897">
                  <c:v>288.758130013433</c:v>
                </c:pt>
                <c:pt idx="898">
                  <c:v>287.90066711205401</c:v>
                </c:pt>
                <c:pt idx="899">
                  <c:v>286.874423114401</c:v>
                </c:pt>
                <c:pt idx="900">
                  <c:v>286.668732680841</c:v>
                </c:pt>
                <c:pt idx="901">
                  <c:v>284.907033311014</c:v>
                </c:pt>
                <c:pt idx="902">
                  <c:v>284.21637857992999</c:v>
                </c:pt>
                <c:pt idx="903">
                  <c:v>282.97902167991799</c:v>
                </c:pt>
                <c:pt idx="904">
                  <c:v>281.72827604992801</c:v>
                </c:pt>
                <c:pt idx="905">
                  <c:v>281.85475118401598</c:v>
                </c:pt>
                <c:pt idx="906">
                  <c:v>280.542617547004</c:v>
                </c:pt>
                <c:pt idx="907">
                  <c:v>280.462082207636</c:v>
                </c:pt>
                <c:pt idx="908">
                  <c:v>279.98383475532302</c:v>
                </c:pt>
                <c:pt idx="909">
                  <c:v>279.62578764782802</c:v>
                </c:pt>
                <c:pt idx="910">
                  <c:v>283.028887086373</c:v>
                </c:pt>
                <c:pt idx="911">
                  <c:v>282.92815822922199</c:v>
                </c:pt>
                <c:pt idx="912">
                  <c:v>284.07432114948102</c:v>
                </c:pt>
                <c:pt idx="913">
                  <c:v>284.81043459311002</c:v>
                </c:pt>
                <c:pt idx="914">
                  <c:v>285.62708838970599</c:v>
                </c:pt>
                <c:pt idx="915">
                  <c:v>292.06260150455802</c:v>
                </c:pt>
                <c:pt idx="916">
                  <c:v>292.73531168799701</c:v>
                </c:pt>
                <c:pt idx="917">
                  <c:v>294.50706914938502</c:v>
                </c:pt>
                <c:pt idx="918">
                  <c:v>295.70896163884902</c:v>
                </c:pt>
                <c:pt idx="919">
                  <c:v>296.823762009571</c:v>
                </c:pt>
                <c:pt idx="920">
                  <c:v>303.13513909673901</c:v>
                </c:pt>
                <c:pt idx="921">
                  <c:v>303.44438413655303</c:v>
                </c:pt>
                <c:pt idx="922">
                  <c:v>304.71059599279602</c:v>
                </c:pt>
                <c:pt idx="923">
                  <c:v>305.28170558380299</c:v>
                </c:pt>
                <c:pt idx="924">
                  <c:v>305.660329178643</c:v>
                </c:pt>
                <c:pt idx="925">
                  <c:v>309.36176834307201</c:v>
                </c:pt>
                <c:pt idx="926">
                  <c:v>308.750385944534</c:v>
                </c:pt>
                <c:pt idx="927">
                  <c:v>309.11283182528098</c:v>
                </c:pt>
                <c:pt idx="928">
                  <c:v>308.82121543090898</c:v>
                </c:pt>
                <c:pt idx="929">
                  <c:v>308.40061869669802</c:v>
                </c:pt>
                <c:pt idx="930">
                  <c:v>310.27185391072697</c:v>
                </c:pt>
                <c:pt idx="931">
                  <c:v>309.28550836409602</c:v>
                </c:pt>
                <c:pt idx="932">
                  <c:v>309.40415366000002</c:v>
                </c:pt>
                <c:pt idx="933">
                  <c:v>309.00198965029801</c:v>
                </c:pt>
                <c:pt idx="934">
                  <c:v>308.60205386268399</c:v>
                </c:pt>
                <c:pt idx="935">
                  <c:v>311.24297630934802</c:v>
                </c:pt>
                <c:pt idx="936">
                  <c:v>310.70490868934201</c:v>
                </c:pt>
                <c:pt idx="937">
                  <c:v>311.33825229542998</c:v>
                </c:pt>
                <c:pt idx="938">
                  <c:v>311.49627237898102</c:v>
                </c:pt>
                <c:pt idx="939">
                  <c:v>311.679769118786</c:v>
                </c:pt>
                <c:pt idx="940">
                  <c:v>315.983027864473</c:v>
                </c:pt>
                <c:pt idx="941">
                  <c:v>315.897111507006</c:v>
                </c:pt>
                <c:pt idx="942">
                  <c:v>316.89923147752398</c:v>
                </c:pt>
                <c:pt idx="943">
                  <c:v>317.668084772459</c:v>
                </c:pt>
                <c:pt idx="944">
                  <c:v>321.70144761826998</c:v>
                </c:pt>
                <c:pt idx="945">
                  <c:v>321.27357811157702</c:v>
                </c:pt>
                <c:pt idx="946">
                  <c:v>321.81568046545601</c:v>
                </c:pt>
                <c:pt idx="947">
                  <c:v>321.67580085417399</c:v>
                </c:pt>
                <c:pt idx="948">
                  <c:v>321.35618993894599</c:v>
                </c:pt>
                <c:pt idx="949">
                  <c:v>323.031990740521</c:v>
                </c:pt>
                <c:pt idx="950">
                  <c:v>321.76582333270699</c:v>
                </c:pt>
                <c:pt idx="951">
                  <c:v>321.48290870212298</c:v>
                </c:pt>
                <c:pt idx="952">
                  <c:v>320.55549188144101</c:v>
                </c:pt>
                <c:pt idx="953">
                  <c:v>319.50936650298303</c:v>
                </c:pt>
                <c:pt idx="954">
                  <c:v>319.58311187953899</c:v>
                </c:pt>
                <c:pt idx="955">
                  <c:v>318.03354153697302</c:v>
                </c:pt>
                <c:pt idx="956">
                  <c:v>317.61360155915702</c:v>
                </c:pt>
                <c:pt idx="957">
                  <c:v>316.70254204646102</c:v>
                </c:pt>
                <c:pt idx="958">
                  <c:v>315.82903878700199</c:v>
                </c:pt>
                <c:pt idx="959">
                  <c:v>317.32384355517502</c:v>
                </c:pt>
                <c:pt idx="960">
                  <c:v>316.51715721555502</c:v>
                </c:pt>
                <c:pt idx="961">
                  <c:v>316.94944861160002</c:v>
                </c:pt>
                <c:pt idx="962">
                  <c:v>316.98005866761099</c:v>
                </c:pt>
                <c:pt idx="963">
                  <c:v>321.79218409425101</c:v>
                </c:pt>
                <c:pt idx="964">
                  <c:v>322.01300007288103</c:v>
                </c:pt>
                <c:pt idx="965">
                  <c:v>323.41470693705401</c:v>
                </c:pt>
                <c:pt idx="966">
                  <c:v>323.92863888225099</c:v>
                </c:pt>
                <c:pt idx="967">
                  <c:v>324.44588233079003</c:v>
                </c:pt>
                <c:pt idx="968">
                  <c:v>329.50232810955299</c:v>
                </c:pt>
                <c:pt idx="969">
                  <c:v>329.55975038257998</c:v>
                </c:pt>
                <c:pt idx="970">
                  <c:v>330.646028055621</c:v>
                </c:pt>
                <c:pt idx="971">
                  <c:v>331.09982083345602</c:v>
                </c:pt>
                <c:pt idx="972">
                  <c:v>331.41327012491899</c:v>
                </c:pt>
                <c:pt idx="973">
                  <c:v>335.11679405817301</c:v>
                </c:pt>
                <c:pt idx="974">
                  <c:v>334.53269349041301</c:v>
                </c:pt>
                <c:pt idx="975">
                  <c:v>334.91694510255098</c:v>
                </c:pt>
                <c:pt idx="976">
                  <c:v>334.63165503494702</c:v>
                </c:pt>
                <c:pt idx="977">
                  <c:v>334.193173922467</c:v>
                </c:pt>
                <c:pt idx="978">
                  <c:v>334.64690773908802</c:v>
                </c:pt>
                <c:pt idx="979">
                  <c:v>334.55470067246603</c:v>
                </c:pt>
                <c:pt idx="980">
                  <c:v>333.90192884167999</c:v>
                </c:pt>
                <c:pt idx="981">
                  <c:v>333.21558142921998</c:v>
                </c:pt>
                <c:pt idx="982">
                  <c:v>334.84453029694998</c:v>
                </c:pt>
                <c:pt idx="983">
                  <c:v>333.944590292187</c:v>
                </c:pt>
                <c:pt idx="984">
                  <c:v>334.21869108333499</c:v>
                </c:pt>
                <c:pt idx="985">
                  <c:v>334.02932639098998</c:v>
                </c:pt>
                <c:pt idx="986">
                  <c:v>333.88619266694297</c:v>
                </c:pt>
                <c:pt idx="987">
                  <c:v>337.41037543839701</c:v>
                </c:pt>
                <c:pt idx="988">
                  <c:v>337.15055840872799</c:v>
                </c:pt>
                <c:pt idx="989">
                  <c:v>338.02680486598001</c:v>
                </c:pt>
                <c:pt idx="990">
                  <c:v>338.37660658403502</c:v>
                </c:pt>
                <c:pt idx="991">
                  <c:v>338.685897817529</c:v>
                </c:pt>
                <c:pt idx="992">
                  <c:v>342.84246172795002</c:v>
                </c:pt>
                <c:pt idx="993">
                  <c:v>342.49901097654202</c:v>
                </c:pt>
                <c:pt idx="994">
                  <c:v>343.12744662321199</c:v>
                </c:pt>
                <c:pt idx="995">
                  <c:v>343.06151358216698</c:v>
                </c:pt>
                <c:pt idx="996">
                  <c:v>342.78798413143602</c:v>
                </c:pt>
                <c:pt idx="997">
                  <c:v>344.270802565623</c:v>
                </c:pt>
                <c:pt idx="998">
                  <c:v>342.77521648160598</c:v>
                </c:pt>
                <c:pt idx="999">
                  <c:v>342.15460280324402</c:v>
                </c:pt>
                <c:pt idx="1000">
                  <c:v>340.76768969986699</c:v>
                </c:pt>
                <c:pt idx="1001">
                  <c:v>339.12864276840799</c:v>
                </c:pt>
                <c:pt idx="1002">
                  <c:v>333.80066643926</c:v>
                </c:pt>
                <c:pt idx="1003">
                  <c:v>332.03646313946098</c:v>
                </c:pt>
                <c:pt idx="1004">
                  <c:v>329.635345147603</c:v>
                </c:pt>
                <c:pt idx="1005">
                  <c:v>327.13505943785998</c:v>
                </c:pt>
                <c:pt idx="1006">
                  <c:v>321.68761218211398</c:v>
                </c:pt>
                <c:pt idx="1007">
                  <c:v>318.398364297488</c:v>
                </c:pt>
                <c:pt idx="1008">
                  <c:v>316.29918084029998</c:v>
                </c:pt>
                <c:pt idx="1009">
                  <c:v>313.77310257768102</c:v>
                </c:pt>
                <c:pt idx="1010">
                  <c:v>311.351136476764</c:v>
                </c:pt>
                <c:pt idx="1011">
                  <c:v>308.60331339739702</c:v>
                </c:pt>
                <c:pt idx="1012">
                  <c:v>306.51214481858398</c:v>
                </c:pt>
                <c:pt idx="1013">
                  <c:v>305.720309478687</c:v>
                </c:pt>
                <c:pt idx="1014">
                  <c:v>304.583490903773</c:v>
                </c:pt>
                <c:pt idx="1015">
                  <c:v>303.60399386882898</c:v>
                </c:pt>
                <c:pt idx="1016">
                  <c:v>305.21092056425601</c:v>
                </c:pt>
                <c:pt idx="1017">
                  <c:v>304.48655260872198</c:v>
                </c:pt>
                <c:pt idx="1018">
                  <c:v>304.97625656887101</c:v>
                </c:pt>
                <c:pt idx="1019">
                  <c:v>305.013713858134</c:v>
                </c:pt>
                <c:pt idx="1020">
                  <c:v>305.08241610025402</c:v>
                </c:pt>
                <c:pt idx="1021">
                  <c:v>308.94451783488199</c:v>
                </c:pt>
                <c:pt idx="1022">
                  <c:v>308.65091182580301</c:v>
                </c:pt>
                <c:pt idx="1023">
                  <c:v>309.40876680766303</c:v>
                </c:pt>
                <c:pt idx="1024">
                  <c:v>309.55636282766102</c:v>
                </c:pt>
                <c:pt idx="1025">
                  <c:v>309.585381618474</c:v>
                </c:pt>
                <c:pt idx="1026">
                  <c:v>312.55715980424901</c:v>
                </c:pt>
                <c:pt idx="1027">
                  <c:v>311.76411400469902</c:v>
                </c:pt>
                <c:pt idx="1028">
                  <c:v>311.95241002230603</c:v>
                </c:pt>
                <c:pt idx="1029">
                  <c:v>311.48020893501501</c:v>
                </c:pt>
                <c:pt idx="1030">
                  <c:v>310.85899606147802</c:v>
                </c:pt>
                <c:pt idx="1031">
                  <c:v>311.88235622210698</c:v>
                </c:pt>
                <c:pt idx="1032">
                  <c:v>310.49427219647299</c:v>
                </c:pt>
                <c:pt idx="1033">
                  <c:v>310.13612287444198</c:v>
                </c:pt>
                <c:pt idx="1034">
                  <c:v>309.174946547486</c:v>
                </c:pt>
                <c:pt idx="1035">
                  <c:v>308.12819336619998</c:v>
                </c:pt>
                <c:pt idx="1036">
                  <c:v>308.27066072156998</c:v>
                </c:pt>
                <c:pt idx="1037">
                  <c:v>306.71166228455502</c:v>
                </c:pt>
                <c:pt idx="1038">
                  <c:v>306.23296836026901</c:v>
                </c:pt>
                <c:pt idx="1039">
                  <c:v>305.19184623618401</c:v>
                </c:pt>
                <c:pt idx="1040">
                  <c:v>304.13378448815899</c:v>
                </c:pt>
                <c:pt idx="1041">
                  <c:v>302.51354033314198</c:v>
                </c:pt>
                <c:pt idx="1042">
                  <c:v>301.93984107825798</c:v>
                </c:pt>
                <c:pt idx="1043">
                  <c:v>300.75951925282698</c:v>
                </c:pt>
                <c:pt idx="1044">
                  <c:v>299.47001981550102</c:v>
                </c:pt>
                <c:pt idx="1045">
                  <c:v>298.56225569683801</c:v>
                </c:pt>
                <c:pt idx="1046">
                  <c:v>296.49730640878198</c:v>
                </c:pt>
                <c:pt idx="1047">
                  <c:v>295.41836790858099</c:v>
                </c:pt>
                <c:pt idx="1048">
                  <c:v>293.67860970890598</c:v>
                </c:pt>
                <c:pt idx="1049">
                  <c:v>291.78427297999298</c:v>
                </c:pt>
                <c:pt idx="1050">
                  <c:v>288.90892050285299</c:v>
                </c:pt>
                <c:pt idx="1051">
                  <c:v>286.184841358862</c:v>
                </c:pt>
                <c:pt idx="1052">
                  <c:v>284.47152386153698</c:v>
                </c:pt>
                <c:pt idx="1053">
                  <c:v>282.13847795204202</c:v>
                </c:pt>
                <c:pt idx="1054">
                  <c:v>279.70793006935298</c:v>
                </c:pt>
                <c:pt idx="1055">
                  <c:v>275.710728316494</c:v>
                </c:pt>
                <c:pt idx="1056">
                  <c:v>272.81477198072201</c:v>
                </c:pt>
                <c:pt idx="1057">
                  <c:v>271.04503117577099</c:v>
                </c:pt>
                <c:pt idx="1058">
                  <c:v>268.775744982481</c:v>
                </c:pt>
                <c:pt idx="1059">
                  <c:v>266.530974789033</c:v>
                </c:pt>
                <c:pt idx="1060">
                  <c:v>263.796887378853</c:v>
                </c:pt>
                <c:pt idx="1061">
                  <c:v>261.53395477562702</c:v>
                </c:pt>
                <c:pt idx="1062">
                  <c:v>260.484935771241</c:v>
                </c:pt>
                <c:pt idx="1063">
                  <c:v>259.00967307737602</c:v>
                </c:pt>
                <c:pt idx="1064">
                  <c:v>257.61606249012499</c:v>
                </c:pt>
                <c:pt idx="1065">
                  <c:v>257.59951606620399</c:v>
                </c:pt>
                <c:pt idx="1066">
                  <c:v>256.235261942308</c:v>
                </c:pt>
                <c:pt idx="1067">
                  <c:v>256.05104130501098</c:v>
                </c:pt>
                <c:pt idx="1068">
                  <c:v>255.389937448892</c:v>
                </c:pt>
                <c:pt idx="1069">
                  <c:v>254.74467513182299</c:v>
                </c:pt>
                <c:pt idx="1070">
                  <c:v>255.47202229549799</c:v>
                </c:pt>
                <c:pt idx="1071">
                  <c:v>255.55957370678101</c:v>
                </c:pt>
                <c:pt idx="1072">
                  <c:v>255.06453939327201</c:v>
                </c:pt>
                <c:pt idx="1073">
                  <c:v>254.48291394975601</c:v>
                </c:pt>
                <c:pt idx="1074">
                  <c:v>255.845326767627</c:v>
                </c:pt>
                <c:pt idx="1075">
                  <c:v>254.596567680802</c:v>
                </c:pt>
                <c:pt idx="1076">
                  <c:v>254.371311185699</c:v>
                </c:pt>
                <c:pt idx="1077">
                  <c:v>253.52814957562799</c:v>
                </c:pt>
                <c:pt idx="1078">
                  <c:v>252.57875265248299</c:v>
                </c:pt>
                <c:pt idx="1079">
                  <c:v>252.87509340161199</c:v>
                </c:pt>
                <c:pt idx="1080">
                  <c:v>251.33131933137699</c:v>
                </c:pt>
                <c:pt idx="1081">
                  <c:v>250.86182114272299</c:v>
                </c:pt>
                <c:pt idx="1082">
                  <c:v>249.83477819217899</c:v>
                </c:pt>
                <c:pt idx="1083">
                  <c:v>248.76920420831701</c:v>
                </c:pt>
                <c:pt idx="1084">
                  <c:v>247.79416250508299</c:v>
                </c:pt>
                <c:pt idx="1085">
                  <c:v>247.569928719226</c:v>
                </c:pt>
                <c:pt idx="1086">
                  <c:v>246.847820681803</c:v>
                </c:pt>
                <c:pt idx="1087">
                  <c:v>246.13763710310201</c:v>
                </c:pt>
                <c:pt idx="1088">
                  <c:v>247.78322790777401</c:v>
                </c:pt>
                <c:pt idx="1089">
                  <c:v>246.85678526360101</c:v>
                </c:pt>
                <c:pt idx="1090">
                  <c:v>247.06001528035699</c:v>
                </c:pt>
                <c:pt idx="1091">
                  <c:v>246.74114596348599</c:v>
                </c:pt>
                <c:pt idx="1092">
                  <c:v>246.39822918755499</c:v>
                </c:pt>
                <c:pt idx="1093">
                  <c:v>248.043600657155</c:v>
                </c:pt>
                <c:pt idx="1094">
                  <c:v>248.31374095087099</c:v>
                </c:pt>
                <c:pt idx="1095">
                  <c:v>247.992100351554</c:v>
                </c:pt>
                <c:pt idx="1096">
                  <c:v>247.57889411791899</c:v>
                </c:pt>
                <c:pt idx="1097">
                  <c:v>249.45284417196001</c:v>
                </c:pt>
                <c:pt idx="1098">
                  <c:v>248.386542613724</c:v>
                </c:pt>
                <c:pt idx="1099">
                  <c:v>248.35350615975901</c:v>
                </c:pt>
                <c:pt idx="1100">
                  <c:v>247.71391651027699</c:v>
                </c:pt>
                <c:pt idx="1101">
                  <c:v>246.980586527719</c:v>
                </c:pt>
                <c:pt idx="1102">
                  <c:v>248.00515105474599</c:v>
                </c:pt>
                <c:pt idx="1103">
                  <c:v>246.73048651273899</c:v>
                </c:pt>
                <c:pt idx="1104">
                  <c:v>246.54221078798</c:v>
                </c:pt>
                <c:pt idx="1105">
                  <c:v>245.807358706201</c:v>
                </c:pt>
                <c:pt idx="1106">
                  <c:v>245.04349822259701</c:v>
                </c:pt>
                <c:pt idx="1107">
                  <c:v>246.37772630122299</c:v>
                </c:pt>
                <c:pt idx="1108">
                  <c:v>245.332391610613</c:v>
                </c:pt>
                <c:pt idx="1109">
                  <c:v>245.42689265563999</c:v>
                </c:pt>
                <c:pt idx="1110">
                  <c:v>245.01935012232499</c:v>
                </c:pt>
                <c:pt idx="1111">
                  <c:v>244.61666534592601</c:v>
                </c:pt>
                <c:pt idx="1112">
                  <c:v>247.11194756878001</c:v>
                </c:pt>
                <c:pt idx="1113">
                  <c:v>246.43407654970201</c:v>
                </c:pt>
                <c:pt idx="1114">
                  <c:v>246.86335044019901</c:v>
                </c:pt>
                <c:pt idx="1115">
                  <c:v>246.744960277052</c:v>
                </c:pt>
                <c:pt idx="1116">
                  <c:v>246.57403747912701</c:v>
                </c:pt>
                <c:pt idx="1117">
                  <c:v>249.32807063449999</c:v>
                </c:pt>
                <c:pt idx="1118">
                  <c:v>248.57093405485301</c:v>
                </c:pt>
                <c:pt idx="1119">
                  <c:v>248.834355482246</c:v>
                </c:pt>
                <c:pt idx="1120">
                  <c:v>248.465207801958</c:v>
                </c:pt>
                <c:pt idx="1121">
                  <c:v>247.96298773652001</c:v>
                </c:pt>
                <c:pt idx="1122">
                  <c:v>249.321306428995</c:v>
                </c:pt>
                <c:pt idx="1123">
                  <c:v>248.003136663123</c:v>
                </c:pt>
                <c:pt idx="1124">
                  <c:v>247.681075772236</c:v>
                </c:pt>
                <c:pt idx="1125">
                  <c:v>246.71784405375899</c:v>
                </c:pt>
                <c:pt idx="1126">
                  <c:v>245.62932114334501</c:v>
                </c:pt>
                <c:pt idx="1127">
                  <c:v>245.436686993677</c:v>
                </c:pt>
                <c:pt idx="1128">
                  <c:v>243.72022143309999</c:v>
                </c:pt>
                <c:pt idx="1129">
                  <c:v>243.08002697255699</c:v>
                </c:pt>
                <c:pt idx="1130">
                  <c:v>241.888099763051</c:v>
                </c:pt>
                <c:pt idx="1131">
                  <c:v>240.66696158611401</c:v>
                </c:pt>
                <c:pt idx="1132">
                  <c:v>240.675136103916</c:v>
                </c:pt>
                <c:pt idx="1133">
                  <c:v>239.217035675521</c:v>
                </c:pt>
                <c:pt idx="1134">
                  <c:v>238.91915532629599</c:v>
                </c:pt>
                <c:pt idx="1135">
                  <c:v>238.14210517664901</c:v>
                </c:pt>
                <c:pt idx="1136">
                  <c:v>237.394503527376</c:v>
                </c:pt>
                <c:pt idx="1137">
                  <c:v>238.08192373852299</c:v>
                </c:pt>
                <c:pt idx="1138">
                  <c:v>238.283958482884</c:v>
                </c:pt>
                <c:pt idx="1139">
                  <c:v>237.95433533921499</c:v>
                </c:pt>
                <c:pt idx="1140">
                  <c:v>237.583627734088</c:v>
                </c:pt>
                <c:pt idx="1141">
                  <c:v>239.75099494387601</c:v>
                </c:pt>
                <c:pt idx="1142">
                  <c:v>238.78127905859901</c:v>
                </c:pt>
                <c:pt idx="1143">
                  <c:v>238.81222571696799</c:v>
                </c:pt>
                <c:pt idx="1144">
                  <c:v>238.18379065690701</c:v>
                </c:pt>
                <c:pt idx="1145">
                  <c:v>237.388761153405</c:v>
                </c:pt>
                <c:pt idx="1146">
                  <c:v>237.60768118130599</c:v>
                </c:pt>
                <c:pt idx="1147">
                  <c:v>235.80654546014699</c:v>
                </c:pt>
                <c:pt idx="1148">
                  <c:v>234.94436278968101</c:v>
                </c:pt>
                <c:pt idx="1149">
                  <c:v>233.38235294810701</c:v>
                </c:pt>
                <c:pt idx="1150">
                  <c:v>231.63630529117</c:v>
                </c:pt>
                <c:pt idx="1151">
                  <c:v>229.14059995853401</c:v>
                </c:pt>
                <c:pt idx="1152">
                  <c:v>226.56150076537901</c:v>
                </c:pt>
                <c:pt idx="1153">
                  <c:v>225.022724645577</c:v>
                </c:pt>
                <c:pt idx="1154">
                  <c:v>222.90540362174099</c:v>
                </c:pt>
                <c:pt idx="1155">
                  <c:v>220.742523031053</c:v>
                </c:pt>
                <c:pt idx="1156">
                  <c:v>217.948401652998</c:v>
                </c:pt>
                <c:pt idx="1157">
                  <c:v>215.60818815611401</c:v>
                </c:pt>
                <c:pt idx="1158">
                  <c:v>214.47750950812599</c:v>
                </c:pt>
                <c:pt idx="1159">
                  <c:v>212.931096873435</c:v>
                </c:pt>
                <c:pt idx="1160">
                  <c:v>211.49137780070399</c:v>
                </c:pt>
                <c:pt idx="1161">
                  <c:v>211.61815707829899</c:v>
                </c:pt>
                <c:pt idx="1162">
                  <c:v>210.432078109363</c:v>
                </c:pt>
                <c:pt idx="1163">
                  <c:v>210.50469653853901</c:v>
                </c:pt>
                <c:pt idx="1164">
                  <c:v>210.183745269166</c:v>
                </c:pt>
                <c:pt idx="1165">
                  <c:v>209.964057362548</c:v>
                </c:pt>
                <c:pt idx="1166">
                  <c:v>213.44861530341799</c:v>
                </c:pt>
                <c:pt idx="1167">
                  <c:v>213.19811421656999</c:v>
                </c:pt>
                <c:pt idx="1168">
                  <c:v>214.07880264373799</c:v>
                </c:pt>
                <c:pt idx="1169">
                  <c:v>214.42168582420601</c:v>
                </c:pt>
                <c:pt idx="1170">
                  <c:v>214.708630037299</c:v>
                </c:pt>
                <c:pt idx="1171">
                  <c:v>218.70271702305701</c:v>
                </c:pt>
                <c:pt idx="1172">
                  <c:v>218.28467766961001</c:v>
                </c:pt>
                <c:pt idx="1173">
                  <c:v>218.839653066621</c:v>
                </c:pt>
                <c:pt idx="1174">
                  <c:v>218.71106040689099</c:v>
                </c:pt>
                <c:pt idx="1175">
                  <c:v>218.39677869362501</c:v>
                </c:pt>
                <c:pt idx="1176">
                  <c:v>220.01238979334701</c:v>
                </c:pt>
                <c:pt idx="1177">
                  <c:v>218.68816303951701</c:v>
                </c:pt>
                <c:pt idx="1178">
                  <c:v>218.32221071112099</c:v>
                </c:pt>
                <c:pt idx="1179">
                  <c:v>217.283317606813</c:v>
                </c:pt>
                <c:pt idx="1180">
                  <c:v>216.093865819852</c:v>
                </c:pt>
                <c:pt idx="1181">
                  <c:v>215.51279981865699</c:v>
                </c:pt>
                <c:pt idx="1182">
                  <c:v>213.65885277144901</c:v>
                </c:pt>
                <c:pt idx="1183">
                  <c:v>212.88595761790799</c:v>
                </c:pt>
                <c:pt idx="1184">
                  <c:v>211.57011531197301</c:v>
                </c:pt>
                <c:pt idx="1185">
                  <c:v>210.236833605057</c:v>
                </c:pt>
                <c:pt idx="1186">
                  <c:v>209.992673822001</c:v>
                </c:pt>
                <c:pt idx="1187">
                  <c:v>208.477567681994</c:v>
                </c:pt>
                <c:pt idx="1188">
                  <c:v>208.13328933007</c:v>
                </c:pt>
                <c:pt idx="1189">
                  <c:v>207.31743738486699</c:v>
                </c:pt>
                <c:pt idx="1190">
                  <c:v>206.53501366357301</c:v>
                </c:pt>
                <c:pt idx="1191">
                  <c:v>208.025624901909</c:v>
                </c:pt>
                <c:pt idx="1192">
                  <c:v>207.04067421870101</c:v>
                </c:pt>
                <c:pt idx="1193">
                  <c:v>207.16659835371601</c:v>
                </c:pt>
                <c:pt idx="1194">
                  <c:v>206.255244495406</c:v>
                </c:pt>
                <c:pt idx="1195">
                  <c:v>207.94253867294199</c:v>
                </c:pt>
                <c:pt idx="1196">
                  <c:v>206.77226228090299</c:v>
                </c:pt>
                <c:pt idx="1197">
                  <c:v>206.58696066044499</c:v>
                </c:pt>
                <c:pt idx="1198">
                  <c:v>205.7309743319</c:v>
                </c:pt>
                <c:pt idx="1199">
                  <c:v>204.70244156455999</c:v>
                </c:pt>
                <c:pt idx="1200">
                  <c:v>204.24991331582399</c:v>
                </c:pt>
                <c:pt idx="1201">
                  <c:v>202.25862149373299</c:v>
                </c:pt>
                <c:pt idx="1202">
                  <c:v>201.23549232804399</c:v>
                </c:pt>
                <c:pt idx="1203">
                  <c:v>199.548890029685</c:v>
                </c:pt>
                <c:pt idx="1204">
                  <c:v>197.72120532418899</c:v>
                </c:pt>
                <c:pt idx="1205">
                  <c:v>195.29118249602999</c:v>
                </c:pt>
                <c:pt idx="1206">
                  <c:v>192.849275846675</c:v>
                </c:pt>
                <c:pt idx="1207">
                  <c:v>191.50770733957401</c:v>
                </c:pt>
                <c:pt idx="1208">
                  <c:v>189.64667155761501</c:v>
                </c:pt>
                <c:pt idx="1209">
                  <c:v>187.79656450724099</c:v>
                </c:pt>
                <c:pt idx="1210">
                  <c:v>186.22953342857099</c:v>
                </c:pt>
                <c:pt idx="1211">
                  <c:v>184.37043466803999</c:v>
                </c:pt>
                <c:pt idx="1212">
                  <c:v>183.741642330975</c:v>
                </c:pt>
                <c:pt idx="1213">
                  <c:v>182.707259453224</c:v>
                </c:pt>
                <c:pt idx="1214">
                  <c:v>181.77847259515499</c:v>
                </c:pt>
                <c:pt idx="1215">
                  <c:v>182.52267098490799</c:v>
                </c:pt>
                <c:pt idx="1216">
                  <c:v>182.93213059520201</c:v>
                </c:pt>
                <c:pt idx="1217">
                  <c:v>182.88389797244901</c:v>
                </c:pt>
                <c:pt idx="1218">
                  <c:v>182.865893195794</c:v>
                </c:pt>
                <c:pt idx="1219">
                  <c:v>186.12188526314199</c:v>
                </c:pt>
                <c:pt idx="1220">
                  <c:v>186.81101298731701</c:v>
                </c:pt>
                <c:pt idx="1221">
                  <c:v>186.89055215339499</c:v>
                </c:pt>
                <c:pt idx="1222">
                  <c:v>186.849463541901</c:v>
                </c:pt>
                <c:pt idx="1223">
                  <c:v>189.56862777961001</c:v>
                </c:pt>
                <c:pt idx="1224">
                  <c:v>188.66823119323999</c:v>
                </c:pt>
                <c:pt idx="1225">
                  <c:v>188.73446875500301</c:v>
                </c:pt>
                <c:pt idx="1226">
                  <c:v>188.124955013076</c:v>
                </c:pt>
                <c:pt idx="1227">
                  <c:v>187.35179567470999</c:v>
                </c:pt>
                <c:pt idx="1228">
                  <c:v>186.29279504860801</c:v>
                </c:pt>
                <c:pt idx="1229">
                  <c:v>185.766798275626</c:v>
                </c:pt>
                <c:pt idx="1230">
                  <c:v>184.65567773747401</c:v>
                </c:pt>
                <c:pt idx="1231">
                  <c:v>183.48664686725999</c:v>
                </c:pt>
                <c:pt idx="1232">
                  <c:v>183.53566128756199</c:v>
                </c:pt>
                <c:pt idx="1233">
                  <c:v>182.07349361105801</c:v>
                </c:pt>
                <c:pt idx="1234">
                  <c:v>181.773353779377</c:v>
                </c:pt>
                <c:pt idx="1235">
                  <c:v>181.00195510597899</c:v>
                </c:pt>
                <c:pt idx="1236">
                  <c:v>180.273551995861</c:v>
                </c:pt>
                <c:pt idx="1237">
                  <c:v>182.07035207227901</c:v>
                </c:pt>
                <c:pt idx="1238">
                  <c:v>181.25993293092</c:v>
                </c:pt>
                <c:pt idx="1239">
                  <c:v>181.60542897854299</c:v>
                </c:pt>
                <c:pt idx="1240">
                  <c:v>181.44804650225899</c:v>
                </c:pt>
                <c:pt idx="1241">
                  <c:v>181.276843219885</c:v>
                </c:pt>
                <c:pt idx="1242">
                  <c:v>184.17250488069499</c:v>
                </c:pt>
                <c:pt idx="1243">
                  <c:v>183.47170870522899</c:v>
                </c:pt>
                <c:pt idx="1244">
                  <c:v>183.773507233326</c:v>
                </c:pt>
                <c:pt idx="1245">
                  <c:v>183.409885747782</c:v>
                </c:pt>
                <c:pt idx="1246">
                  <c:v>182.86503099933</c:v>
                </c:pt>
                <c:pt idx="1247">
                  <c:v>183.65519652830901</c:v>
                </c:pt>
                <c:pt idx="1248">
                  <c:v>181.95386448706799</c:v>
                </c:pt>
                <c:pt idx="1249">
                  <c:v>181.13131677370899</c:v>
                </c:pt>
                <c:pt idx="1250">
                  <c:v>179.54064074334701</c:v>
                </c:pt>
                <c:pt idx="1251">
                  <c:v>177.69030326104101</c:v>
                </c:pt>
                <c:pt idx="1252">
                  <c:v>171.334013197551</c:v>
                </c:pt>
                <c:pt idx="1253">
                  <c:v>169.243417557703</c:v>
                </c:pt>
                <c:pt idx="1254">
                  <c:v>166.48082580356601</c:v>
                </c:pt>
                <c:pt idx="1255">
                  <c:v>163.581608528321</c:v>
                </c:pt>
                <c:pt idx="1256">
                  <c:v>158.08033798529999</c:v>
                </c:pt>
                <c:pt idx="1257">
                  <c:v>154.69554800478099</c:v>
                </c:pt>
                <c:pt idx="1258">
                  <c:v>152.46467487259699</c:v>
                </c:pt>
                <c:pt idx="1259">
                  <c:v>149.77358662031801</c:v>
                </c:pt>
                <c:pt idx="1260">
                  <c:v>147.15684345031599</c:v>
                </c:pt>
                <c:pt idx="1261">
                  <c:v>143.187285375215</c:v>
                </c:pt>
                <c:pt idx="1262">
                  <c:v>141.41078405809</c:v>
                </c:pt>
                <c:pt idx="1263">
                  <c:v>143.69041023153201</c:v>
                </c:pt>
                <c:pt idx="1264">
                  <c:v>141.33182333497501</c:v>
                </c:pt>
                <c:pt idx="1265">
                  <c:v>140.26766270056899</c:v>
                </c:pt>
                <c:pt idx="1266">
                  <c:v>138.859101875676</c:v>
                </c:pt>
                <c:pt idx="1267">
                  <c:v>137.613791091309</c:v>
                </c:pt>
                <c:pt idx="1268">
                  <c:v>135.076136912198</c:v>
                </c:pt>
                <c:pt idx="1269">
                  <c:v>134.76277648291301</c:v>
                </c:pt>
                <c:pt idx="1270">
                  <c:v>138.50747776762</c:v>
                </c:pt>
                <c:pt idx="1271">
                  <c:v>137.58725235068201</c:v>
                </c:pt>
                <c:pt idx="1272">
                  <c:v>137.90744053485901</c:v>
                </c:pt>
                <c:pt idx="1273">
                  <c:v>137.803911760419</c:v>
                </c:pt>
                <c:pt idx="1274">
                  <c:v>137.76158833640099</c:v>
                </c:pt>
                <c:pt idx="1275">
                  <c:v>136.30522651719099</c:v>
                </c:pt>
                <c:pt idx="1276">
                  <c:v>136.93529976009799</c:v>
                </c:pt>
                <c:pt idx="1277">
                  <c:v>141.47320574108801</c:v>
                </c:pt>
                <c:pt idx="1278">
                  <c:v>141.187576887115</c:v>
                </c:pt>
                <c:pt idx="1279">
                  <c:v>141.97945052852899</c:v>
                </c:pt>
                <c:pt idx="1280">
                  <c:v>142.184441308457</c:v>
                </c:pt>
                <c:pt idx="1281">
                  <c:v>142.291126677964</c:v>
                </c:pt>
                <c:pt idx="1282">
                  <c:v>140.83158545506899</c:v>
                </c:pt>
                <c:pt idx="1283">
                  <c:v>141.31694313126999</c:v>
                </c:pt>
                <c:pt idx="1284">
                  <c:v>145.58215696549601</c:v>
                </c:pt>
                <c:pt idx="1285">
                  <c:v>144.91183434151401</c:v>
                </c:pt>
                <c:pt idx="1286">
                  <c:v>145.22485604062001</c:v>
                </c:pt>
                <c:pt idx="1287">
                  <c:v>144.87596397411599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A-1A4D-B9D8-52440112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59205"/>
        <c:axId val="2128931051"/>
      </c:areaChart>
      <c:dateAx>
        <c:axId val="207385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erif"/>
                  </a:rPr>
                  <a:t>Date</a:t>
                </a:r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2128931051"/>
        <c:crosses val="autoZero"/>
        <c:auto val="1"/>
        <c:lblOffset val="100"/>
        <c:baseTimeUnit val="days"/>
      </c:dateAx>
      <c:valAx>
        <c:axId val="212893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20738592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30-Days Predective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 line for series 1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Sheet1!$C$1259:$C$1289</c:f>
              <c:numCache>
                <c:formatCode>#,##0.00;\(#,##0.00\)</c:formatCode>
                <c:ptCount val="31"/>
                <c:pt idx="0">
                  <c:v>154.69554800478099</c:v>
                </c:pt>
                <c:pt idx="1">
                  <c:v>152.46467487259699</c:v>
                </c:pt>
                <c:pt idx="2">
                  <c:v>149.77358662031801</c:v>
                </c:pt>
                <c:pt idx="3">
                  <c:v>147.15684345031599</c:v>
                </c:pt>
                <c:pt idx="4">
                  <c:v>143.187285375215</c:v>
                </c:pt>
                <c:pt idx="5">
                  <c:v>141.41078405809</c:v>
                </c:pt>
                <c:pt idx="6">
                  <c:v>143.69041023153201</c:v>
                </c:pt>
                <c:pt idx="7">
                  <c:v>141.33182333497501</c:v>
                </c:pt>
                <c:pt idx="8">
                  <c:v>140.26766270056899</c:v>
                </c:pt>
                <c:pt idx="9">
                  <c:v>138.859101875676</c:v>
                </c:pt>
                <c:pt idx="10">
                  <c:v>137.613791091309</c:v>
                </c:pt>
                <c:pt idx="11">
                  <c:v>135.076136912198</c:v>
                </c:pt>
                <c:pt idx="12">
                  <c:v>134.76277648291301</c:v>
                </c:pt>
                <c:pt idx="13">
                  <c:v>138.50747776762</c:v>
                </c:pt>
                <c:pt idx="14">
                  <c:v>137.58725235068201</c:v>
                </c:pt>
                <c:pt idx="15">
                  <c:v>137.90744053485901</c:v>
                </c:pt>
                <c:pt idx="16">
                  <c:v>137.803911760419</c:v>
                </c:pt>
                <c:pt idx="17">
                  <c:v>137.76158833640099</c:v>
                </c:pt>
                <c:pt idx="18">
                  <c:v>136.30522651719099</c:v>
                </c:pt>
                <c:pt idx="19">
                  <c:v>136.93529976009799</c:v>
                </c:pt>
                <c:pt idx="20">
                  <c:v>141.47320574108801</c:v>
                </c:pt>
                <c:pt idx="21">
                  <c:v>141.187576887115</c:v>
                </c:pt>
                <c:pt idx="22">
                  <c:v>141.97945052852899</c:v>
                </c:pt>
                <c:pt idx="23">
                  <c:v>142.184441308457</c:v>
                </c:pt>
                <c:pt idx="24">
                  <c:v>142.291126677964</c:v>
                </c:pt>
                <c:pt idx="25">
                  <c:v>140.83158545506899</c:v>
                </c:pt>
                <c:pt idx="26">
                  <c:v>141.31694313126999</c:v>
                </c:pt>
                <c:pt idx="27">
                  <c:v>145.58215696549601</c:v>
                </c:pt>
                <c:pt idx="28">
                  <c:v>144.91183434151401</c:v>
                </c:pt>
                <c:pt idx="29">
                  <c:v>145.22485604062001</c:v>
                </c:pt>
                <c:pt idx="30">
                  <c:v>144.87596397411599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0-AB44-A423-EB00975C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68784"/>
        <c:axId val="1173367099"/>
      </c:lineChart>
      <c:catAx>
        <c:axId val="1977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67099"/>
        <c:crosses val="autoZero"/>
        <c:auto val="1"/>
        <c:lblAlgn val="ctr"/>
        <c:lblOffset val="100"/>
        <c:noMultiLvlLbl val="1"/>
      </c:catAx>
      <c:valAx>
        <c:axId val="1173367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2</xdr:row>
      <xdr:rowOff>3175</xdr:rowOff>
    </xdr:from>
    <xdr:ext cx="9296400" cy="3609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203200</xdr:colOff>
      <xdr:row>22</xdr:row>
      <xdr:rowOff>133350</xdr:rowOff>
    </xdr:from>
    <xdr:ext cx="9296400" cy="3625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58"/>
  <sheetViews>
    <sheetView tabSelected="1" workbookViewId="0">
      <selection activeCell="Q16" sqref="Q16"/>
    </sheetView>
  </sheetViews>
  <sheetFormatPr baseColWidth="10" defaultColWidth="12.6640625" defaultRowHeight="15.75" customHeight="1" x14ac:dyDescent="0.15"/>
  <cols>
    <col min="1" max="1" width="22.33203125" customWidth="1"/>
    <col min="2" max="2" width="16.1640625" customWidth="1"/>
    <col min="3" max="3" width="12.33203125" customWidth="1"/>
    <col min="4" max="4" width="6.6640625" customWidth="1"/>
  </cols>
  <sheetData>
    <row r="1" spans="1:14" ht="15.75" customHeight="1" thickBot="1" x14ac:dyDescent="0.2">
      <c r="A1" s="1" t="str">
        <f ca="1">IFERROR(__xludf.DUMMYFUNCTION("GOOGLEFINANCE(""TSLA"", ""price"", DATE(2018, 3, 1),DATE(2023,2,28))"),"Date")</f>
        <v>Date</v>
      </c>
      <c r="B1" s="2" t="str">
        <f ca="1">IFERROR(__xludf.DUMMYFUNCTION("""COMPUTED_VALUE"""),"Close")</f>
        <v>Close</v>
      </c>
      <c r="C1" s="3" t="s">
        <v>0</v>
      </c>
    </row>
    <row r="2" spans="1:14" ht="15.75" customHeight="1" x14ac:dyDescent="0.15">
      <c r="A2" s="1">
        <f ca="1">IFERROR(__xludf.DUMMYFUNCTION("""COMPUTED_VALUE"""),43160.6666666666)</f>
        <v>43160.666666666599</v>
      </c>
      <c r="B2" s="2">
        <f ca="1">IFERROR(__xludf.DUMMYFUNCTION("""COMPUTED_VALUE"""),22.06)</f>
        <v>22.06</v>
      </c>
      <c r="C2" s="3">
        <v>25.23741110724</v>
      </c>
      <c r="D2" s="4"/>
      <c r="E2" s="8"/>
      <c r="F2" s="9"/>
      <c r="G2" s="9"/>
      <c r="H2" s="9"/>
      <c r="I2" s="9"/>
      <c r="J2" s="9"/>
      <c r="K2" s="9"/>
      <c r="L2" s="10"/>
      <c r="M2" s="10"/>
      <c r="N2" s="11"/>
    </row>
    <row r="3" spans="1:14" ht="15.75" customHeight="1" x14ac:dyDescent="0.15">
      <c r="A3" s="1">
        <f ca="1">IFERROR(__xludf.DUMMYFUNCTION("""COMPUTED_VALUE"""),43161.6666666666)</f>
        <v>43161.666666666599</v>
      </c>
      <c r="B3" s="2">
        <f ca="1">IFERROR(__xludf.DUMMYFUNCTION("""COMPUTED_VALUE"""),22.34)</f>
        <v>22.34</v>
      </c>
      <c r="C3" s="3">
        <v>22.953920492450099</v>
      </c>
      <c r="D3" s="4"/>
      <c r="E3" s="12"/>
      <c r="F3" s="13"/>
      <c r="G3" s="13"/>
      <c r="H3" s="13"/>
      <c r="I3" s="13"/>
      <c r="J3" s="13"/>
      <c r="K3" s="13"/>
      <c r="L3" s="14"/>
      <c r="M3" s="14"/>
      <c r="N3" s="15"/>
    </row>
    <row r="4" spans="1:14" ht="15.75" customHeight="1" x14ac:dyDescent="0.15">
      <c r="A4" s="1">
        <f ca="1">IFERROR(__xludf.DUMMYFUNCTION("""COMPUTED_VALUE"""),43164.6666666666)</f>
        <v>43164.666666666599</v>
      </c>
      <c r="B4" s="2">
        <f ca="1">IFERROR(__xludf.DUMMYFUNCTION("""COMPUTED_VALUE"""),22.22)</f>
        <v>22.22</v>
      </c>
      <c r="C4" s="3">
        <v>20.390354604329101</v>
      </c>
      <c r="D4" s="4"/>
      <c r="E4" s="12"/>
      <c r="F4" s="13"/>
      <c r="G4" s="13"/>
      <c r="H4" s="13"/>
      <c r="I4" s="13"/>
      <c r="J4" s="13"/>
      <c r="K4" s="13"/>
      <c r="L4" s="14"/>
      <c r="M4" s="14"/>
      <c r="N4" s="15"/>
    </row>
    <row r="5" spans="1:14" ht="15.75" customHeight="1" x14ac:dyDescent="0.15">
      <c r="A5" s="1">
        <f ca="1">IFERROR(__xludf.DUMMYFUNCTION("""COMPUTED_VALUE"""),43165.6666666666)</f>
        <v>43165.666666666599</v>
      </c>
      <c r="B5" s="2">
        <f ca="1">IFERROR(__xludf.DUMMYFUNCTION("""COMPUTED_VALUE"""),21.88)</f>
        <v>21.88</v>
      </c>
      <c r="C5" s="3">
        <v>18.3097731644568</v>
      </c>
      <c r="D5" s="4"/>
      <c r="E5" s="12"/>
      <c r="F5" s="13"/>
      <c r="G5" s="13"/>
      <c r="H5" s="13"/>
      <c r="I5" s="13"/>
      <c r="J5" s="13"/>
      <c r="K5" s="13"/>
      <c r="L5" s="14"/>
      <c r="M5" s="14"/>
      <c r="N5" s="15"/>
    </row>
    <row r="6" spans="1:14" ht="15.75" customHeight="1" x14ac:dyDescent="0.15">
      <c r="A6" s="1">
        <f ca="1">IFERROR(__xludf.DUMMYFUNCTION("""COMPUTED_VALUE"""),43166.6666666666)</f>
        <v>43166.666666666599</v>
      </c>
      <c r="B6" s="2">
        <f ca="1">IFERROR(__xludf.DUMMYFUNCTION("""COMPUTED_VALUE"""),22.15)</f>
        <v>22.15</v>
      </c>
      <c r="C6" s="3">
        <v>17.517371318484098</v>
      </c>
      <c r="D6" s="4"/>
      <c r="E6" s="12"/>
      <c r="F6" s="13"/>
      <c r="G6" s="13"/>
      <c r="H6" s="13"/>
      <c r="I6" s="13"/>
      <c r="J6" s="13"/>
      <c r="K6" s="13"/>
      <c r="L6" s="14"/>
      <c r="M6" s="14"/>
      <c r="N6" s="15"/>
    </row>
    <row r="7" spans="1:14" ht="15.75" customHeight="1" x14ac:dyDescent="0.15">
      <c r="A7" s="1">
        <f ca="1">IFERROR(__xludf.DUMMYFUNCTION("""COMPUTED_VALUE"""),43167.6666666666)</f>
        <v>43167.666666666599</v>
      </c>
      <c r="B7" s="2">
        <f ca="1">IFERROR(__xludf.DUMMYFUNCTION("""COMPUTED_VALUE"""),21.94)</f>
        <v>21.94</v>
      </c>
      <c r="C7" s="3">
        <v>16.377625321060201</v>
      </c>
      <c r="D7" s="4"/>
      <c r="E7" s="12"/>
      <c r="F7" s="13"/>
      <c r="G7" s="13"/>
      <c r="H7" s="13"/>
      <c r="I7" s="13"/>
      <c r="J7" s="13"/>
      <c r="K7" s="13"/>
      <c r="L7" s="14"/>
      <c r="M7" s="14"/>
      <c r="N7" s="15"/>
    </row>
    <row r="8" spans="1:14" ht="15.75" customHeight="1" x14ac:dyDescent="0.15">
      <c r="A8" s="1">
        <f ca="1">IFERROR(__xludf.DUMMYFUNCTION("""COMPUTED_VALUE"""),43168.6666666666)</f>
        <v>43168.666666666599</v>
      </c>
      <c r="B8" s="2">
        <f ca="1">IFERROR(__xludf.DUMMYFUNCTION("""COMPUTED_VALUE"""),21.81)</f>
        <v>21.81</v>
      </c>
      <c r="C8" s="3">
        <v>15.401482823555799</v>
      </c>
      <c r="D8" s="4"/>
      <c r="E8" s="12"/>
      <c r="F8" s="13"/>
      <c r="G8" s="13"/>
      <c r="H8" s="13"/>
      <c r="I8" s="13"/>
      <c r="J8" s="13"/>
      <c r="K8" s="13"/>
      <c r="L8" s="14"/>
      <c r="M8" s="14"/>
      <c r="N8" s="15"/>
    </row>
    <row r="9" spans="1:14" ht="15.75" customHeight="1" x14ac:dyDescent="0.15">
      <c r="A9" s="1">
        <f ca="1">IFERROR(__xludf.DUMMYFUNCTION("""COMPUTED_VALUE"""),43171.6666666666)</f>
        <v>43171.666666666599</v>
      </c>
      <c r="B9" s="2">
        <f ca="1">IFERROR(__xludf.DUMMYFUNCTION("""COMPUTED_VALUE"""),23.03)</f>
        <v>23.03</v>
      </c>
      <c r="C9" s="3">
        <v>17.1360038863934</v>
      </c>
      <c r="D9" s="4"/>
      <c r="E9" s="12"/>
      <c r="F9" s="13"/>
      <c r="G9" s="13"/>
      <c r="H9" s="13"/>
      <c r="I9" s="13"/>
      <c r="J9" s="13"/>
      <c r="K9" s="13"/>
      <c r="L9" s="14"/>
      <c r="M9" s="14"/>
      <c r="N9" s="15"/>
    </row>
    <row r="10" spans="1:14" ht="15.75" customHeight="1" x14ac:dyDescent="0.15">
      <c r="A10" s="1">
        <f ca="1">IFERROR(__xludf.DUMMYFUNCTION("""COMPUTED_VALUE"""),43172.6666666666)</f>
        <v>43172.666666666599</v>
      </c>
      <c r="B10" s="2">
        <f ca="1">IFERROR(__xludf.DUMMYFUNCTION("""COMPUTED_VALUE"""),22.79)</f>
        <v>22.79</v>
      </c>
      <c r="C10" s="3">
        <v>16.516463752209201</v>
      </c>
      <c r="D10" s="4"/>
      <c r="E10" s="12"/>
      <c r="F10" s="13"/>
      <c r="G10" s="13"/>
      <c r="H10" s="13"/>
      <c r="I10" s="13"/>
      <c r="J10" s="13"/>
      <c r="K10" s="13"/>
      <c r="L10" s="14"/>
      <c r="M10" s="14"/>
      <c r="N10" s="15"/>
    </row>
    <row r="11" spans="1:14" ht="15.75" customHeight="1" x14ac:dyDescent="0.15">
      <c r="A11" s="1">
        <f ca="1">IFERROR(__xludf.DUMMYFUNCTION("""COMPUTED_VALUE"""),43173.6666666666)</f>
        <v>43173.666666666599</v>
      </c>
      <c r="B11" s="2">
        <f ca="1">IFERROR(__xludf.DUMMYFUNCTION("""COMPUTED_VALUE"""),21.78)</f>
        <v>21.78</v>
      </c>
      <c r="C11" s="3">
        <v>17.151412178071102</v>
      </c>
      <c r="D11" s="4"/>
      <c r="E11" s="12"/>
      <c r="F11" s="13"/>
      <c r="G11" s="13"/>
      <c r="H11" s="13"/>
      <c r="I11" s="13"/>
      <c r="J11" s="13"/>
      <c r="K11" s="13"/>
      <c r="L11" s="14"/>
      <c r="M11" s="14"/>
      <c r="N11" s="15"/>
    </row>
    <row r="12" spans="1:14" ht="15.75" customHeight="1" x14ac:dyDescent="0.15">
      <c r="A12" s="1">
        <f ca="1">IFERROR(__xludf.DUMMYFUNCTION("""COMPUTED_VALUE"""),43174.6666666666)</f>
        <v>43174.666666666599</v>
      </c>
      <c r="B12" s="2">
        <f ca="1">IFERROR(__xludf.DUMMYFUNCTION("""COMPUTED_VALUE"""),21.71)</f>
        <v>21.71</v>
      </c>
      <c r="C12" s="3">
        <v>17.378466803914002</v>
      </c>
      <c r="D12" s="4"/>
      <c r="E12" s="12"/>
      <c r="F12" s="13"/>
      <c r="G12" s="13"/>
      <c r="H12" s="13"/>
      <c r="I12" s="13"/>
      <c r="J12" s="13"/>
      <c r="K12" s="13"/>
      <c r="L12" s="14"/>
      <c r="M12" s="14"/>
      <c r="N12" s="15"/>
    </row>
    <row r="13" spans="1:14" ht="15.75" customHeight="1" x14ac:dyDescent="0.15">
      <c r="A13" s="1">
        <f ca="1">IFERROR(__xludf.DUMMYFUNCTION("""COMPUTED_VALUE"""),43175.6666666666)</f>
        <v>43175.666666666599</v>
      </c>
      <c r="B13" s="2">
        <f ca="1">IFERROR(__xludf.DUMMYFUNCTION("""COMPUTED_VALUE"""),21.42)</f>
        <v>21.42</v>
      </c>
      <c r="C13" s="3">
        <v>17.683863606460601</v>
      </c>
      <c r="D13" s="4"/>
      <c r="E13" s="12"/>
      <c r="F13" s="13"/>
      <c r="G13" s="13"/>
      <c r="H13" s="13"/>
      <c r="I13" s="13"/>
      <c r="J13" s="13"/>
      <c r="K13" s="13"/>
      <c r="L13" s="14"/>
      <c r="M13" s="14"/>
      <c r="N13" s="15"/>
    </row>
    <row r="14" spans="1:14" ht="15.75" customHeight="1" x14ac:dyDescent="0.15">
      <c r="A14" s="1">
        <f ca="1">IFERROR(__xludf.DUMMYFUNCTION("""COMPUTED_VALUE"""),43178.6666666666)</f>
        <v>43178.666666666599</v>
      </c>
      <c r="B14" s="2">
        <f ca="1">IFERROR(__xludf.DUMMYFUNCTION("""COMPUTED_VALUE"""),20.9)</f>
        <v>20.9</v>
      </c>
      <c r="C14" s="3">
        <v>22.5477425698951</v>
      </c>
      <c r="D14" s="4"/>
      <c r="E14" s="12"/>
      <c r="F14" s="13"/>
      <c r="G14" s="13"/>
      <c r="H14" s="13"/>
      <c r="I14" s="13"/>
      <c r="J14" s="13"/>
      <c r="K14" s="13"/>
      <c r="L14" s="14"/>
      <c r="M14" s="14"/>
      <c r="N14" s="15"/>
    </row>
    <row r="15" spans="1:14" ht="15.75" customHeight="1" x14ac:dyDescent="0.15">
      <c r="A15" s="1">
        <f ca="1">IFERROR(__xludf.DUMMYFUNCTION("""COMPUTED_VALUE"""),43179.6666666666)</f>
        <v>43179.666666666599</v>
      </c>
      <c r="B15" s="2">
        <f ca="1">IFERROR(__xludf.DUMMYFUNCTION("""COMPUTED_VALUE"""),20.7)</f>
        <v>20.7</v>
      </c>
      <c r="C15" s="3">
        <v>22.6823819987818</v>
      </c>
      <c r="D15" s="4"/>
      <c r="E15" s="12"/>
      <c r="F15" s="13"/>
      <c r="G15" s="13"/>
      <c r="H15" s="13"/>
      <c r="I15" s="13"/>
      <c r="J15" s="13"/>
      <c r="K15" s="13"/>
      <c r="L15" s="14"/>
      <c r="M15" s="14"/>
      <c r="N15" s="15"/>
    </row>
    <row r="16" spans="1:14" ht="15.75" customHeight="1" x14ac:dyDescent="0.15">
      <c r="A16" s="1">
        <f ca="1">IFERROR(__xludf.DUMMYFUNCTION("""COMPUTED_VALUE"""),43180.6666666666)</f>
        <v>43180.666666666599</v>
      </c>
      <c r="B16" s="2">
        <f ca="1">IFERROR(__xludf.DUMMYFUNCTION("""COMPUTED_VALUE"""),21.1)</f>
        <v>21.1</v>
      </c>
      <c r="C16" s="3">
        <v>23.9114431414209</v>
      </c>
      <c r="D16" s="4"/>
      <c r="E16" s="12"/>
      <c r="F16" s="13"/>
      <c r="G16" s="13"/>
      <c r="H16" s="13"/>
      <c r="I16" s="13"/>
      <c r="J16" s="13"/>
      <c r="K16" s="13"/>
      <c r="L16" s="14"/>
      <c r="M16" s="14"/>
      <c r="N16" s="15"/>
    </row>
    <row r="17" spans="1:14" ht="15.75" customHeight="1" x14ac:dyDescent="0.15">
      <c r="A17" s="1">
        <f ca="1">IFERROR(__xludf.DUMMYFUNCTION("""COMPUTED_VALUE"""),43181.6666666666)</f>
        <v>43181.666666666599</v>
      </c>
      <c r="B17" s="2">
        <f ca="1">IFERROR(__xludf.DUMMYFUNCTION("""COMPUTED_VALUE"""),20.61)</f>
        <v>20.61</v>
      </c>
      <c r="C17" s="3">
        <v>24.569259713714999</v>
      </c>
      <c r="D17" s="4"/>
      <c r="E17" s="12"/>
      <c r="F17" s="13"/>
      <c r="G17" s="13"/>
      <c r="H17" s="13"/>
      <c r="I17" s="13"/>
      <c r="J17" s="13"/>
      <c r="K17" s="13"/>
      <c r="L17" s="14"/>
      <c r="M17" s="14"/>
      <c r="N17" s="15"/>
    </row>
    <row r="18" spans="1:14" ht="15.75" customHeight="1" x14ac:dyDescent="0.15">
      <c r="A18" s="1">
        <f ca="1">IFERROR(__xludf.DUMMYFUNCTION("""COMPUTED_VALUE"""),43182.6666666666)</f>
        <v>43182.666666666599</v>
      </c>
      <c r="B18" s="2">
        <f ca="1">IFERROR(__xludf.DUMMYFUNCTION("""COMPUTED_VALUE"""),20.1)</f>
        <v>20.100000000000001</v>
      </c>
      <c r="C18" s="3">
        <v>25.1428075379761</v>
      </c>
      <c r="D18" s="4"/>
      <c r="E18" s="12"/>
      <c r="F18" s="13"/>
      <c r="G18" s="13"/>
      <c r="H18" s="13"/>
      <c r="I18" s="13"/>
      <c r="J18" s="13"/>
      <c r="K18" s="13"/>
      <c r="L18" s="14"/>
      <c r="M18" s="14"/>
      <c r="N18" s="15"/>
    </row>
    <row r="19" spans="1:14" ht="15.75" customHeight="1" x14ac:dyDescent="0.15">
      <c r="A19" s="1">
        <f ca="1">IFERROR(__xludf.DUMMYFUNCTION("""COMPUTED_VALUE"""),43185.6666666666)</f>
        <v>43185.666666666599</v>
      </c>
      <c r="B19" s="2">
        <f ca="1">IFERROR(__xludf.DUMMYFUNCTION("""COMPUTED_VALUE"""),20.28)</f>
        <v>20.28</v>
      </c>
      <c r="C19" s="3">
        <v>29.8990576183675</v>
      </c>
      <c r="D19" s="4"/>
      <c r="E19" s="12"/>
      <c r="F19" s="13"/>
      <c r="G19" s="13"/>
      <c r="H19" s="13"/>
      <c r="I19" s="13"/>
      <c r="J19" s="13"/>
      <c r="K19" s="13"/>
      <c r="L19" s="14"/>
      <c r="M19" s="14"/>
      <c r="N19" s="15"/>
    </row>
    <row r="20" spans="1:14" ht="15.75" customHeight="1" x14ac:dyDescent="0.15">
      <c r="A20" s="1">
        <f ca="1">IFERROR(__xludf.DUMMYFUNCTION("""COMPUTED_VALUE"""),43186.6666666666)</f>
        <v>43186.666666666599</v>
      </c>
      <c r="B20" s="2">
        <f ca="1">IFERROR(__xludf.DUMMYFUNCTION("""COMPUTED_VALUE"""),18.61)</f>
        <v>18.61</v>
      </c>
      <c r="C20" s="3">
        <v>29.7314241562778</v>
      </c>
      <c r="D20" s="4"/>
      <c r="E20" s="12"/>
      <c r="F20" s="13"/>
      <c r="G20" s="13"/>
      <c r="H20" s="13"/>
      <c r="I20" s="13"/>
      <c r="J20" s="13"/>
      <c r="K20" s="13"/>
      <c r="L20" s="14"/>
      <c r="M20" s="14"/>
      <c r="N20" s="15"/>
    </row>
    <row r="21" spans="1:14" ht="15.75" customHeight="1" x14ac:dyDescent="0.15">
      <c r="A21" s="1">
        <f ca="1">IFERROR(__xludf.DUMMYFUNCTION("""COMPUTED_VALUE"""),43187.6666666666)</f>
        <v>43187.666666666599</v>
      </c>
      <c r="B21" s="2">
        <f ca="1">IFERROR(__xludf.DUMMYFUNCTION("""COMPUTED_VALUE"""),17.19)</f>
        <v>17.190000000000001</v>
      </c>
      <c r="C21" s="3">
        <v>30.550518803502499</v>
      </c>
      <c r="D21" s="4"/>
      <c r="E21" s="12"/>
      <c r="F21" s="13"/>
      <c r="G21" s="13"/>
      <c r="H21" s="13"/>
      <c r="I21" s="13"/>
      <c r="J21" s="13"/>
      <c r="K21" s="13"/>
      <c r="L21" s="14"/>
      <c r="M21" s="14"/>
      <c r="N21" s="15"/>
    </row>
    <row r="22" spans="1:14" ht="15.75" customHeight="1" x14ac:dyDescent="0.15">
      <c r="A22" s="1">
        <f ca="1">IFERROR(__xludf.DUMMYFUNCTION("""COMPUTED_VALUE"""),43188.6666666666)</f>
        <v>43188.666666666599</v>
      </c>
      <c r="B22" s="2">
        <f ca="1">IFERROR(__xludf.DUMMYFUNCTION("""COMPUTED_VALUE"""),17.74)</f>
        <v>17.739999999999998</v>
      </c>
      <c r="C22" s="3">
        <v>30.708895585335299</v>
      </c>
      <c r="E22" s="16"/>
      <c r="F22" s="14"/>
      <c r="G22" s="14"/>
      <c r="H22" s="14"/>
      <c r="I22" s="14"/>
      <c r="J22" s="14"/>
      <c r="K22" s="14"/>
      <c r="L22" s="14"/>
      <c r="M22" s="14"/>
      <c r="N22" s="15"/>
    </row>
    <row r="23" spans="1:14" ht="15.75" customHeight="1" x14ac:dyDescent="0.15">
      <c r="A23" s="1">
        <f ca="1">IFERROR(__xludf.DUMMYFUNCTION("""COMPUTED_VALUE"""),43192.6666666666)</f>
        <v>43192.666666666599</v>
      </c>
      <c r="B23" s="2">
        <f ca="1">IFERROR(__xludf.DUMMYFUNCTION("""COMPUTED_VALUE"""),16.83)</f>
        <v>16.829999999999998</v>
      </c>
      <c r="C23" s="3">
        <v>33.537581602084501</v>
      </c>
      <c r="E23" s="20"/>
      <c r="F23" s="21"/>
      <c r="G23" s="21"/>
      <c r="H23" s="21"/>
      <c r="I23" s="21"/>
      <c r="J23" s="21"/>
      <c r="K23" s="21"/>
      <c r="L23" s="21"/>
      <c r="M23" s="21"/>
      <c r="N23" s="22"/>
    </row>
    <row r="24" spans="1:14" ht="15.75" customHeight="1" x14ac:dyDescent="0.15">
      <c r="A24" s="1">
        <f ca="1">IFERROR(__xludf.DUMMYFUNCTION("""COMPUTED_VALUE"""),43193.6666666666)</f>
        <v>43193.666666666599</v>
      </c>
      <c r="B24" s="2">
        <f ca="1">IFERROR(__xludf.DUMMYFUNCTION("""COMPUTED_VALUE"""),17.84)</f>
        <v>17.84</v>
      </c>
      <c r="C24" s="3">
        <v>32.7150651386739</v>
      </c>
      <c r="E24" s="16"/>
      <c r="F24" s="14"/>
      <c r="G24" s="14"/>
      <c r="H24" s="14"/>
      <c r="I24" s="14"/>
      <c r="J24" s="14"/>
      <c r="K24" s="14"/>
      <c r="L24" s="14"/>
      <c r="M24" s="14"/>
      <c r="N24" s="15"/>
    </row>
    <row r="25" spans="1:14" ht="15.75" customHeight="1" x14ac:dyDescent="0.15">
      <c r="A25" s="1">
        <f ca="1">IFERROR(__xludf.DUMMYFUNCTION("""COMPUTED_VALUE"""),43194.6666666666)</f>
        <v>43194.666666666599</v>
      </c>
      <c r="B25" s="2">
        <f ca="1">IFERROR(__xludf.DUMMYFUNCTION("""COMPUTED_VALUE"""),19.13)</f>
        <v>19.13</v>
      </c>
      <c r="C25" s="3">
        <v>32.9021489140817</v>
      </c>
      <c r="E25" s="16"/>
      <c r="F25" s="14"/>
      <c r="G25" s="14"/>
      <c r="H25" s="14"/>
      <c r="I25" s="14"/>
      <c r="J25" s="14"/>
      <c r="K25" s="14"/>
      <c r="L25" s="14"/>
      <c r="M25" s="14"/>
      <c r="N25" s="15"/>
    </row>
    <row r="26" spans="1:14" ht="15.75" customHeight="1" x14ac:dyDescent="0.15">
      <c r="A26" s="1">
        <f ca="1">IFERROR(__xludf.DUMMYFUNCTION("""COMPUTED_VALUE"""),43195.6666666666)</f>
        <v>43195.666666666599</v>
      </c>
      <c r="B26" s="2">
        <f ca="1">IFERROR(__xludf.DUMMYFUNCTION("""COMPUTED_VALUE"""),20.38)</f>
        <v>20.38</v>
      </c>
      <c r="C26" s="3">
        <v>32.465487469824602</v>
      </c>
      <c r="E26" s="16"/>
      <c r="F26" s="14"/>
      <c r="G26" s="14"/>
      <c r="H26" s="14"/>
      <c r="I26" s="14"/>
      <c r="J26" s="14"/>
      <c r="K26" s="14"/>
      <c r="L26" s="14"/>
      <c r="M26" s="14"/>
      <c r="N26" s="15"/>
    </row>
    <row r="27" spans="1:14" ht="15.75" customHeight="1" x14ac:dyDescent="0.15">
      <c r="A27" s="1">
        <f ca="1">IFERROR(__xludf.DUMMYFUNCTION("""COMPUTED_VALUE"""),43196.6666666666)</f>
        <v>43196.666666666599</v>
      </c>
      <c r="B27" s="2">
        <f ca="1">IFERROR(__xludf.DUMMYFUNCTION("""COMPUTED_VALUE"""),19.95)</f>
        <v>19.95</v>
      </c>
      <c r="C27" s="3">
        <v>31.923030990191201</v>
      </c>
      <c r="E27" s="16"/>
      <c r="F27" s="14"/>
      <c r="G27" s="14"/>
      <c r="H27" s="14"/>
      <c r="I27" s="14"/>
      <c r="J27" s="14"/>
      <c r="K27" s="14"/>
      <c r="L27" s="14"/>
      <c r="M27" s="14"/>
      <c r="N27" s="15"/>
    </row>
    <row r="28" spans="1:14" ht="15.75" customHeight="1" x14ac:dyDescent="0.15">
      <c r="A28" s="1">
        <f ca="1">IFERROR(__xludf.DUMMYFUNCTION("""COMPUTED_VALUE"""),43199.6666666666)</f>
        <v>43199.666666666599</v>
      </c>
      <c r="B28" s="2">
        <f ca="1">IFERROR(__xludf.DUMMYFUNCTION("""COMPUTED_VALUE"""),19.31)</f>
        <v>19.309999999999999</v>
      </c>
      <c r="C28" s="3">
        <v>33.474087159171702</v>
      </c>
      <c r="E28" s="16"/>
      <c r="F28" s="14"/>
      <c r="G28" s="14"/>
      <c r="H28" s="14"/>
      <c r="I28" s="14"/>
      <c r="J28" s="14"/>
      <c r="K28" s="14"/>
      <c r="L28" s="14"/>
      <c r="M28" s="14"/>
      <c r="N28" s="15"/>
    </row>
    <row r="29" spans="1:14" ht="15.75" customHeight="1" x14ac:dyDescent="0.15">
      <c r="A29" s="1">
        <f ca="1">IFERROR(__xludf.DUMMYFUNCTION("""COMPUTED_VALUE"""),43200.6666666666)</f>
        <v>43200.666666666599</v>
      </c>
      <c r="B29" s="2">
        <f ca="1">IFERROR(__xludf.DUMMYFUNCTION("""COMPUTED_VALUE"""),20.31)</f>
        <v>20.309999999999999</v>
      </c>
      <c r="C29" s="3">
        <v>32.358879963290903</v>
      </c>
      <c r="E29" s="16"/>
      <c r="F29" s="14"/>
      <c r="G29" s="14"/>
      <c r="H29" s="14"/>
      <c r="I29" s="14"/>
      <c r="J29" s="14"/>
      <c r="K29" s="14"/>
      <c r="L29" s="14"/>
      <c r="M29" s="14"/>
      <c r="N29" s="15"/>
    </row>
    <row r="30" spans="1:14" ht="15.75" customHeight="1" x14ac:dyDescent="0.15">
      <c r="A30" s="1">
        <f ca="1">IFERROR(__xludf.DUMMYFUNCTION("""COMPUTED_VALUE"""),43201.6666666666)</f>
        <v>43201.666666666599</v>
      </c>
      <c r="B30" s="2">
        <f ca="1">IFERROR(__xludf.DUMMYFUNCTION("""COMPUTED_VALUE"""),20.06)</f>
        <v>20.059999999999999</v>
      </c>
      <c r="C30" s="3">
        <v>32.316887106262101</v>
      </c>
      <c r="E30" s="16"/>
      <c r="F30" s="14"/>
      <c r="G30" s="14"/>
      <c r="H30" s="14"/>
      <c r="I30" s="14"/>
      <c r="J30" s="14"/>
      <c r="K30" s="14"/>
      <c r="L30" s="14"/>
      <c r="M30" s="14"/>
      <c r="N30" s="15"/>
    </row>
    <row r="31" spans="1:14" ht="15.75" customHeight="1" x14ac:dyDescent="0.15">
      <c r="A31" s="1">
        <f ca="1">IFERROR(__xludf.DUMMYFUNCTION("""COMPUTED_VALUE"""),43202.6666666666)</f>
        <v>43202.666666666599</v>
      </c>
      <c r="B31" s="2">
        <f ca="1">IFERROR(__xludf.DUMMYFUNCTION("""COMPUTED_VALUE"""),19.61)</f>
        <v>19.61</v>
      </c>
      <c r="C31" s="3">
        <v>31.709311250629501</v>
      </c>
      <c r="E31" s="16"/>
      <c r="F31" s="14"/>
      <c r="G31" s="14"/>
      <c r="H31" s="14"/>
      <c r="I31" s="14"/>
      <c r="J31" s="14"/>
      <c r="K31" s="14"/>
      <c r="L31" s="14"/>
      <c r="M31" s="14"/>
      <c r="N31" s="15"/>
    </row>
    <row r="32" spans="1:14" ht="15.75" customHeight="1" x14ac:dyDescent="0.15">
      <c r="A32" s="1">
        <f ca="1">IFERROR(__xludf.DUMMYFUNCTION("""COMPUTED_VALUE"""),43203.6666666666)</f>
        <v>43203.666666666599</v>
      </c>
      <c r="B32" s="2">
        <f ca="1">IFERROR(__xludf.DUMMYFUNCTION("""COMPUTED_VALUE"""),20.02)</f>
        <v>20.02</v>
      </c>
      <c r="C32" s="3">
        <v>31.0463101687447</v>
      </c>
      <c r="E32" s="16"/>
      <c r="F32" s="14"/>
      <c r="G32" s="14"/>
      <c r="H32" s="14"/>
      <c r="I32" s="14"/>
      <c r="J32" s="14"/>
      <c r="K32" s="14"/>
      <c r="L32" s="14"/>
      <c r="M32" s="14"/>
      <c r="N32" s="15"/>
    </row>
    <row r="33" spans="1:14" ht="15.75" customHeight="1" x14ac:dyDescent="0.15">
      <c r="A33" s="1">
        <f ca="1">IFERROR(__xludf.DUMMYFUNCTION("""COMPUTED_VALUE"""),43206.6666666666)</f>
        <v>43206.666666666599</v>
      </c>
      <c r="B33" s="2">
        <f ca="1">IFERROR(__xludf.DUMMYFUNCTION("""COMPUTED_VALUE"""),19.41)</f>
        <v>19.41</v>
      </c>
      <c r="C33" s="3">
        <v>32.432917493168397</v>
      </c>
      <c r="E33" s="16"/>
      <c r="F33" s="14"/>
      <c r="G33" s="14"/>
      <c r="H33" s="14"/>
      <c r="I33" s="14"/>
      <c r="J33" s="14"/>
      <c r="K33" s="14"/>
      <c r="L33" s="14"/>
      <c r="M33" s="14"/>
      <c r="N33" s="15"/>
    </row>
    <row r="34" spans="1:14" ht="15.75" customHeight="1" x14ac:dyDescent="0.15">
      <c r="A34" s="1">
        <f ca="1">IFERROR(__xludf.DUMMYFUNCTION("""COMPUTED_VALUE"""),43207.6666666666)</f>
        <v>43207.666666666599</v>
      </c>
      <c r="B34" s="2">
        <f ca="1">IFERROR(__xludf.DUMMYFUNCTION("""COMPUTED_VALUE"""),19.18)</f>
        <v>19.18</v>
      </c>
      <c r="C34" s="3">
        <v>31.287712965438999</v>
      </c>
      <c r="E34" s="16"/>
      <c r="F34" s="14"/>
      <c r="G34" s="14"/>
      <c r="H34" s="14"/>
      <c r="I34" s="14"/>
      <c r="J34" s="14"/>
      <c r="K34" s="14"/>
      <c r="L34" s="14"/>
      <c r="M34" s="14"/>
      <c r="N34" s="15"/>
    </row>
    <row r="35" spans="1:14" ht="15.75" customHeight="1" x14ac:dyDescent="0.15">
      <c r="A35" s="1">
        <f ca="1">IFERROR(__xludf.DUMMYFUNCTION("""COMPUTED_VALUE"""),43208.6666666666)</f>
        <v>43208.666666666599</v>
      </c>
      <c r="B35" s="2">
        <f ca="1">IFERROR(__xludf.DUMMYFUNCTION("""COMPUTED_VALUE"""),19.56)</f>
        <v>19.559999999999999</v>
      </c>
      <c r="C35" s="3">
        <v>31.2064445655732</v>
      </c>
      <c r="E35" s="16"/>
      <c r="F35" s="14"/>
      <c r="G35" s="14"/>
      <c r="H35" s="14"/>
      <c r="I35" s="14"/>
      <c r="J35" s="14"/>
      <c r="K35" s="14"/>
      <c r="L35" s="14"/>
      <c r="M35" s="14"/>
      <c r="N35" s="15"/>
    </row>
    <row r="36" spans="1:14" ht="15.75" customHeight="1" x14ac:dyDescent="0.15">
      <c r="A36" s="1">
        <f ca="1">IFERROR(__xludf.DUMMYFUNCTION("""COMPUTED_VALUE"""),43209.6666666666)</f>
        <v>43209.666666666599</v>
      </c>
      <c r="B36" s="2">
        <f ca="1">IFERROR(__xludf.DUMMYFUNCTION("""COMPUTED_VALUE"""),20.01)</f>
        <v>20.010000000000002</v>
      </c>
      <c r="C36" s="3">
        <v>30.5376229919354</v>
      </c>
      <c r="E36" s="16"/>
      <c r="F36" s="14"/>
      <c r="G36" s="14"/>
      <c r="H36" s="14"/>
      <c r="I36" s="14"/>
      <c r="J36" s="14"/>
      <c r="K36" s="14"/>
      <c r="L36" s="14"/>
      <c r="M36" s="14"/>
      <c r="N36" s="15"/>
    </row>
    <row r="37" spans="1:14" ht="15.75" customHeight="1" x14ac:dyDescent="0.15">
      <c r="A37" s="1">
        <f ca="1">IFERROR(__xludf.DUMMYFUNCTION("""COMPUTED_VALUE"""),43210.6666666666)</f>
        <v>43210.666666666599</v>
      </c>
      <c r="B37" s="2">
        <f ca="1">IFERROR(__xludf.DUMMYFUNCTION("""COMPUTED_VALUE"""),19.35)</f>
        <v>19.350000000000001</v>
      </c>
      <c r="C37" s="3">
        <v>29.779616579449701</v>
      </c>
      <c r="E37" s="16"/>
      <c r="F37" s="14"/>
      <c r="G37" s="14"/>
      <c r="H37" s="14"/>
      <c r="I37" s="14"/>
      <c r="J37" s="14"/>
      <c r="K37" s="14"/>
      <c r="L37" s="14"/>
      <c r="M37" s="14"/>
      <c r="N37" s="15"/>
    </row>
    <row r="38" spans="1:14" ht="15.75" customHeight="1" x14ac:dyDescent="0.15">
      <c r="A38" s="1">
        <f ca="1">IFERROR(__xludf.DUMMYFUNCTION("""COMPUTED_VALUE"""),43213.6666666666)</f>
        <v>43213.666666666599</v>
      </c>
      <c r="B38" s="2">
        <f ca="1">IFERROR(__xludf.DUMMYFUNCTION("""COMPUTED_VALUE"""),18.89)</f>
        <v>18.89</v>
      </c>
      <c r="C38" s="3">
        <v>30.583437635173599</v>
      </c>
      <c r="E38" s="16"/>
      <c r="F38" s="14"/>
      <c r="G38" s="14"/>
      <c r="H38" s="14"/>
      <c r="I38" s="14"/>
      <c r="J38" s="14"/>
      <c r="K38" s="14"/>
      <c r="L38" s="14"/>
      <c r="M38" s="14"/>
      <c r="N38" s="15"/>
    </row>
    <row r="39" spans="1:14" ht="15.75" customHeight="1" x14ac:dyDescent="0.15">
      <c r="A39" s="1">
        <f ca="1">IFERROR(__xludf.DUMMYFUNCTION("""COMPUTED_VALUE"""),43214.6666666666)</f>
        <v>43214.666666666599</v>
      </c>
      <c r="B39" s="2">
        <f ca="1">IFERROR(__xludf.DUMMYFUNCTION("""COMPUTED_VALUE"""),18.9)</f>
        <v>18.899999999999999</v>
      </c>
      <c r="C39" s="3">
        <v>29.123068712532699</v>
      </c>
      <c r="E39" s="16"/>
      <c r="F39" s="14"/>
      <c r="G39" s="14"/>
      <c r="H39" s="14"/>
      <c r="I39" s="14"/>
      <c r="J39" s="14"/>
      <c r="K39" s="14"/>
      <c r="L39" s="14"/>
      <c r="M39" s="14"/>
      <c r="N39" s="15"/>
    </row>
    <row r="40" spans="1:14" ht="15.75" customHeight="1" x14ac:dyDescent="0.15">
      <c r="A40" s="1">
        <f ca="1">IFERROR(__xludf.DUMMYFUNCTION("""COMPUTED_VALUE"""),43215.6666666666)</f>
        <v>43215.666666666599</v>
      </c>
      <c r="B40" s="2">
        <f ca="1">IFERROR(__xludf.DUMMYFUNCTION("""COMPUTED_VALUE"""),18.71)</f>
        <v>18.71</v>
      </c>
      <c r="C40" s="3">
        <v>28.661349466970002</v>
      </c>
      <c r="E40" s="16"/>
      <c r="F40" s="14"/>
      <c r="G40" s="14"/>
      <c r="H40" s="14"/>
      <c r="I40" s="14"/>
      <c r="J40" s="14"/>
      <c r="K40" s="14"/>
      <c r="L40" s="14"/>
      <c r="M40" s="14"/>
      <c r="N40" s="15"/>
    </row>
    <row r="41" spans="1:14" ht="15.75" customHeight="1" x14ac:dyDescent="0.15">
      <c r="A41" s="1">
        <f ca="1">IFERROR(__xludf.DUMMYFUNCTION("""COMPUTED_VALUE"""),43216.6666666666)</f>
        <v>43216.666666666599</v>
      </c>
      <c r="B41" s="2">
        <f ca="1">IFERROR(__xludf.DUMMYFUNCTION("""COMPUTED_VALUE"""),19.03)</f>
        <v>19.03</v>
      </c>
      <c r="C41" s="3">
        <v>27.547822760290099</v>
      </c>
      <c r="E41" s="16"/>
      <c r="F41" s="14"/>
      <c r="G41" s="14"/>
      <c r="H41" s="14"/>
      <c r="I41" s="14"/>
      <c r="J41" s="14"/>
      <c r="K41" s="14"/>
      <c r="L41" s="14"/>
      <c r="M41" s="14"/>
      <c r="N41" s="15"/>
    </row>
    <row r="42" spans="1:14" ht="15.75" customHeight="1" x14ac:dyDescent="0.15">
      <c r="A42" s="1">
        <f ca="1">IFERROR(__xludf.DUMMYFUNCTION("""COMPUTED_VALUE"""),43217.6666666666)</f>
        <v>43217.666666666599</v>
      </c>
      <c r="B42" s="2">
        <f ca="1">IFERROR(__xludf.DUMMYFUNCTION("""COMPUTED_VALUE"""),19.61)</f>
        <v>19.61</v>
      </c>
      <c r="C42" s="3">
        <v>26.284577102494001</v>
      </c>
      <c r="E42" s="16"/>
      <c r="F42" s="14"/>
      <c r="G42" s="14"/>
      <c r="H42" s="14"/>
      <c r="I42" s="14"/>
      <c r="J42" s="14"/>
      <c r="K42" s="14"/>
      <c r="L42" s="14"/>
      <c r="M42" s="14"/>
      <c r="N42" s="15"/>
    </row>
    <row r="43" spans="1:14" ht="15.75" customHeight="1" thickBot="1" x14ac:dyDescent="0.2">
      <c r="A43" s="1">
        <f ca="1">IFERROR(__xludf.DUMMYFUNCTION("""COMPUTED_VALUE"""),43220.6666666666)</f>
        <v>43220.666666666599</v>
      </c>
      <c r="B43" s="2">
        <f ca="1">IFERROR(__xludf.DUMMYFUNCTION("""COMPUTED_VALUE"""),19.59)</f>
        <v>19.59</v>
      </c>
      <c r="C43" s="3">
        <v>25.284902830902201</v>
      </c>
      <c r="E43" s="17"/>
      <c r="F43" s="18"/>
      <c r="G43" s="18"/>
      <c r="H43" s="18"/>
      <c r="I43" s="18"/>
      <c r="J43" s="18"/>
      <c r="K43" s="18"/>
      <c r="L43" s="18"/>
      <c r="M43" s="18"/>
      <c r="N43" s="19"/>
    </row>
    <row r="44" spans="1:14" ht="15.75" customHeight="1" x14ac:dyDescent="0.15">
      <c r="A44" s="1">
        <f ca="1">IFERROR(__xludf.DUMMYFUNCTION("""COMPUTED_VALUE"""),43221.6666666666)</f>
        <v>43221.666666666599</v>
      </c>
      <c r="B44" s="2">
        <f ca="1">IFERROR(__xludf.DUMMYFUNCTION("""COMPUTED_VALUE"""),19.99)</f>
        <v>19.989999999999998</v>
      </c>
      <c r="C44" s="3">
        <v>23.163852429066999</v>
      </c>
    </row>
    <row r="45" spans="1:14" ht="15.75" customHeight="1" x14ac:dyDescent="0.15">
      <c r="A45" s="1">
        <f ca="1">IFERROR(__xludf.DUMMYFUNCTION("""COMPUTED_VALUE"""),43222.6666666666)</f>
        <v>43222.666666666599</v>
      </c>
      <c r="B45" s="2">
        <f ca="1">IFERROR(__xludf.DUMMYFUNCTION("""COMPUTED_VALUE"""),20.08)</f>
        <v>20.079999999999998</v>
      </c>
      <c r="C45" s="3">
        <v>22.0344478861219</v>
      </c>
    </row>
    <row r="46" spans="1:14" ht="15.75" customHeight="1" x14ac:dyDescent="0.15">
      <c r="A46" s="1">
        <f ca="1">IFERROR(__xludf.DUMMYFUNCTION("""COMPUTED_VALUE"""),43223.6666666666)</f>
        <v>43223.666666666599</v>
      </c>
      <c r="B46" s="2">
        <f ca="1">IFERROR(__xludf.DUMMYFUNCTION("""COMPUTED_VALUE"""),18.96)</f>
        <v>18.96</v>
      </c>
      <c r="C46" s="3">
        <v>20.261791307589601</v>
      </c>
    </row>
    <row r="47" spans="1:14" ht="13" x14ac:dyDescent="0.15">
      <c r="A47" s="1">
        <f ca="1">IFERROR(__xludf.DUMMYFUNCTION("""COMPUTED_VALUE"""),43224.6666666666)</f>
        <v>43224.666666666599</v>
      </c>
      <c r="B47" s="2">
        <f ca="1">IFERROR(__xludf.DUMMYFUNCTION("""COMPUTED_VALUE"""),19.61)</f>
        <v>19.61</v>
      </c>
      <c r="C47" s="3">
        <v>18.364166636740499</v>
      </c>
    </row>
    <row r="48" spans="1:14" ht="13" x14ac:dyDescent="0.15">
      <c r="A48" s="1">
        <f ca="1">IFERROR(__xludf.DUMMYFUNCTION("""COMPUTED_VALUE"""),43227.6666666666)</f>
        <v>43227.666666666599</v>
      </c>
      <c r="B48" s="2">
        <f ca="1">IFERROR(__xludf.DUMMYFUNCTION("""COMPUTED_VALUE"""),20.18)</f>
        <v>20.18</v>
      </c>
      <c r="C48" s="3">
        <v>15.770995348721399</v>
      </c>
    </row>
    <row r="49" spans="1:3" ht="13" x14ac:dyDescent="0.15">
      <c r="A49" s="1">
        <f ca="1">IFERROR(__xludf.DUMMYFUNCTION("""COMPUTED_VALUE"""),43228.6666666666)</f>
        <v>43228.666666666599</v>
      </c>
      <c r="B49" s="2">
        <f ca="1">IFERROR(__xludf.DUMMYFUNCTION("""COMPUTED_VALUE"""),20.13)</f>
        <v>20.13</v>
      </c>
      <c r="C49" s="3">
        <v>13.271975462926299</v>
      </c>
    </row>
    <row r="50" spans="1:3" ht="13" x14ac:dyDescent="0.15">
      <c r="A50" s="1">
        <f ca="1">IFERROR(__xludf.DUMMYFUNCTION("""COMPUTED_VALUE"""),43229.6666666666)</f>
        <v>43229.666666666599</v>
      </c>
      <c r="B50" s="2">
        <f ca="1">IFERROR(__xludf.DUMMYFUNCTION("""COMPUTED_VALUE"""),20.46)</f>
        <v>20.46</v>
      </c>
      <c r="C50" s="3">
        <v>11.862689281057399</v>
      </c>
    </row>
    <row r="51" spans="1:3" ht="13" x14ac:dyDescent="0.15">
      <c r="A51" s="1">
        <f ca="1">IFERROR(__xludf.DUMMYFUNCTION("""COMPUTED_VALUE"""),43230.6666666666)</f>
        <v>43230.666666666599</v>
      </c>
      <c r="B51" s="2">
        <f ca="1">IFERROR(__xludf.DUMMYFUNCTION("""COMPUTED_VALUE"""),20.33)</f>
        <v>20.329999999999998</v>
      </c>
      <c r="C51" s="3">
        <v>9.9181555107457697</v>
      </c>
    </row>
    <row r="52" spans="1:3" ht="13" x14ac:dyDescent="0.15">
      <c r="A52" s="1">
        <f ca="1">IFERROR(__xludf.DUMMYFUNCTION("""COMPUTED_VALUE"""),43231.6666666666)</f>
        <v>43231.666666666599</v>
      </c>
      <c r="B52" s="2">
        <f ca="1">IFERROR(__xludf.DUMMYFUNCTION("""COMPUTED_VALUE"""),20.07)</f>
        <v>20.07</v>
      </c>
      <c r="C52" s="3">
        <v>7.96410753228011</v>
      </c>
    </row>
    <row r="53" spans="1:3" ht="13" x14ac:dyDescent="0.15">
      <c r="A53" s="1">
        <f ca="1">IFERROR(__xludf.DUMMYFUNCTION("""COMPUTED_VALUE"""),43234.6666666666)</f>
        <v>43234.666666666599</v>
      </c>
      <c r="B53" s="2">
        <f ca="1">IFERROR(__xludf.DUMMYFUNCTION("""COMPUTED_VALUE"""),19.46)</f>
        <v>19.46</v>
      </c>
      <c r="C53" s="3">
        <v>5.9271207801263097</v>
      </c>
    </row>
    <row r="54" spans="1:3" ht="13" x14ac:dyDescent="0.15">
      <c r="A54" s="1">
        <f ca="1">IFERROR(__xludf.DUMMYFUNCTION("""COMPUTED_VALUE"""),43235.6666666666)</f>
        <v>43235.666666666599</v>
      </c>
      <c r="B54" s="2">
        <f ca="1">IFERROR(__xludf.DUMMYFUNCTION("""COMPUTED_VALUE"""),18.95)</f>
        <v>18.95</v>
      </c>
      <c r="C54" s="3">
        <v>3.8514835568941601</v>
      </c>
    </row>
    <row r="55" spans="1:3" ht="13" x14ac:dyDescent="0.15">
      <c r="A55" s="1">
        <f ca="1">IFERROR(__xludf.DUMMYFUNCTION("""COMPUTED_VALUE"""),43236.6666666666)</f>
        <v>43236.666666666599</v>
      </c>
      <c r="B55" s="2">
        <f ca="1">IFERROR(__xludf.DUMMYFUNCTION("""COMPUTED_VALUE"""),19.1)</f>
        <v>19.100000000000001</v>
      </c>
      <c r="C55" s="3">
        <v>2.97528192471</v>
      </c>
    </row>
    <row r="56" spans="1:3" ht="13" x14ac:dyDescent="0.15">
      <c r="A56" s="1">
        <f ca="1">IFERROR(__xludf.DUMMYFUNCTION("""COMPUTED_VALUE"""),43237.6666666666)</f>
        <v>43237.666666666599</v>
      </c>
      <c r="B56" s="2">
        <f ca="1">IFERROR(__xludf.DUMMYFUNCTION("""COMPUTED_VALUE"""),18.97)</f>
        <v>18.97</v>
      </c>
      <c r="C56" s="3">
        <v>1.6637718869422</v>
      </c>
    </row>
    <row r="57" spans="1:3" ht="13" x14ac:dyDescent="0.15">
      <c r="A57" s="1">
        <f ca="1">IFERROR(__xludf.DUMMYFUNCTION("""COMPUTED_VALUE"""),43238.6666666666)</f>
        <v>43238.666666666599</v>
      </c>
      <c r="B57" s="2">
        <f ca="1">IFERROR(__xludf.DUMMYFUNCTION("""COMPUTED_VALUE"""),18.97)</f>
        <v>18.97</v>
      </c>
      <c r="C57" s="3">
        <v>0.43044570904232698</v>
      </c>
    </row>
    <row r="58" spans="1:3" ht="13" x14ac:dyDescent="0.15">
      <c r="A58" s="1">
        <f ca="1">IFERROR(__xludf.DUMMYFUNCTION("""COMPUTED_VALUE"""),43241.6666666666)</f>
        <v>43241.666666666599</v>
      </c>
      <c r="B58" s="2">
        <f ca="1">IFERROR(__xludf.DUMMYFUNCTION("""COMPUTED_VALUE"""),18.97)</f>
        <v>18.97</v>
      </c>
      <c r="C58" s="3">
        <v>0.92944036395481</v>
      </c>
    </row>
    <row r="59" spans="1:3" ht="13" x14ac:dyDescent="0.15">
      <c r="A59" s="1">
        <f ca="1">IFERROR(__xludf.DUMMYFUNCTION("""COMPUTED_VALUE"""),43242.6666666666)</f>
        <v>43242.666666666599</v>
      </c>
      <c r="B59" s="2">
        <f ca="1">IFERROR(__xludf.DUMMYFUNCTION("""COMPUTED_VALUE"""),18.33)</f>
        <v>18.329999999999998</v>
      </c>
      <c r="C59" s="3">
        <v>-0.234113338762689</v>
      </c>
    </row>
    <row r="60" spans="1:3" ht="13" x14ac:dyDescent="0.15">
      <c r="A60" s="1">
        <f ca="1">IFERROR(__xludf.DUMMYFUNCTION("""COMPUTED_VALUE"""),43243.6666666666)</f>
        <v>43243.666666666599</v>
      </c>
      <c r="B60" s="2">
        <f ca="1">IFERROR(__xludf.DUMMYFUNCTION("""COMPUTED_VALUE"""),18.6)</f>
        <v>18.600000000000001</v>
      </c>
      <c r="C60" s="3">
        <v>-0.195655806632753</v>
      </c>
    </row>
    <row r="61" spans="1:3" ht="13" x14ac:dyDescent="0.15">
      <c r="A61" s="1">
        <f ca="1">IFERROR(__xludf.DUMMYFUNCTION("""COMPUTED_VALUE"""),43244.6666666666)</f>
        <v>43244.666666666599</v>
      </c>
      <c r="B61" s="2">
        <f ca="1">IFERROR(__xludf.DUMMYFUNCTION("""COMPUTED_VALUE"""),18.52)</f>
        <v>18.52</v>
      </c>
      <c r="C61" s="3">
        <v>-0.60848736507311596</v>
      </c>
    </row>
    <row r="62" spans="1:3" ht="13" x14ac:dyDescent="0.15">
      <c r="A62" s="1">
        <f ca="1">IFERROR(__xludf.DUMMYFUNCTION("""COMPUTED_VALUE"""),43245.6666666666)</f>
        <v>43245.666666666599</v>
      </c>
      <c r="B62" s="2">
        <f ca="1">IFERROR(__xludf.DUMMYFUNCTION("""COMPUTED_VALUE"""),18.59)</f>
        <v>18.59</v>
      </c>
      <c r="C62" s="3">
        <v>-0.97701517589703002</v>
      </c>
    </row>
    <row r="63" spans="1:3" ht="13" x14ac:dyDescent="0.15">
      <c r="A63" s="1">
        <f ca="1">IFERROR(__xludf.DUMMYFUNCTION("""COMPUTED_VALUE"""),43249.6666666666)</f>
        <v>43249.666666666599</v>
      </c>
      <c r="B63" s="2">
        <f ca="1">IFERROR(__xludf.DUMMYFUNCTION("""COMPUTED_VALUE"""),18.92)</f>
        <v>18.920000000000002</v>
      </c>
      <c r="C63" s="3">
        <v>1.1697991321591299</v>
      </c>
    </row>
    <row r="64" spans="1:3" ht="13" x14ac:dyDescent="0.15">
      <c r="A64" s="1">
        <f ca="1">IFERROR(__xludf.DUMMYFUNCTION("""COMPUTED_VALUE"""),43250.6666666666)</f>
        <v>43250.666666666599</v>
      </c>
      <c r="B64" s="2">
        <f ca="1">IFERROR(__xludf.DUMMYFUNCTION("""COMPUTED_VALUE"""),19.45)</f>
        <v>19.45</v>
      </c>
      <c r="C64" s="3">
        <v>1.68967201153177</v>
      </c>
    </row>
    <row r="65" spans="1:3" ht="13" x14ac:dyDescent="0.15">
      <c r="A65" s="1">
        <f ca="1">IFERROR(__xludf.DUMMYFUNCTION("""COMPUTED_VALUE"""),43251.6666666666)</f>
        <v>43251.666666666599</v>
      </c>
      <c r="B65" s="2">
        <f ca="1">IFERROR(__xludf.DUMMYFUNCTION("""COMPUTED_VALUE"""),18.98)</f>
        <v>18.98</v>
      </c>
      <c r="C65" s="3">
        <v>1.6547065694124601</v>
      </c>
    </row>
    <row r="66" spans="1:3" ht="13" x14ac:dyDescent="0.15">
      <c r="A66" s="1">
        <f ca="1">IFERROR(__xludf.DUMMYFUNCTION("""COMPUTED_VALUE"""),43252.6666666666)</f>
        <v>43252.666666666599</v>
      </c>
      <c r="B66" s="2">
        <f ca="1">IFERROR(__xludf.DUMMYFUNCTION("""COMPUTED_VALUE"""),19.45)</f>
        <v>19.45</v>
      </c>
      <c r="C66" s="3">
        <v>1.55795080716459</v>
      </c>
    </row>
    <row r="67" spans="1:3" ht="13" x14ac:dyDescent="0.15">
      <c r="A67" s="1">
        <f ca="1">IFERROR(__xludf.DUMMYFUNCTION("""COMPUTED_VALUE"""),43255.6666666666)</f>
        <v>43255.666666666599</v>
      </c>
      <c r="B67" s="2">
        <f ca="1">IFERROR(__xludf.DUMMYFUNCTION("""COMPUTED_VALUE"""),19.78)</f>
        <v>19.78</v>
      </c>
      <c r="C67" s="3">
        <v>4.4857255573044696</v>
      </c>
    </row>
    <row r="68" spans="1:3" ht="13" x14ac:dyDescent="0.15">
      <c r="A68" s="1">
        <f ca="1">IFERROR(__xludf.DUMMYFUNCTION("""COMPUTED_VALUE"""),43256.6666666666)</f>
        <v>43256.666666666599</v>
      </c>
      <c r="B68" s="2">
        <f ca="1">IFERROR(__xludf.DUMMYFUNCTION("""COMPUTED_VALUE"""),19.41)</f>
        <v>19.41</v>
      </c>
      <c r="C68" s="3">
        <v>3.78099169433513</v>
      </c>
    </row>
    <row r="69" spans="1:3" ht="13" x14ac:dyDescent="0.15">
      <c r="A69" s="1">
        <f ca="1">IFERROR(__xludf.DUMMYFUNCTION("""COMPUTED_VALUE"""),43257.6666666666)</f>
        <v>43257.666666666599</v>
      </c>
      <c r="B69" s="2">
        <f ca="1">IFERROR(__xludf.DUMMYFUNCTION("""COMPUTED_VALUE"""),21.3)</f>
        <v>21.3</v>
      </c>
      <c r="C69" s="3">
        <v>4.1030220573754903</v>
      </c>
    </row>
    <row r="70" spans="1:3" ht="13" x14ac:dyDescent="0.15">
      <c r="A70" s="1">
        <f ca="1">IFERROR(__xludf.DUMMYFUNCTION("""COMPUTED_VALUE"""),43258.6666666666)</f>
        <v>43258.666666666599</v>
      </c>
      <c r="B70" s="2">
        <f ca="1">IFERROR(__xludf.DUMMYFUNCTION("""COMPUTED_VALUE"""),21.07)</f>
        <v>21.07</v>
      </c>
      <c r="C70" s="3">
        <v>3.8056855360133399</v>
      </c>
    </row>
    <row r="71" spans="1:3" ht="13" x14ac:dyDescent="0.15">
      <c r="A71" s="1">
        <f ca="1">IFERROR(__xludf.DUMMYFUNCTION("""COMPUTED_VALUE"""),43259.6666666666)</f>
        <v>43259.666666666599</v>
      </c>
      <c r="B71" s="2">
        <f ca="1">IFERROR(__xludf.DUMMYFUNCTION("""COMPUTED_VALUE"""),21.18)</f>
        <v>21.18</v>
      </c>
      <c r="C71" s="3">
        <v>3.3961218673909102</v>
      </c>
    </row>
    <row r="72" spans="1:3" ht="13" x14ac:dyDescent="0.15">
      <c r="A72" s="1">
        <f ca="1">IFERROR(__xludf.DUMMYFUNCTION("""COMPUTED_VALUE"""),43262.6666666666)</f>
        <v>43262.666666666599</v>
      </c>
      <c r="B72" s="2">
        <f ca="1">IFERROR(__xludf.DUMMYFUNCTION("""COMPUTED_VALUE"""),22.14)</f>
        <v>22.14</v>
      </c>
      <c r="C72" s="3">
        <v>5.2363364917574096</v>
      </c>
    </row>
    <row r="73" spans="1:3" ht="13" x14ac:dyDescent="0.15">
      <c r="A73" s="1">
        <f ca="1">IFERROR(__xludf.DUMMYFUNCTION("""COMPUTED_VALUE"""),43263.6666666666)</f>
        <v>43263.666666666599</v>
      </c>
      <c r="B73" s="2">
        <f ca="1">IFERROR(__xludf.DUMMYFUNCTION("""COMPUTED_VALUE"""),22.85)</f>
        <v>22.85</v>
      </c>
      <c r="C73" s="3">
        <v>4.1714099467252499</v>
      </c>
    </row>
    <row r="74" spans="1:3" ht="13" x14ac:dyDescent="0.15">
      <c r="A74" s="1">
        <f ca="1">IFERROR(__xludf.DUMMYFUNCTION("""COMPUTED_VALUE"""),43264.6666666666)</f>
        <v>43264.666666666599</v>
      </c>
      <c r="B74" s="2">
        <f ca="1">IFERROR(__xludf.DUMMYFUNCTION("""COMPUTED_VALUE"""),22.99)</f>
        <v>22.99</v>
      </c>
      <c r="C74" s="3">
        <v>4.1592222726564803</v>
      </c>
    </row>
    <row r="75" spans="1:3" ht="13" x14ac:dyDescent="0.15">
      <c r="A75" s="1">
        <f ca="1">IFERROR(__xludf.DUMMYFUNCTION("""COMPUTED_VALUE"""),43265.6666666666)</f>
        <v>43265.666666666599</v>
      </c>
      <c r="B75" s="2">
        <f ca="1">IFERROR(__xludf.DUMMYFUNCTION("""COMPUTED_VALUE"""),23.85)</f>
        <v>23.85</v>
      </c>
      <c r="C75" s="3">
        <v>3.5668707678777398</v>
      </c>
    </row>
    <row r="76" spans="1:3" ht="13" x14ac:dyDescent="0.15">
      <c r="A76" s="1">
        <f ca="1">IFERROR(__xludf.DUMMYFUNCTION("""COMPUTED_VALUE"""),43266.6666666666)</f>
        <v>43266.666666666599</v>
      </c>
      <c r="B76" s="2">
        <f ca="1">IFERROR(__xludf.DUMMYFUNCTION("""COMPUTED_VALUE"""),23.88)</f>
        <v>23.88</v>
      </c>
      <c r="C76" s="3">
        <v>2.9130654057056802</v>
      </c>
    </row>
    <row r="77" spans="1:3" ht="13" x14ac:dyDescent="0.15">
      <c r="A77" s="1">
        <f ca="1">IFERROR(__xludf.DUMMYFUNCTION("""COMPUTED_VALUE"""),43269.6666666666)</f>
        <v>43269.666666666599</v>
      </c>
      <c r="B77" s="2">
        <f ca="1">IFERROR(__xludf.DUMMYFUNCTION("""COMPUTED_VALUE"""),24.72)</f>
        <v>24.72</v>
      </c>
      <c r="C77" s="3">
        <v>4.4096620981910304</v>
      </c>
    </row>
    <row r="78" spans="1:3" ht="13" x14ac:dyDescent="0.15">
      <c r="A78" s="1">
        <f ca="1">IFERROR(__xludf.DUMMYFUNCTION("""COMPUTED_VALUE"""),43270.6666666666)</f>
        <v>43270.666666666599</v>
      </c>
      <c r="B78" s="2">
        <f ca="1">IFERROR(__xludf.DUMMYFUNCTION("""COMPUTED_VALUE"""),23.5)</f>
        <v>23.5</v>
      </c>
      <c r="C78" s="3">
        <v>3.3761661337503601</v>
      </c>
    </row>
    <row r="79" spans="1:3" ht="13" x14ac:dyDescent="0.15">
      <c r="A79" s="1">
        <f ca="1">IFERROR(__xludf.DUMMYFUNCTION("""COMPUTED_VALUE"""),43271.6666666666)</f>
        <v>43271.666666666599</v>
      </c>
      <c r="B79" s="2">
        <f ca="1">IFERROR(__xludf.DUMMYFUNCTION("""COMPUTED_VALUE"""),24.15)</f>
        <v>24.15</v>
      </c>
      <c r="C79" s="3">
        <v>3.4702013311715798</v>
      </c>
    </row>
    <row r="80" spans="1:3" ht="13" x14ac:dyDescent="0.15">
      <c r="A80" s="1">
        <f ca="1">IFERROR(__xludf.DUMMYFUNCTION("""COMPUTED_VALUE"""),43272.6666666666)</f>
        <v>43272.666666666599</v>
      </c>
      <c r="B80" s="2">
        <f ca="1">IFERROR(__xludf.DUMMYFUNCTION("""COMPUTED_VALUE"""),23.17)</f>
        <v>23.17</v>
      </c>
      <c r="C80" s="3">
        <v>3.05614752288048</v>
      </c>
    </row>
    <row r="81" spans="1:3" ht="13" x14ac:dyDescent="0.15">
      <c r="A81" s="1">
        <f ca="1">IFERROR(__xludf.DUMMYFUNCTION("""COMPUTED_VALUE"""),43273.6666666666)</f>
        <v>43273.666666666599</v>
      </c>
      <c r="B81" s="2">
        <f ca="1">IFERROR(__xludf.DUMMYFUNCTION("""COMPUTED_VALUE"""),22.24)</f>
        <v>22.24</v>
      </c>
      <c r="C81" s="3">
        <v>2.6476065635080102</v>
      </c>
    </row>
    <row r="82" spans="1:3" ht="13" x14ac:dyDescent="0.15">
      <c r="A82" s="1">
        <f ca="1">IFERROR(__xludf.DUMMYFUNCTION("""COMPUTED_VALUE"""),43276.6666666666)</f>
        <v>43276.666666666599</v>
      </c>
      <c r="B82" s="2">
        <f ca="1">IFERROR(__xludf.DUMMYFUNCTION("""COMPUTED_VALUE"""),22.2)</f>
        <v>22.2</v>
      </c>
      <c r="C82" s="3">
        <v>5.1995676341466899</v>
      </c>
    </row>
    <row r="83" spans="1:3" ht="13" x14ac:dyDescent="0.15">
      <c r="A83" s="1">
        <f ca="1">IFERROR(__xludf.DUMMYFUNCTION("""COMPUTED_VALUE"""),43277.6666666666)</f>
        <v>43277.666666666599</v>
      </c>
      <c r="B83" s="2">
        <f ca="1">IFERROR(__xludf.DUMMYFUNCTION("""COMPUTED_VALUE"""),22.8)</f>
        <v>22.8</v>
      </c>
      <c r="C83" s="3">
        <v>4.5887347999949704</v>
      </c>
    </row>
    <row r="84" spans="1:3" ht="13" x14ac:dyDescent="0.15">
      <c r="A84" s="1">
        <f ca="1">IFERROR(__xludf.DUMMYFUNCTION("""COMPUTED_VALUE"""),43278.6666666666)</f>
        <v>43278.666666666599</v>
      </c>
      <c r="B84" s="2">
        <f ca="1">IFERROR(__xludf.DUMMYFUNCTION("""COMPUTED_VALUE"""),22.97)</f>
        <v>22.97</v>
      </c>
      <c r="C84" s="3">
        <v>5.1202239358002704</v>
      </c>
    </row>
    <row r="85" spans="1:3" ht="13" x14ac:dyDescent="0.15">
      <c r="A85" s="1">
        <f ca="1">IFERROR(__xludf.DUMMYFUNCTION("""COMPUTED_VALUE"""),43279.6666666666)</f>
        <v>43279.666666666599</v>
      </c>
      <c r="B85" s="2">
        <f ca="1">IFERROR(__xludf.DUMMYFUNCTION("""COMPUTED_VALUE"""),23.33)</f>
        <v>23.33</v>
      </c>
      <c r="C85" s="3">
        <v>5.1452038542888197</v>
      </c>
    </row>
    <row r="86" spans="1:3" ht="13" x14ac:dyDescent="0.15">
      <c r="A86" s="1">
        <f ca="1">IFERROR(__xludf.DUMMYFUNCTION("""COMPUTED_VALUE"""),43280.6666666666)</f>
        <v>43280.666666666599</v>
      </c>
      <c r="B86" s="2">
        <f ca="1">IFERROR(__xludf.DUMMYFUNCTION("""COMPUTED_VALUE"""),22.86)</f>
        <v>22.86</v>
      </c>
      <c r="C86" s="3">
        <v>5.1641266947211601</v>
      </c>
    </row>
    <row r="87" spans="1:3" ht="13" x14ac:dyDescent="0.15">
      <c r="A87" s="1">
        <f ca="1">IFERROR(__xludf.DUMMYFUNCTION("""COMPUTED_VALUE"""),43283.6666666666)</f>
        <v>43283.666666666599</v>
      </c>
      <c r="B87" s="2">
        <f ca="1">IFERROR(__xludf.DUMMYFUNCTION("""COMPUTED_VALUE"""),22.34)</f>
        <v>22.34</v>
      </c>
      <c r="C87" s="3">
        <v>8.8074308807921096</v>
      </c>
    </row>
    <row r="88" spans="1:3" ht="13" x14ac:dyDescent="0.15">
      <c r="A88" s="1">
        <f ca="1">IFERROR(__xludf.DUMMYFUNCTION("""COMPUTED_VALUE"""),43284.5416666666)</f>
        <v>43284.541666666599</v>
      </c>
      <c r="B88" s="2">
        <f ca="1">IFERROR(__xludf.DUMMYFUNCTION("""COMPUTED_VALUE"""),20.72)</f>
        <v>20.72</v>
      </c>
      <c r="C88" s="3">
        <v>8.4621754532420201</v>
      </c>
    </row>
    <row r="89" spans="1:3" ht="13" x14ac:dyDescent="0.15">
      <c r="A89" s="1">
        <f ca="1">IFERROR(__xludf.DUMMYFUNCTION("""COMPUTED_VALUE"""),43286.6666666666)</f>
        <v>43286.666666666599</v>
      </c>
      <c r="B89" s="2">
        <f ca="1">IFERROR(__xludf.DUMMYFUNCTION("""COMPUTED_VALUE"""),20.61)</f>
        <v>20.61</v>
      </c>
      <c r="C89" s="3">
        <v>9.3584528095229302</v>
      </c>
    </row>
    <row r="90" spans="1:3" ht="13" x14ac:dyDescent="0.15">
      <c r="A90" s="1">
        <f ca="1">IFERROR(__xludf.DUMMYFUNCTION("""COMPUTED_VALUE"""),43287.6666666666)</f>
        <v>43287.666666666599</v>
      </c>
      <c r="B90" s="2">
        <f ca="1">IFERROR(__xludf.DUMMYFUNCTION("""COMPUTED_VALUE"""),20.59)</f>
        <v>20.59</v>
      </c>
      <c r="C90" s="3">
        <v>9.4442859269122703</v>
      </c>
    </row>
    <row r="91" spans="1:3" ht="13" x14ac:dyDescent="0.15">
      <c r="A91" s="1">
        <f ca="1">IFERROR(__xludf.DUMMYFUNCTION("""COMPUTED_VALUE"""),43290.6666666666)</f>
        <v>43290.666666666599</v>
      </c>
      <c r="B91" s="2">
        <f ca="1">IFERROR(__xludf.DUMMYFUNCTION("""COMPUTED_VALUE"""),21.23)</f>
        <v>21.23</v>
      </c>
      <c r="C91" s="3">
        <v>12.881144819725799</v>
      </c>
    </row>
    <row r="92" spans="1:3" ht="13" x14ac:dyDescent="0.15">
      <c r="A92" s="1">
        <f ca="1">IFERROR(__xludf.DUMMYFUNCTION("""COMPUTED_VALUE"""),43291.6666666666)</f>
        <v>43291.666666666599</v>
      </c>
      <c r="B92" s="2">
        <f ca="1">IFERROR(__xludf.DUMMYFUNCTION("""COMPUTED_VALUE"""),21.5)</f>
        <v>21.5</v>
      </c>
      <c r="C92" s="3">
        <v>12.3459370316665</v>
      </c>
    </row>
    <row r="93" spans="1:3" ht="13" x14ac:dyDescent="0.15">
      <c r="A93" s="1">
        <f ca="1">IFERROR(__xludf.DUMMYFUNCTION("""COMPUTED_VALUE"""),43292.6666666666)</f>
        <v>43292.666666666599</v>
      </c>
      <c r="B93" s="2">
        <f ca="1">IFERROR(__xludf.DUMMYFUNCTION("""COMPUTED_VALUE"""),21.26)</f>
        <v>21.26</v>
      </c>
      <c r="C93" s="3">
        <v>12.842707323345801</v>
      </c>
    </row>
    <row r="94" spans="1:3" ht="13" x14ac:dyDescent="0.15">
      <c r="A94" s="1">
        <f ca="1">IFERROR(__xludf.DUMMYFUNCTION("""COMPUTED_VALUE"""),43293.6666666666)</f>
        <v>43293.666666666599</v>
      </c>
      <c r="B94" s="2">
        <f ca="1">IFERROR(__xludf.DUMMYFUNCTION("""COMPUTED_VALUE"""),21.11)</f>
        <v>21.11</v>
      </c>
      <c r="C94" s="3">
        <v>12.7278283277674</v>
      </c>
    </row>
    <row r="95" spans="1:3" ht="13" x14ac:dyDescent="0.15">
      <c r="A95" s="1">
        <f ca="1">IFERROR(__xludf.DUMMYFUNCTION("""COMPUTED_VALUE"""),43294.6666666666)</f>
        <v>43294.666666666599</v>
      </c>
      <c r="B95" s="2">
        <f ca="1">IFERROR(__xludf.DUMMYFUNCTION("""COMPUTED_VALUE"""),21.26)</f>
        <v>21.26</v>
      </c>
      <c r="C95" s="3">
        <v>12.5104846974791</v>
      </c>
    </row>
    <row r="96" spans="1:3" ht="13" x14ac:dyDescent="0.15">
      <c r="A96" s="1">
        <f ca="1">IFERROR(__xludf.DUMMYFUNCTION("""COMPUTED_VALUE"""),43297.6666666666)</f>
        <v>43297.666666666599</v>
      </c>
      <c r="B96" s="2">
        <f ca="1">IFERROR(__xludf.DUMMYFUNCTION("""COMPUTED_VALUE"""),20.67)</f>
        <v>20.67</v>
      </c>
      <c r="C96" s="3">
        <v>14.999610783336401</v>
      </c>
    </row>
    <row r="97" spans="1:3" ht="13" x14ac:dyDescent="0.15">
      <c r="A97" s="1">
        <f ca="1">IFERROR(__xludf.DUMMYFUNCTION("""COMPUTED_VALUE"""),43298.6666666666)</f>
        <v>43298.666666666599</v>
      </c>
      <c r="B97" s="2">
        <f ca="1">IFERROR(__xludf.DUMMYFUNCTION("""COMPUTED_VALUE"""),21.51)</f>
        <v>21.51</v>
      </c>
      <c r="C97" s="3">
        <v>14.1774583223629</v>
      </c>
    </row>
    <row r="98" spans="1:3" ht="13" x14ac:dyDescent="0.15">
      <c r="A98" s="1">
        <f ca="1">IFERROR(__xludf.DUMMYFUNCTION("""COMPUTED_VALUE"""),43299.6666666666)</f>
        <v>43299.666666666599</v>
      </c>
      <c r="B98" s="2">
        <f ca="1">IFERROR(__xludf.DUMMYFUNCTION("""COMPUTED_VALUE"""),21.59)</f>
        <v>21.59</v>
      </c>
      <c r="C98" s="3">
        <v>14.421447767801601</v>
      </c>
    </row>
    <row r="99" spans="1:3" ht="13" x14ac:dyDescent="0.15">
      <c r="A99" s="1">
        <f ca="1">IFERROR(__xludf.DUMMYFUNCTION("""COMPUTED_VALUE"""),43300.6666666666)</f>
        <v>43300.666666666599</v>
      </c>
      <c r="B99" s="2">
        <f ca="1">IFERROR(__xludf.DUMMYFUNCTION("""COMPUTED_VALUE"""),21.35)</f>
        <v>21.35</v>
      </c>
      <c r="C99" s="3">
        <v>14.098205788452599</v>
      </c>
    </row>
    <row r="100" spans="1:3" ht="13" x14ac:dyDescent="0.15">
      <c r="A100" s="1">
        <f ca="1">IFERROR(__xludf.DUMMYFUNCTION("""COMPUTED_VALUE"""),43301.6666666666)</f>
        <v>43301.666666666599</v>
      </c>
      <c r="B100" s="2">
        <f ca="1">IFERROR(__xludf.DUMMYFUNCTION("""COMPUTED_VALUE"""),20.91)</f>
        <v>20.91</v>
      </c>
      <c r="C100" s="3">
        <v>13.7256228873702</v>
      </c>
    </row>
    <row r="101" spans="1:3" ht="13" x14ac:dyDescent="0.15">
      <c r="A101" s="1">
        <f ca="1">IFERROR(__xludf.DUMMYFUNCTION("""COMPUTED_VALUE"""),43304.6666666666)</f>
        <v>43304.666666666599</v>
      </c>
      <c r="B101" s="2">
        <f ca="1">IFERROR(__xludf.DUMMYFUNCTION("""COMPUTED_VALUE"""),20.21)</f>
        <v>20.21</v>
      </c>
      <c r="C101" s="3">
        <v>16.125636653140401</v>
      </c>
    </row>
    <row r="102" spans="1:3" ht="13" x14ac:dyDescent="0.15">
      <c r="A102" s="1">
        <f ca="1">IFERROR(__xludf.DUMMYFUNCTION("""COMPUTED_VALUE"""),43305.6666666666)</f>
        <v>43305.666666666599</v>
      </c>
      <c r="B102" s="2">
        <f ca="1">IFERROR(__xludf.DUMMYFUNCTION("""COMPUTED_VALUE"""),19.83)</f>
        <v>19.829999999999998</v>
      </c>
      <c r="C102" s="3">
        <v>15.4074748392011</v>
      </c>
    </row>
    <row r="103" spans="1:3" ht="13" x14ac:dyDescent="0.15">
      <c r="A103" s="1">
        <f ca="1">IFERROR(__xludf.DUMMYFUNCTION("""COMPUTED_VALUE"""),43306.6666666666)</f>
        <v>43306.666666666599</v>
      </c>
      <c r="B103" s="2">
        <f ca="1">IFERROR(__xludf.DUMMYFUNCTION("""COMPUTED_VALUE"""),20.58)</f>
        <v>20.58</v>
      </c>
      <c r="C103" s="3">
        <v>15.820456575958101</v>
      </c>
    </row>
    <row r="104" spans="1:3" ht="13" x14ac:dyDescent="0.15">
      <c r="A104" s="1">
        <f ca="1">IFERROR(__xludf.DUMMYFUNCTION("""COMPUTED_VALUE"""),43307.6666666666)</f>
        <v>43307.666666666599</v>
      </c>
      <c r="B104" s="2">
        <f ca="1">IFERROR(__xludf.DUMMYFUNCTION("""COMPUTED_VALUE"""),20.44)</f>
        <v>20.440000000000001</v>
      </c>
      <c r="C104" s="3">
        <v>15.726544448006299</v>
      </c>
    </row>
    <row r="105" spans="1:3" ht="13" x14ac:dyDescent="0.15">
      <c r="A105" s="1">
        <f ca="1">IFERROR(__xludf.DUMMYFUNCTION("""COMPUTED_VALUE"""),43308.6666666666)</f>
        <v>43308.666666666599</v>
      </c>
      <c r="B105" s="2">
        <f ca="1">IFERROR(__xludf.DUMMYFUNCTION("""COMPUTED_VALUE"""),19.81)</f>
        <v>19.809999999999999</v>
      </c>
      <c r="C105" s="3">
        <v>15.6367383167107</v>
      </c>
    </row>
    <row r="106" spans="1:3" ht="13" x14ac:dyDescent="0.15">
      <c r="A106" s="1">
        <f ca="1">IFERROR(__xludf.DUMMYFUNCTION("""COMPUTED_VALUE"""),43311.6666666666)</f>
        <v>43311.666666666599</v>
      </c>
      <c r="B106" s="2">
        <f ca="1">IFERROR(__xludf.DUMMYFUNCTION("""COMPUTED_VALUE"""),19.34)</f>
        <v>19.34</v>
      </c>
      <c r="C106" s="3">
        <v>19.108190926586101</v>
      </c>
    </row>
    <row r="107" spans="1:3" ht="13" x14ac:dyDescent="0.15">
      <c r="A107" s="1">
        <f ca="1">IFERROR(__xludf.DUMMYFUNCTION("""COMPUTED_VALUE"""),43312.6666666666)</f>
        <v>43312.666666666599</v>
      </c>
      <c r="B107" s="2">
        <f ca="1">IFERROR(__xludf.DUMMYFUNCTION("""COMPUTED_VALUE"""),19.88)</f>
        <v>19.88</v>
      </c>
      <c r="C107" s="3">
        <v>18.781631175440602</v>
      </c>
    </row>
    <row r="108" spans="1:3" ht="13" x14ac:dyDescent="0.15">
      <c r="A108" s="1">
        <f ca="1">IFERROR(__xludf.DUMMYFUNCTION("""COMPUTED_VALUE"""),43313.6666666666)</f>
        <v>43313.666666666599</v>
      </c>
      <c r="B108" s="2">
        <f ca="1">IFERROR(__xludf.DUMMYFUNCTION("""COMPUTED_VALUE"""),20.06)</f>
        <v>20.059999999999999</v>
      </c>
      <c r="C108" s="3">
        <v>19.581111405190999</v>
      </c>
    </row>
    <row r="109" spans="1:3" ht="13" x14ac:dyDescent="0.15">
      <c r="A109" s="1">
        <f ca="1">IFERROR(__xludf.DUMMYFUNCTION("""COMPUTED_VALUE"""),43314.6666666666)</f>
        <v>43314.666666666599</v>
      </c>
      <c r="B109" s="2">
        <f ca="1">IFERROR(__xludf.DUMMYFUNCTION("""COMPUTED_VALUE"""),23.3)</f>
        <v>23.3</v>
      </c>
      <c r="C109" s="3">
        <v>19.854662948773498</v>
      </c>
    </row>
    <row r="110" spans="1:3" ht="13" x14ac:dyDescent="0.15">
      <c r="A110" s="1">
        <f ca="1">IFERROR(__xludf.DUMMYFUNCTION("""COMPUTED_VALUE"""),43315.6666666666)</f>
        <v>43315.666666666599</v>
      </c>
      <c r="B110" s="2">
        <f ca="1">IFERROR(__xludf.DUMMYFUNCTION("""COMPUTED_VALUE"""),23.21)</f>
        <v>23.21</v>
      </c>
      <c r="C110" s="3">
        <v>20.0996296629495</v>
      </c>
    </row>
    <row r="111" spans="1:3" ht="13" x14ac:dyDescent="0.15">
      <c r="A111" s="1">
        <f ca="1">IFERROR(__xludf.DUMMYFUNCTION("""COMPUTED_VALUE"""),43318.6666666666)</f>
        <v>43318.666666666599</v>
      </c>
      <c r="B111" s="2">
        <f ca="1">IFERROR(__xludf.DUMMYFUNCTION("""COMPUTED_VALUE"""),22.8)</f>
        <v>22.8</v>
      </c>
      <c r="C111" s="3">
        <v>24.256159721374502</v>
      </c>
    </row>
    <row r="112" spans="1:3" ht="13" x14ac:dyDescent="0.15">
      <c r="A112" s="1">
        <f ca="1">IFERROR(__xludf.DUMMYFUNCTION("""COMPUTED_VALUE"""),43319.6666666666)</f>
        <v>43319.666666666599</v>
      </c>
      <c r="B112" s="2">
        <f ca="1">IFERROR(__xludf.DUMMYFUNCTION("""COMPUTED_VALUE"""),25.3)</f>
        <v>25.3</v>
      </c>
      <c r="C112" s="3">
        <v>24.0178740711494</v>
      </c>
    </row>
    <row r="113" spans="1:3" ht="13" x14ac:dyDescent="0.15">
      <c r="A113" s="1">
        <f ca="1">IFERROR(__xludf.DUMMYFUNCTION("""COMPUTED_VALUE"""),43320.6666666666)</f>
        <v>43320.666666666599</v>
      </c>
      <c r="B113" s="2">
        <f ca="1">IFERROR(__xludf.DUMMYFUNCTION("""COMPUTED_VALUE"""),24.69)</f>
        <v>24.69</v>
      </c>
      <c r="C113" s="3">
        <v>24.8236680325893</v>
      </c>
    </row>
    <row r="114" spans="1:3" ht="13" x14ac:dyDescent="0.15">
      <c r="A114" s="1">
        <f ca="1">IFERROR(__xludf.DUMMYFUNCTION("""COMPUTED_VALUE"""),43321.6666666666)</f>
        <v>43321.666666666599</v>
      </c>
      <c r="B114" s="2">
        <f ca="1">IFERROR(__xludf.DUMMYFUNCTION("""COMPUTED_VALUE"""),23.5)</f>
        <v>23.5</v>
      </c>
      <c r="C114" s="3">
        <v>25.017954015605898</v>
      </c>
    </row>
    <row r="115" spans="1:3" ht="13" x14ac:dyDescent="0.15">
      <c r="A115" s="1">
        <f ca="1">IFERROR(__xludf.DUMMYFUNCTION("""COMPUTED_VALUE"""),43322.6666666666)</f>
        <v>43322.666666666599</v>
      </c>
      <c r="B115" s="2">
        <f ca="1">IFERROR(__xludf.DUMMYFUNCTION("""COMPUTED_VALUE"""),23.7)</f>
        <v>23.7</v>
      </c>
      <c r="C115" s="3">
        <v>25.097068266676999</v>
      </c>
    </row>
    <row r="116" spans="1:3" ht="13" x14ac:dyDescent="0.15">
      <c r="A116" s="1">
        <f ca="1">IFERROR(__xludf.DUMMYFUNCTION("""COMPUTED_VALUE"""),43325.6666666666)</f>
        <v>43325.666666666599</v>
      </c>
      <c r="B116" s="2">
        <f ca="1">IFERROR(__xludf.DUMMYFUNCTION("""COMPUTED_VALUE"""),23.76)</f>
        <v>23.76</v>
      </c>
      <c r="C116" s="3">
        <v>28.2666642828672</v>
      </c>
    </row>
    <row r="117" spans="1:3" ht="13" x14ac:dyDescent="0.15">
      <c r="A117" s="1">
        <f ca="1">IFERROR(__xludf.DUMMYFUNCTION("""COMPUTED_VALUE"""),43326.6666666666)</f>
        <v>43326.666666666599</v>
      </c>
      <c r="B117" s="2">
        <f ca="1">IFERROR(__xludf.DUMMYFUNCTION("""COMPUTED_VALUE"""),23.18)</f>
        <v>23.18</v>
      </c>
      <c r="C117" s="3">
        <v>27.5592933972463</v>
      </c>
    </row>
    <row r="118" spans="1:3" ht="13" x14ac:dyDescent="0.15">
      <c r="A118" s="1">
        <f ca="1">IFERROR(__xludf.DUMMYFUNCTION("""COMPUTED_VALUE"""),43327.6666666666)</f>
        <v>43327.666666666599</v>
      </c>
      <c r="B118" s="2">
        <f ca="1">IFERROR(__xludf.DUMMYFUNCTION("""COMPUTED_VALUE"""),22.58)</f>
        <v>22.58</v>
      </c>
      <c r="C118" s="3">
        <v>27.843337388757899</v>
      </c>
    </row>
    <row r="119" spans="1:3" ht="13" x14ac:dyDescent="0.15">
      <c r="A119" s="1">
        <f ca="1">IFERROR(__xludf.DUMMYFUNCTION("""COMPUTED_VALUE"""),43328.6666666666)</f>
        <v>43328.666666666599</v>
      </c>
      <c r="B119" s="2">
        <f ca="1">IFERROR(__xludf.DUMMYFUNCTION("""COMPUTED_VALUE"""),22.36)</f>
        <v>22.36</v>
      </c>
      <c r="C119" s="3">
        <v>27.476590185549501</v>
      </c>
    </row>
    <row r="120" spans="1:3" ht="13" x14ac:dyDescent="0.15">
      <c r="A120" s="1">
        <f ca="1">IFERROR(__xludf.DUMMYFUNCTION("""COMPUTED_VALUE"""),43329.6666666666)</f>
        <v>43329.666666666599</v>
      </c>
      <c r="B120" s="2">
        <f ca="1">IFERROR(__xludf.DUMMYFUNCTION("""COMPUTED_VALUE"""),20.37)</f>
        <v>20.37</v>
      </c>
      <c r="C120" s="3">
        <v>26.970222118345799</v>
      </c>
    </row>
    <row r="121" spans="1:3" ht="13" x14ac:dyDescent="0.15">
      <c r="A121" s="1">
        <f ca="1">IFERROR(__xludf.DUMMYFUNCTION("""COMPUTED_VALUE"""),43332.6666666666)</f>
        <v>43332.666666666599</v>
      </c>
      <c r="B121" s="2">
        <f ca="1">IFERROR(__xludf.DUMMYFUNCTION("""COMPUTED_VALUE"""),20.56)</f>
        <v>20.56</v>
      </c>
      <c r="C121" s="3">
        <v>28.397325875066102</v>
      </c>
    </row>
    <row r="122" spans="1:3" ht="13" x14ac:dyDescent="0.15">
      <c r="A122" s="1">
        <f ca="1">IFERROR(__xludf.DUMMYFUNCTION("""COMPUTED_VALUE"""),43333.6666666666)</f>
        <v>43333.666666666599</v>
      </c>
      <c r="B122" s="2">
        <f ca="1">IFERROR(__xludf.DUMMYFUNCTION("""COMPUTED_VALUE"""),21.46)</f>
        <v>21.46</v>
      </c>
      <c r="C122" s="3">
        <v>27.167985459547399</v>
      </c>
    </row>
    <row r="123" spans="1:3" ht="13" x14ac:dyDescent="0.15">
      <c r="A123" s="1">
        <f ca="1">IFERROR(__xludf.DUMMYFUNCTION("""COMPUTED_VALUE"""),43334.6666666666)</f>
        <v>43334.666666666599</v>
      </c>
      <c r="B123" s="2">
        <f ca="1">IFERROR(__xludf.DUMMYFUNCTION("""COMPUTED_VALUE"""),21.44)</f>
        <v>21.44</v>
      </c>
      <c r="C123" s="3">
        <v>26.985151515129701</v>
      </c>
    </row>
    <row r="124" spans="1:3" ht="13" x14ac:dyDescent="0.15">
      <c r="A124" s="1">
        <f ca="1">IFERROR(__xludf.DUMMYFUNCTION("""COMPUTED_VALUE"""),43335.6666666666)</f>
        <v>43335.666666666599</v>
      </c>
      <c r="B124" s="2">
        <f ca="1">IFERROR(__xludf.DUMMYFUNCTION("""COMPUTED_VALUE"""),21.34)</f>
        <v>21.34</v>
      </c>
      <c r="C124" s="3">
        <v>26.220108528377299</v>
      </c>
    </row>
    <row r="125" spans="1:3" ht="13" x14ac:dyDescent="0.15">
      <c r="A125" s="1">
        <f ca="1">IFERROR(__xludf.DUMMYFUNCTION("""COMPUTED_VALUE"""),43336.6666666666)</f>
        <v>43336.666666666599</v>
      </c>
      <c r="B125" s="2">
        <f ca="1">IFERROR(__xludf.DUMMYFUNCTION("""COMPUTED_VALUE"""),21.52)</f>
        <v>21.52</v>
      </c>
      <c r="C125" s="3">
        <v>25.395606902681699</v>
      </c>
    </row>
    <row r="126" spans="1:3" ht="13" x14ac:dyDescent="0.15">
      <c r="A126" s="1">
        <f ca="1">IFERROR(__xludf.DUMMYFUNCTION("""COMPUTED_VALUE"""),43339.6666666666)</f>
        <v>43339.666666666599</v>
      </c>
      <c r="B126" s="2">
        <f ca="1">IFERROR(__xludf.DUMMYFUNCTION("""COMPUTED_VALUE"""),21.28)</f>
        <v>21.28</v>
      </c>
      <c r="C126" s="3">
        <v>26.428619138849999</v>
      </c>
    </row>
    <row r="127" spans="1:3" ht="13" x14ac:dyDescent="0.15">
      <c r="A127" s="1">
        <f ca="1">IFERROR(__xludf.DUMMYFUNCTION("""COMPUTED_VALUE"""),43340.6666666666)</f>
        <v>43340.666666666599</v>
      </c>
      <c r="B127" s="2">
        <f ca="1">IFERROR(__xludf.DUMMYFUNCTION("""COMPUTED_VALUE"""),20.79)</f>
        <v>20.79</v>
      </c>
      <c r="C127" s="3">
        <v>25.267028691280998</v>
      </c>
    </row>
    <row r="128" spans="1:3" ht="13" x14ac:dyDescent="0.15">
      <c r="A128" s="1">
        <f ca="1">IFERROR(__xludf.DUMMYFUNCTION("""COMPUTED_VALUE"""),43341.6666666666)</f>
        <v>43341.666666666599</v>
      </c>
      <c r="B128" s="2">
        <f ca="1">IFERROR(__xludf.DUMMYFUNCTION("""COMPUTED_VALUE"""),20.33)</f>
        <v>20.329999999999998</v>
      </c>
      <c r="C128" s="3">
        <v>25.250034265245901</v>
      </c>
    </row>
    <row r="129" spans="1:3" ht="13" x14ac:dyDescent="0.15">
      <c r="A129" s="1">
        <f ca="1">IFERROR(__xludf.DUMMYFUNCTION("""COMPUTED_VALUE"""),43342.6666666666)</f>
        <v>43342.666666666599</v>
      </c>
      <c r="B129" s="2">
        <f ca="1">IFERROR(__xludf.DUMMYFUNCTION("""COMPUTED_VALUE"""),20.21)</f>
        <v>20.21</v>
      </c>
      <c r="C129" s="3">
        <v>24.743356410679599</v>
      </c>
    </row>
    <row r="130" spans="1:3" ht="13" x14ac:dyDescent="0.15">
      <c r="A130" s="1">
        <f ca="1">IFERROR(__xludf.DUMMYFUNCTION("""COMPUTED_VALUE"""),43343.6666666666)</f>
        <v>43343.666666666599</v>
      </c>
      <c r="B130" s="2">
        <f ca="1">IFERROR(__xludf.DUMMYFUNCTION("""COMPUTED_VALUE"""),20.11)</f>
        <v>20.11</v>
      </c>
      <c r="C130" s="3">
        <v>24.261168896301399</v>
      </c>
    </row>
    <row r="131" spans="1:3" ht="13" x14ac:dyDescent="0.15">
      <c r="A131" s="1">
        <f ca="1">IFERROR(__xludf.DUMMYFUNCTION("""COMPUTED_VALUE"""),43347.6666666666)</f>
        <v>43347.666666666599</v>
      </c>
      <c r="B131" s="2">
        <f ca="1">IFERROR(__xludf.DUMMYFUNCTION("""COMPUTED_VALUE"""),19.26)</f>
        <v>19.260000000000002</v>
      </c>
      <c r="C131" s="3">
        <v>26.078164221484599</v>
      </c>
    </row>
    <row r="132" spans="1:3" ht="13" x14ac:dyDescent="0.15">
      <c r="A132" s="1">
        <f ca="1">IFERROR(__xludf.DUMMYFUNCTION("""COMPUTED_VALUE"""),43348.6666666666)</f>
        <v>43348.666666666599</v>
      </c>
      <c r="B132" s="2">
        <f ca="1">IFERROR(__xludf.DUMMYFUNCTION("""COMPUTED_VALUE"""),18.72)</f>
        <v>18.72</v>
      </c>
      <c r="C132" s="3">
        <v>26.608100379125201</v>
      </c>
    </row>
    <row r="133" spans="1:3" ht="13" x14ac:dyDescent="0.15">
      <c r="A133" s="1">
        <f ca="1">IFERROR(__xludf.DUMMYFUNCTION("""COMPUTED_VALUE"""),43349.6666666666)</f>
        <v>43349.666666666599</v>
      </c>
      <c r="B133" s="2">
        <f ca="1">IFERROR(__xludf.DUMMYFUNCTION("""COMPUTED_VALUE"""),18.73)</f>
        <v>18.73</v>
      </c>
      <c r="C133" s="3">
        <v>26.634678113565801</v>
      </c>
    </row>
    <row r="134" spans="1:3" ht="13" x14ac:dyDescent="0.15">
      <c r="A134" s="1">
        <f ca="1">IFERROR(__xludf.DUMMYFUNCTION("""COMPUTED_VALUE"""),43350.6666666666)</f>
        <v>43350.666666666599</v>
      </c>
      <c r="B134" s="2">
        <f ca="1">IFERROR(__xludf.DUMMYFUNCTION("""COMPUTED_VALUE"""),17.55)</f>
        <v>17.55</v>
      </c>
      <c r="C134" s="3">
        <v>26.652405692780199</v>
      </c>
    </row>
    <row r="135" spans="1:3" ht="13" x14ac:dyDescent="0.15">
      <c r="A135" s="1">
        <f ca="1">IFERROR(__xludf.DUMMYFUNCTION("""COMPUTED_VALUE"""),43353.6666666666)</f>
        <v>43353.666666666599</v>
      </c>
      <c r="B135" s="2">
        <f ca="1">IFERROR(__xludf.DUMMYFUNCTION("""COMPUTED_VALUE"""),19.03)</f>
        <v>19.03</v>
      </c>
      <c r="C135" s="3">
        <v>30.204282273223701</v>
      </c>
    </row>
    <row r="136" spans="1:3" ht="13" x14ac:dyDescent="0.15">
      <c r="A136" s="1">
        <f ca="1">IFERROR(__xludf.DUMMYFUNCTION("""COMPUTED_VALUE"""),43354.6666666666)</f>
        <v>43354.666666666599</v>
      </c>
      <c r="B136" s="2">
        <f ca="1">IFERROR(__xludf.DUMMYFUNCTION("""COMPUTED_VALUE"""),18.63)</f>
        <v>18.63</v>
      </c>
      <c r="C136" s="3">
        <v>29.772582084907899</v>
      </c>
    </row>
    <row r="137" spans="1:3" ht="13" x14ac:dyDescent="0.15">
      <c r="A137" s="1">
        <f ca="1">IFERROR(__xludf.DUMMYFUNCTION("""COMPUTED_VALUE"""),43355.6666666666)</f>
        <v>43355.666666666599</v>
      </c>
      <c r="B137" s="2">
        <f ca="1">IFERROR(__xludf.DUMMYFUNCTION("""COMPUTED_VALUE"""),19.37)</f>
        <v>19.37</v>
      </c>
      <c r="C137" s="3">
        <v>30.3787603849653</v>
      </c>
    </row>
    <row r="138" spans="1:3" ht="13" x14ac:dyDescent="0.15">
      <c r="A138" s="1">
        <f ca="1">IFERROR(__xludf.DUMMYFUNCTION("""COMPUTED_VALUE"""),43356.6666666666)</f>
        <v>43356.666666666599</v>
      </c>
      <c r="B138" s="2">
        <f ca="1">IFERROR(__xludf.DUMMYFUNCTION("""COMPUTED_VALUE"""),19.3)</f>
        <v>19.3</v>
      </c>
      <c r="C138" s="3">
        <v>30.360467073521999</v>
      </c>
    </row>
    <row r="139" spans="1:3" ht="13" x14ac:dyDescent="0.15">
      <c r="A139" s="1">
        <f ca="1">IFERROR(__xludf.DUMMYFUNCTION("""COMPUTED_VALUE"""),43357.6666666666)</f>
        <v>43357.666666666599</v>
      </c>
      <c r="B139" s="2">
        <f ca="1">IFERROR(__xludf.DUMMYFUNCTION("""COMPUTED_VALUE"""),19.68)</f>
        <v>19.68</v>
      </c>
      <c r="C139" s="3">
        <v>30.207106566741899</v>
      </c>
    </row>
    <row r="140" spans="1:3" ht="13" x14ac:dyDescent="0.15">
      <c r="A140" s="1">
        <f ca="1">IFERROR(__xludf.DUMMYFUNCTION("""COMPUTED_VALUE"""),43360.6666666666)</f>
        <v>43360.666666666599</v>
      </c>
      <c r="B140" s="2">
        <f ca="1">IFERROR(__xludf.DUMMYFUNCTION("""COMPUTED_VALUE"""),19.66)</f>
        <v>19.66</v>
      </c>
      <c r="C140" s="3">
        <v>32.491970080313799</v>
      </c>
    </row>
    <row r="141" spans="1:3" ht="13" x14ac:dyDescent="0.15">
      <c r="A141" s="1">
        <f ca="1">IFERROR(__xludf.DUMMYFUNCTION("""COMPUTED_VALUE"""),43361.6666666666)</f>
        <v>43361.666666666599</v>
      </c>
      <c r="B141" s="2">
        <f ca="1">IFERROR(__xludf.DUMMYFUNCTION("""COMPUTED_VALUE"""),19)</f>
        <v>19</v>
      </c>
      <c r="C141" s="3">
        <v>31.406435440378999</v>
      </c>
    </row>
    <row r="142" spans="1:3" ht="13" x14ac:dyDescent="0.15">
      <c r="A142" s="1">
        <f ca="1">IFERROR(__xludf.DUMMYFUNCTION("""COMPUTED_VALUE"""),43362.6666666666)</f>
        <v>43362.666666666599</v>
      </c>
      <c r="B142" s="2">
        <f ca="1">IFERROR(__xludf.DUMMYFUNCTION("""COMPUTED_VALUE"""),19.93)</f>
        <v>19.93</v>
      </c>
      <c r="C142" s="3">
        <v>31.2618802622879</v>
      </c>
    </row>
    <row r="143" spans="1:3" ht="13" x14ac:dyDescent="0.15">
      <c r="A143" s="1">
        <f ca="1">IFERROR(__xludf.DUMMYFUNCTION("""COMPUTED_VALUE"""),43363.6666666666)</f>
        <v>43363.666666666599</v>
      </c>
      <c r="B143" s="2">
        <f ca="1">IFERROR(__xludf.DUMMYFUNCTION("""COMPUTED_VALUE"""),19.89)</f>
        <v>19.89</v>
      </c>
      <c r="C143" s="3">
        <v>30.412167114955</v>
      </c>
    </row>
    <row r="144" spans="1:3" ht="13" x14ac:dyDescent="0.15">
      <c r="A144" s="1">
        <f ca="1">IFERROR(__xludf.DUMMYFUNCTION("""COMPUTED_VALUE"""),43364.6666666666)</f>
        <v>43364.666666666599</v>
      </c>
      <c r="B144" s="2">
        <f ca="1">IFERROR(__xludf.DUMMYFUNCTION("""COMPUTED_VALUE"""),19.94)</f>
        <v>19.940000000000001</v>
      </c>
      <c r="C144" s="3">
        <v>29.365677279340598</v>
      </c>
    </row>
    <row r="145" spans="1:3" ht="13" x14ac:dyDescent="0.15">
      <c r="A145" s="1">
        <f ca="1">IFERROR(__xludf.DUMMYFUNCTION("""COMPUTED_VALUE"""),43367.6666666666)</f>
        <v>43367.666666666599</v>
      </c>
      <c r="B145" s="2">
        <f ca="1">IFERROR(__xludf.DUMMYFUNCTION("""COMPUTED_VALUE"""),19.98)</f>
        <v>19.98</v>
      </c>
      <c r="C145" s="3">
        <v>28.8216200171865</v>
      </c>
    </row>
    <row r="146" spans="1:3" ht="13" x14ac:dyDescent="0.15">
      <c r="A146" s="1">
        <f ca="1">IFERROR(__xludf.DUMMYFUNCTION("""COMPUTED_VALUE"""),43368.6666666666)</f>
        <v>43368.666666666599</v>
      </c>
      <c r="B146" s="2">
        <f ca="1">IFERROR(__xludf.DUMMYFUNCTION("""COMPUTED_VALUE"""),20.07)</f>
        <v>20.07</v>
      </c>
      <c r="C146" s="3">
        <v>26.823066007723099</v>
      </c>
    </row>
    <row r="147" spans="1:3" ht="13" x14ac:dyDescent="0.15">
      <c r="A147" s="1">
        <f ca="1">IFERROR(__xludf.DUMMYFUNCTION("""COMPUTED_VALUE"""),43369.6666666666)</f>
        <v>43369.666666666599</v>
      </c>
      <c r="B147" s="2">
        <f ca="1">IFERROR(__xludf.DUMMYFUNCTION("""COMPUTED_VALUE"""),20.64)</f>
        <v>20.64</v>
      </c>
      <c r="C147" s="3">
        <v>25.821232679392001</v>
      </c>
    </row>
    <row r="148" spans="1:3" ht="13" x14ac:dyDescent="0.15">
      <c r="A148" s="1">
        <f ca="1">IFERROR(__xludf.DUMMYFUNCTION("""COMPUTED_VALUE"""),43370.6666666666)</f>
        <v>43370.666666666599</v>
      </c>
      <c r="B148" s="2">
        <f ca="1">IFERROR(__xludf.DUMMYFUNCTION("""COMPUTED_VALUE"""),20.5)</f>
        <v>20.5</v>
      </c>
      <c r="C148" s="3">
        <v>24.193556060070001</v>
      </c>
    </row>
    <row r="149" spans="1:3" ht="13" x14ac:dyDescent="0.15">
      <c r="A149" s="1">
        <f ca="1">IFERROR(__xludf.DUMMYFUNCTION("""COMPUTED_VALUE"""),43371.6666666666)</f>
        <v>43371.666666666599</v>
      </c>
      <c r="B149" s="2">
        <f ca="1">IFERROR(__xludf.DUMMYFUNCTION("""COMPUTED_VALUE"""),17.65)</f>
        <v>17.649999999999999</v>
      </c>
      <c r="C149" s="3">
        <v>22.470472775111599</v>
      </c>
    </row>
    <row r="150" spans="1:3" ht="13" x14ac:dyDescent="0.15">
      <c r="A150" s="1">
        <f ca="1">IFERROR(__xludf.DUMMYFUNCTION("""COMPUTED_VALUE"""),43374.6666666666)</f>
        <v>43374.666666666599</v>
      </c>
      <c r="B150" s="2">
        <f ca="1">IFERROR(__xludf.DUMMYFUNCTION("""COMPUTED_VALUE"""),20.71)</f>
        <v>20.71</v>
      </c>
      <c r="C150" s="3">
        <v>20.6898917445581</v>
      </c>
    </row>
    <row r="151" spans="1:3" ht="13" x14ac:dyDescent="0.15">
      <c r="A151" s="1">
        <f ca="1">IFERROR(__xludf.DUMMYFUNCTION("""COMPUTED_VALUE"""),43375.6666666666)</f>
        <v>43375.666666666599</v>
      </c>
      <c r="B151" s="2">
        <f ca="1">IFERROR(__xludf.DUMMYFUNCTION("""COMPUTED_VALUE"""),20.07)</f>
        <v>20.07</v>
      </c>
      <c r="C151" s="3">
        <v>18.5897440784499</v>
      </c>
    </row>
    <row r="152" spans="1:3" ht="13" x14ac:dyDescent="0.15">
      <c r="A152" s="1">
        <f ca="1">IFERROR(__xludf.DUMMYFUNCTION("""COMPUTED_VALUE"""),43376.6666666666)</f>
        <v>43376.666666666599</v>
      </c>
      <c r="B152" s="2">
        <f ca="1">IFERROR(__xludf.DUMMYFUNCTION("""COMPUTED_VALUE"""),19.65)</f>
        <v>19.649999999999999</v>
      </c>
      <c r="C152" s="3">
        <v>17.655468013737298</v>
      </c>
    </row>
    <row r="153" spans="1:3" ht="13" x14ac:dyDescent="0.15">
      <c r="A153" s="1">
        <f ca="1">IFERROR(__xludf.DUMMYFUNCTION("""COMPUTED_VALUE"""),43377.6666666666)</f>
        <v>43377.666666666599</v>
      </c>
      <c r="B153" s="2">
        <f ca="1">IFERROR(__xludf.DUMMYFUNCTION("""COMPUTED_VALUE"""),18.79)</f>
        <v>18.79</v>
      </c>
      <c r="C153" s="3">
        <v>16.266677090691999</v>
      </c>
    </row>
    <row r="154" spans="1:3" ht="13" x14ac:dyDescent="0.15">
      <c r="A154" s="1">
        <f ca="1">IFERROR(__xludf.DUMMYFUNCTION("""COMPUTED_VALUE"""),43378.6666666666)</f>
        <v>43378.666666666599</v>
      </c>
      <c r="B154" s="2">
        <f ca="1">IFERROR(__xludf.DUMMYFUNCTION("""COMPUTED_VALUE"""),17.46)</f>
        <v>17.46</v>
      </c>
      <c r="C154" s="3">
        <v>14.951691277550699</v>
      </c>
    </row>
    <row r="155" spans="1:3" ht="13" x14ac:dyDescent="0.15">
      <c r="A155" s="1">
        <f ca="1">IFERROR(__xludf.DUMMYFUNCTION("""COMPUTED_VALUE"""),43381.6666666666)</f>
        <v>43381.666666666599</v>
      </c>
      <c r="B155" s="2">
        <f ca="1">IFERROR(__xludf.DUMMYFUNCTION("""COMPUTED_VALUE"""),16.7)</f>
        <v>16.7</v>
      </c>
      <c r="C155" s="3">
        <v>15.3261219109551</v>
      </c>
    </row>
    <row r="156" spans="1:3" ht="13" x14ac:dyDescent="0.15">
      <c r="A156" s="1">
        <f ca="1">IFERROR(__xludf.DUMMYFUNCTION("""COMPUTED_VALUE"""),43382.6666666666)</f>
        <v>43382.666666666599</v>
      </c>
      <c r="B156" s="2">
        <f ca="1">IFERROR(__xludf.DUMMYFUNCTION("""COMPUTED_VALUE"""),17.52)</f>
        <v>17.52</v>
      </c>
      <c r="C156" s="3">
        <v>14.2066586315614</v>
      </c>
    </row>
    <row r="157" spans="1:3" ht="13" x14ac:dyDescent="0.15">
      <c r="A157" s="1">
        <f ca="1">IFERROR(__xludf.DUMMYFUNCTION("""COMPUTED_VALUE"""),43383.6666666666)</f>
        <v>43383.666666666599</v>
      </c>
      <c r="B157" s="2">
        <f ca="1">IFERROR(__xludf.DUMMYFUNCTION("""COMPUTED_VALUE"""),17.13)</f>
        <v>17.13</v>
      </c>
      <c r="C157" s="3">
        <v>14.3516570789218</v>
      </c>
    </row>
    <row r="158" spans="1:3" ht="13" x14ac:dyDescent="0.15">
      <c r="A158" s="1">
        <f ca="1">IFERROR(__xludf.DUMMYFUNCTION("""COMPUTED_VALUE"""),43384.6666666666)</f>
        <v>43384.666666666599</v>
      </c>
      <c r="B158" s="2">
        <f ca="1">IFERROR(__xludf.DUMMYFUNCTION("""COMPUTED_VALUE"""),16.82)</f>
        <v>16.82</v>
      </c>
      <c r="C158" s="3">
        <v>14.117000683813201</v>
      </c>
    </row>
    <row r="159" spans="1:3" ht="13" x14ac:dyDescent="0.15">
      <c r="A159" s="1">
        <f ca="1">IFERROR(__xludf.DUMMYFUNCTION("""COMPUTED_VALUE"""),43385.6666666666)</f>
        <v>43385.666666666599</v>
      </c>
      <c r="B159" s="2">
        <f ca="1">IFERROR(__xludf.DUMMYFUNCTION("""COMPUTED_VALUE"""),17.25)</f>
        <v>17.25</v>
      </c>
      <c r="C159" s="3">
        <v>14.0053119478423</v>
      </c>
    </row>
    <row r="160" spans="1:3" ht="13" x14ac:dyDescent="0.15">
      <c r="A160" s="1">
        <f ca="1">IFERROR(__xludf.DUMMYFUNCTION("""COMPUTED_VALUE"""),43388.6666666666)</f>
        <v>43388.666666666599</v>
      </c>
      <c r="B160" s="2">
        <f ca="1">IFERROR(__xludf.DUMMYFUNCTION("""COMPUTED_VALUE"""),17.31)</f>
        <v>17.309999999999999</v>
      </c>
      <c r="C160" s="3">
        <v>18.012368478039502</v>
      </c>
    </row>
    <row r="161" spans="1:3" ht="13" x14ac:dyDescent="0.15">
      <c r="A161" s="1">
        <f ca="1">IFERROR(__xludf.DUMMYFUNCTION("""COMPUTED_VALUE"""),43389.6666666666)</f>
        <v>43389.666666666599</v>
      </c>
      <c r="B161" s="2">
        <f ca="1">IFERROR(__xludf.DUMMYFUNCTION("""COMPUTED_VALUE"""),18.44)</f>
        <v>18.440000000000001</v>
      </c>
      <c r="C161" s="3">
        <v>18.0205216407414</v>
      </c>
    </row>
    <row r="162" spans="1:3" ht="13" x14ac:dyDescent="0.15">
      <c r="A162" s="1">
        <f ca="1">IFERROR(__xludf.DUMMYFUNCTION("""COMPUTED_VALUE"""),43390.6666666666)</f>
        <v>43390.666666666599</v>
      </c>
      <c r="B162" s="2">
        <f ca="1">IFERROR(__xludf.DUMMYFUNCTION("""COMPUTED_VALUE"""),18.12)</f>
        <v>18.12</v>
      </c>
      <c r="C162" s="3">
        <v>19.208548943921699</v>
      </c>
    </row>
    <row r="163" spans="1:3" ht="13" x14ac:dyDescent="0.15">
      <c r="A163" s="1">
        <f ca="1">IFERROR(__xludf.DUMMYFUNCTION("""COMPUTED_VALUE"""),43391.6666666666)</f>
        <v>43391.666666666599</v>
      </c>
      <c r="B163" s="2">
        <f ca="1">IFERROR(__xludf.DUMMYFUNCTION("""COMPUTED_VALUE"""),17.59)</f>
        <v>17.59</v>
      </c>
      <c r="C163" s="3">
        <v>19.909470430901099</v>
      </c>
    </row>
    <row r="164" spans="1:3" ht="13" x14ac:dyDescent="0.15">
      <c r="A164" s="1">
        <f ca="1">IFERROR(__xludf.DUMMYFUNCTION("""COMPUTED_VALUE"""),43392.6666666666)</f>
        <v>43392.666666666599</v>
      </c>
      <c r="B164" s="2">
        <f ca="1">IFERROR(__xludf.DUMMYFUNCTION("""COMPUTED_VALUE"""),17.33)</f>
        <v>17.329999999999998</v>
      </c>
      <c r="C164" s="3">
        <v>20.6058517209343</v>
      </c>
    </row>
    <row r="165" spans="1:3" ht="13" x14ac:dyDescent="0.15">
      <c r="A165" s="1">
        <f ca="1">IFERROR(__xludf.DUMMYFUNCTION("""COMPUTED_VALUE"""),43395.6666666666)</f>
        <v>43395.666666666599</v>
      </c>
      <c r="B165" s="2">
        <f ca="1">IFERROR(__xludf.DUMMYFUNCTION("""COMPUTED_VALUE"""),17.4)</f>
        <v>17.399999999999999</v>
      </c>
      <c r="C165" s="3">
        <v>26.123927138344801</v>
      </c>
    </row>
    <row r="166" spans="1:3" ht="13" x14ac:dyDescent="0.15">
      <c r="A166" s="1">
        <f ca="1">IFERROR(__xludf.DUMMYFUNCTION("""COMPUTED_VALUE"""),43396.6666666666)</f>
        <v>43396.666666666599</v>
      </c>
      <c r="B166" s="2">
        <f ca="1">IFERROR(__xludf.DUMMYFUNCTION("""COMPUTED_VALUE"""),19.61)</f>
        <v>19.61</v>
      </c>
      <c r="C166" s="3">
        <v>26.301980137098798</v>
      </c>
    </row>
    <row r="167" spans="1:3" ht="13" x14ac:dyDescent="0.15">
      <c r="A167" s="1">
        <f ca="1">IFERROR(__xludf.DUMMYFUNCTION("""COMPUTED_VALUE"""),43397.6666666666)</f>
        <v>43397.666666666599</v>
      </c>
      <c r="B167" s="2">
        <f ca="1">IFERROR(__xludf.DUMMYFUNCTION("""COMPUTED_VALUE"""),19.23)</f>
        <v>19.23</v>
      </c>
      <c r="C167" s="3">
        <v>27.4890844715183</v>
      </c>
    </row>
    <row r="168" spans="1:3" ht="13" x14ac:dyDescent="0.15">
      <c r="A168" s="1">
        <f ca="1">IFERROR(__xludf.DUMMYFUNCTION("""COMPUTED_VALUE"""),43398.6666666666)</f>
        <v>43398.666666666599</v>
      </c>
      <c r="B168" s="2">
        <f ca="1">IFERROR(__xludf.DUMMYFUNCTION("""COMPUTED_VALUE"""),20.99)</f>
        <v>20.99</v>
      </c>
      <c r="C168" s="3">
        <v>28.022467719913099</v>
      </c>
    </row>
    <row r="169" spans="1:3" ht="13" x14ac:dyDescent="0.15">
      <c r="A169" s="1">
        <f ca="1">IFERROR(__xludf.DUMMYFUNCTION("""COMPUTED_VALUE"""),43399.6666666666)</f>
        <v>43399.666666666599</v>
      </c>
      <c r="B169" s="2">
        <f ca="1">IFERROR(__xludf.DUMMYFUNCTION("""COMPUTED_VALUE"""),22.06)</f>
        <v>22.06</v>
      </c>
      <c r="C169" s="3">
        <v>28.393135979789399</v>
      </c>
    </row>
    <row r="170" spans="1:3" ht="13" x14ac:dyDescent="0.15">
      <c r="A170" s="1">
        <f ca="1">IFERROR(__xludf.DUMMYFUNCTION("""COMPUTED_VALUE"""),43402.6666666666)</f>
        <v>43402.666666666599</v>
      </c>
      <c r="B170" s="2">
        <f ca="1">IFERROR(__xludf.DUMMYFUNCTION("""COMPUTED_VALUE"""),22.32)</f>
        <v>22.32</v>
      </c>
      <c r="C170" s="3">
        <v>32.1266778160538</v>
      </c>
    </row>
    <row r="171" spans="1:3" ht="13" x14ac:dyDescent="0.15">
      <c r="A171" s="1">
        <f ca="1">IFERROR(__xludf.DUMMYFUNCTION("""COMPUTED_VALUE"""),43403.6666666666)</f>
        <v>43403.666666666599</v>
      </c>
      <c r="B171" s="2">
        <f ca="1">IFERROR(__xludf.DUMMYFUNCTION("""COMPUTED_VALUE"""),21.99)</f>
        <v>21.99</v>
      </c>
      <c r="C171" s="3">
        <v>31.504014211083099</v>
      </c>
    </row>
    <row r="172" spans="1:3" ht="13" x14ac:dyDescent="0.15">
      <c r="A172" s="1">
        <f ca="1">IFERROR(__xludf.DUMMYFUNCTION("""COMPUTED_VALUE"""),43404.6666666666)</f>
        <v>43404.666666666599</v>
      </c>
      <c r="B172" s="2">
        <f ca="1">IFERROR(__xludf.DUMMYFUNCTION("""COMPUTED_VALUE"""),22.49)</f>
        <v>22.49</v>
      </c>
      <c r="C172" s="3">
        <v>31.825191077773699</v>
      </c>
    </row>
    <row r="173" spans="1:3" ht="13" x14ac:dyDescent="0.15">
      <c r="A173" s="1">
        <f ca="1">IFERROR(__xludf.DUMMYFUNCTION("""COMPUTED_VALUE"""),43405.6666666666)</f>
        <v>43405.666666666599</v>
      </c>
      <c r="B173" s="2">
        <f ca="1">IFERROR(__xludf.DUMMYFUNCTION("""COMPUTED_VALUE"""),22.95)</f>
        <v>22.95</v>
      </c>
      <c r="C173" s="3">
        <v>31.452386925791899</v>
      </c>
    </row>
    <row r="174" spans="1:3" ht="13" x14ac:dyDescent="0.15">
      <c r="A174" s="1">
        <f ca="1">IFERROR(__xludf.DUMMYFUNCTION("""COMPUTED_VALUE"""),43406.6666666666)</f>
        <v>43406.666666666599</v>
      </c>
      <c r="B174" s="2">
        <f ca="1">IFERROR(__xludf.DUMMYFUNCTION("""COMPUTED_VALUE"""),23.09)</f>
        <v>23.09</v>
      </c>
      <c r="C174" s="3">
        <v>30.902127460257901</v>
      </c>
    </row>
    <row r="175" spans="1:3" ht="13" x14ac:dyDescent="0.15">
      <c r="A175" s="1">
        <f ca="1">IFERROR(__xludf.DUMMYFUNCTION("""COMPUTED_VALUE"""),43409.6666666666)</f>
        <v>43409.666666666599</v>
      </c>
      <c r="B175" s="2">
        <f ca="1">IFERROR(__xludf.DUMMYFUNCTION("""COMPUTED_VALUE"""),22.76)</f>
        <v>22.76</v>
      </c>
      <c r="C175" s="3">
        <v>32.033113574002101</v>
      </c>
    </row>
    <row r="176" spans="1:3" ht="13" x14ac:dyDescent="0.15">
      <c r="A176" s="1">
        <f ca="1">IFERROR(__xludf.DUMMYFUNCTION("""COMPUTED_VALUE"""),43410.6666666666)</f>
        <v>43410.666666666599</v>
      </c>
      <c r="B176" s="2">
        <f ca="1">IFERROR(__xludf.DUMMYFUNCTION("""COMPUTED_VALUE"""),22.74)</f>
        <v>22.74</v>
      </c>
      <c r="C176" s="3">
        <v>30.672219357899099</v>
      </c>
    </row>
    <row r="177" spans="1:3" ht="13" x14ac:dyDescent="0.15">
      <c r="A177" s="1">
        <f ca="1">IFERROR(__xludf.DUMMYFUNCTION("""COMPUTED_VALUE"""),43411.6666666666)</f>
        <v>43411.666666666599</v>
      </c>
      <c r="B177" s="2">
        <f ca="1">IFERROR(__xludf.DUMMYFUNCTION("""COMPUTED_VALUE"""),23.21)</f>
        <v>23.21</v>
      </c>
      <c r="C177" s="3">
        <v>30.352034939064001</v>
      </c>
    </row>
    <row r="178" spans="1:3" ht="13" x14ac:dyDescent="0.15">
      <c r="A178" s="1">
        <f ca="1">IFERROR(__xludf.DUMMYFUNCTION("""COMPUTED_VALUE"""),43412.6666666666)</f>
        <v>43412.666666666599</v>
      </c>
      <c r="B178" s="2">
        <f ca="1">IFERROR(__xludf.DUMMYFUNCTION("""COMPUTED_VALUE"""),23.43)</f>
        <v>23.43</v>
      </c>
      <c r="C178" s="3">
        <v>29.449510493693602</v>
      </c>
    </row>
    <row r="179" spans="1:3" ht="13" x14ac:dyDescent="0.15">
      <c r="A179" s="1">
        <f ca="1">IFERROR(__xludf.DUMMYFUNCTION("""COMPUTED_VALUE"""),43413.6666666666)</f>
        <v>43413.666666666599</v>
      </c>
      <c r="B179" s="2">
        <f ca="1">IFERROR(__xludf.DUMMYFUNCTION("""COMPUTED_VALUE"""),23.37)</f>
        <v>23.37</v>
      </c>
      <c r="C179" s="3">
        <v>28.492308203013899</v>
      </c>
    </row>
    <row r="180" spans="1:3" ht="13" x14ac:dyDescent="0.15">
      <c r="A180" s="1">
        <f ca="1">IFERROR(__xludf.DUMMYFUNCTION("""COMPUTED_VALUE"""),43416.6666666666)</f>
        <v>43416.666666666599</v>
      </c>
      <c r="B180" s="2">
        <f ca="1">IFERROR(__xludf.DUMMYFUNCTION("""COMPUTED_VALUE"""),22.09)</f>
        <v>22.09</v>
      </c>
      <c r="C180" s="3">
        <v>29.190789141107999</v>
      </c>
    </row>
    <row r="181" spans="1:3" ht="13" x14ac:dyDescent="0.15">
      <c r="A181" s="1">
        <f ca="1">IFERROR(__xludf.DUMMYFUNCTION("""COMPUTED_VALUE"""),43417.6666666666)</f>
        <v>43417.666666666599</v>
      </c>
      <c r="B181" s="2">
        <f ca="1">IFERROR(__xludf.DUMMYFUNCTION("""COMPUTED_VALUE"""),22.58)</f>
        <v>22.58</v>
      </c>
      <c r="C181" s="3">
        <v>27.945186465443701</v>
      </c>
    </row>
    <row r="182" spans="1:3" ht="13" x14ac:dyDescent="0.15">
      <c r="A182" s="1">
        <f ca="1">IFERROR(__xludf.DUMMYFUNCTION("""COMPUTED_VALUE"""),43418.6666666666)</f>
        <v>43418.666666666599</v>
      </c>
      <c r="B182" s="2">
        <f ca="1">IFERROR(__xludf.DUMMYFUNCTION("""COMPUTED_VALUE"""),22.93)</f>
        <v>22.93</v>
      </c>
      <c r="C182" s="3">
        <v>27.8583427783758</v>
      </c>
    </row>
    <row r="183" spans="1:3" ht="13" x14ac:dyDescent="0.15">
      <c r="A183" s="1">
        <f ca="1">IFERROR(__xludf.DUMMYFUNCTION("""COMPUTED_VALUE"""),43419.6666666666)</f>
        <v>43419.666666666599</v>
      </c>
      <c r="B183" s="2">
        <f ca="1">IFERROR(__xludf.DUMMYFUNCTION("""COMPUTED_VALUE"""),23.23)</f>
        <v>23.23</v>
      </c>
      <c r="C183" s="3">
        <v>27.294659240206599</v>
      </c>
    </row>
    <row r="184" spans="1:3" ht="13" x14ac:dyDescent="0.15">
      <c r="A184" s="1">
        <f ca="1">IFERROR(__xludf.DUMMYFUNCTION("""COMPUTED_VALUE"""),43420.6666666666)</f>
        <v>43420.666666666599</v>
      </c>
      <c r="B184" s="2">
        <f ca="1">IFERROR(__xludf.DUMMYFUNCTION("""COMPUTED_VALUE"""),23.62)</f>
        <v>23.62</v>
      </c>
      <c r="C184" s="3">
        <v>26.766073751150099</v>
      </c>
    </row>
    <row r="185" spans="1:3" ht="13" x14ac:dyDescent="0.15">
      <c r="A185" s="1">
        <f ca="1">IFERROR(__xludf.DUMMYFUNCTION("""COMPUTED_VALUE"""),43423.6666666666)</f>
        <v>43423.666666666599</v>
      </c>
      <c r="B185" s="2">
        <f ca="1">IFERROR(__xludf.DUMMYFUNCTION("""COMPUTED_VALUE"""),23.56)</f>
        <v>23.56</v>
      </c>
      <c r="C185" s="3">
        <v>29.0951539626844</v>
      </c>
    </row>
    <row r="186" spans="1:3" ht="13" x14ac:dyDescent="0.15">
      <c r="A186" s="1">
        <f ca="1">IFERROR(__xludf.DUMMYFUNCTION("""COMPUTED_VALUE"""),43424.6666666666)</f>
        <v>43424.666666666599</v>
      </c>
      <c r="B186" s="2">
        <f ca="1">IFERROR(__xludf.DUMMYFUNCTION("""COMPUTED_VALUE"""),23.17)</f>
        <v>23.17</v>
      </c>
      <c r="C186" s="3">
        <v>28.435428372469499</v>
      </c>
    </row>
    <row r="187" spans="1:3" ht="13" x14ac:dyDescent="0.15">
      <c r="A187" s="1">
        <f ca="1">IFERROR(__xludf.DUMMYFUNCTION("""COMPUTED_VALUE"""),43425.6666666666)</f>
        <v>43425.666666666599</v>
      </c>
      <c r="B187" s="2">
        <f ca="1">IFERROR(__xludf.DUMMYFUNCTION("""COMPUTED_VALUE"""),22.55)</f>
        <v>22.55</v>
      </c>
      <c r="C187" s="3">
        <v>28.917727694253902</v>
      </c>
    </row>
    <row r="188" spans="1:3" ht="13" x14ac:dyDescent="0.15">
      <c r="A188" s="1">
        <f ca="1">IFERROR(__xludf.DUMMYFUNCTION("""COMPUTED_VALUE"""),43427.5416666666)</f>
        <v>43427.541666666599</v>
      </c>
      <c r="B188" s="2">
        <f ca="1">IFERROR(__xludf.DUMMYFUNCTION("""COMPUTED_VALUE"""),21.72)</f>
        <v>21.72</v>
      </c>
      <c r="C188" s="3">
        <v>28.825816610762601</v>
      </c>
    </row>
    <row r="189" spans="1:3" ht="13" x14ac:dyDescent="0.15">
      <c r="A189" s="1">
        <f ca="1">IFERROR(__xludf.DUMMYFUNCTION("""COMPUTED_VALUE"""),43430.6666666666)</f>
        <v>43430.666666666599</v>
      </c>
      <c r="B189" s="2">
        <f ca="1">IFERROR(__xludf.DUMMYFUNCTION("""COMPUTED_VALUE"""),23.07)</f>
        <v>23.07</v>
      </c>
      <c r="C189" s="3">
        <v>32.028524258695001</v>
      </c>
    </row>
    <row r="190" spans="1:3" ht="13" x14ac:dyDescent="0.15">
      <c r="A190" s="1">
        <f ca="1">IFERROR(__xludf.DUMMYFUNCTION("""COMPUTED_VALUE"""),43431.6666666666)</f>
        <v>43431.666666666599</v>
      </c>
      <c r="B190" s="2">
        <f ca="1">IFERROR(__xludf.DUMMYFUNCTION("""COMPUTED_VALUE"""),22.93)</f>
        <v>22.93</v>
      </c>
      <c r="C190" s="3">
        <v>31.4364543881033</v>
      </c>
    </row>
    <row r="191" spans="1:3" ht="13" x14ac:dyDescent="0.15">
      <c r="A191" s="1">
        <f ca="1">IFERROR(__xludf.DUMMYFUNCTION("""COMPUTED_VALUE"""),43432.6666666666)</f>
        <v>43432.666666666599</v>
      </c>
      <c r="B191" s="2">
        <f ca="1">IFERROR(__xludf.DUMMYFUNCTION("""COMPUTED_VALUE"""),23.19)</f>
        <v>23.19</v>
      </c>
      <c r="C191" s="3">
        <v>31.8610753012657</v>
      </c>
    </row>
    <row r="192" spans="1:3" ht="13" x14ac:dyDescent="0.15">
      <c r="A192" s="1">
        <f ca="1">IFERROR(__xludf.DUMMYFUNCTION("""COMPUTED_VALUE"""),43433.6666666666)</f>
        <v>43433.666666666599</v>
      </c>
      <c r="B192" s="2">
        <f ca="1">IFERROR(__xludf.DUMMYFUNCTION("""COMPUTED_VALUE"""),22.74)</f>
        <v>22.74</v>
      </c>
      <c r="C192" s="3">
        <v>31.642221511060399</v>
      </c>
    </row>
    <row r="193" spans="1:3" ht="13" x14ac:dyDescent="0.15">
      <c r="A193" s="1">
        <f ca="1">IFERROR(__xludf.DUMMYFUNCTION("""COMPUTED_VALUE"""),43434.6666666666)</f>
        <v>43434.666666666599</v>
      </c>
      <c r="B193" s="2">
        <f ca="1">IFERROR(__xludf.DUMMYFUNCTION("""COMPUTED_VALUE"""),23.37)</f>
        <v>23.37</v>
      </c>
      <c r="C193" s="3">
        <v>31.272612753463299</v>
      </c>
    </row>
    <row r="194" spans="1:3" ht="13" x14ac:dyDescent="0.15">
      <c r="A194" s="1">
        <f ca="1">IFERROR(__xludf.DUMMYFUNCTION("""COMPUTED_VALUE"""),43437.6666666666)</f>
        <v>43437.666666666599</v>
      </c>
      <c r="B194" s="2">
        <f ca="1">IFERROR(__xludf.DUMMYFUNCTION("""COMPUTED_VALUE"""),23.9)</f>
        <v>23.9</v>
      </c>
      <c r="C194" s="3">
        <v>32.863141366320797</v>
      </c>
    </row>
    <row r="195" spans="1:3" ht="13" x14ac:dyDescent="0.15">
      <c r="A195" s="1">
        <f ca="1">IFERROR(__xludf.DUMMYFUNCTION("""COMPUTED_VALUE"""),43438.6666666666)</f>
        <v>43438.666666666599</v>
      </c>
      <c r="B195" s="2">
        <f ca="1">IFERROR(__xludf.DUMMYFUNCTION("""COMPUTED_VALUE"""),23.98)</f>
        <v>23.98</v>
      </c>
      <c r="C195" s="3">
        <v>31.5513703823332</v>
      </c>
    </row>
    <row r="196" spans="1:3" ht="13" x14ac:dyDescent="0.15">
      <c r="A196" s="1">
        <f ca="1">IFERROR(__xludf.DUMMYFUNCTION("""COMPUTED_VALUE"""),43440.6666666666)</f>
        <v>43440.666666666599</v>
      </c>
      <c r="B196" s="2">
        <f ca="1">IFERROR(__xludf.DUMMYFUNCTION("""COMPUTED_VALUE"""),24.2)</f>
        <v>24.2</v>
      </c>
      <c r="C196" s="3">
        <v>30.155014559864298</v>
      </c>
    </row>
    <row r="197" spans="1:3" ht="13" x14ac:dyDescent="0.15">
      <c r="A197" s="1">
        <f ca="1">IFERROR(__xludf.DUMMYFUNCTION("""COMPUTED_VALUE"""),43441.6666666666)</f>
        <v>43441.666666666599</v>
      </c>
      <c r="B197" s="2">
        <f ca="1">IFERROR(__xludf.DUMMYFUNCTION("""COMPUTED_VALUE"""),23.86)</f>
        <v>23.86</v>
      </c>
      <c r="C197" s="3">
        <v>28.947578257037499</v>
      </c>
    </row>
    <row r="198" spans="1:3" ht="13" x14ac:dyDescent="0.15">
      <c r="A198" s="1">
        <f ca="1">IFERROR(__xludf.DUMMYFUNCTION("""COMPUTED_VALUE"""),43444.6666666666)</f>
        <v>43444.666666666599</v>
      </c>
      <c r="B198" s="2">
        <f ca="1">IFERROR(__xludf.DUMMYFUNCTION("""COMPUTED_VALUE"""),24.34)</f>
        <v>24.34</v>
      </c>
      <c r="C198" s="3">
        <v>28.1644237889147</v>
      </c>
    </row>
    <row r="199" spans="1:3" ht="13" x14ac:dyDescent="0.15">
      <c r="A199" s="1">
        <f ca="1">IFERROR(__xludf.DUMMYFUNCTION("""COMPUTED_VALUE"""),43445.6666666666)</f>
        <v>43445.666666666599</v>
      </c>
      <c r="B199" s="2">
        <f ca="1">IFERROR(__xludf.DUMMYFUNCTION("""COMPUTED_VALUE"""),24.45)</f>
        <v>24.45</v>
      </c>
      <c r="C199" s="3">
        <v>26.1865701938166</v>
      </c>
    </row>
    <row r="200" spans="1:3" ht="13" x14ac:dyDescent="0.15">
      <c r="A200" s="1">
        <f ca="1">IFERROR(__xludf.DUMMYFUNCTION("""COMPUTED_VALUE"""),43446.6666666666)</f>
        <v>43446.666666666599</v>
      </c>
      <c r="B200" s="2">
        <f ca="1">IFERROR(__xludf.DUMMYFUNCTION("""COMPUTED_VALUE"""),24.44)</f>
        <v>24.44</v>
      </c>
      <c r="C200" s="3">
        <v>25.262586796292101</v>
      </c>
    </row>
    <row r="201" spans="1:3" ht="13" x14ac:dyDescent="0.15">
      <c r="A201" s="1">
        <f ca="1">IFERROR(__xludf.DUMMYFUNCTION("""COMPUTED_VALUE"""),43447.6666666666)</f>
        <v>43447.666666666599</v>
      </c>
      <c r="B201" s="2">
        <f ca="1">IFERROR(__xludf.DUMMYFUNCTION("""COMPUTED_VALUE"""),25.12)</f>
        <v>25.12</v>
      </c>
      <c r="C201" s="3">
        <v>23.772102748772301</v>
      </c>
    </row>
    <row r="202" spans="1:3" ht="13" x14ac:dyDescent="0.15">
      <c r="A202" s="1">
        <f ca="1">IFERROR(__xludf.DUMMYFUNCTION("""COMPUTED_VALUE"""),43448.6666666666)</f>
        <v>43448.666666666599</v>
      </c>
      <c r="B202" s="2">
        <f ca="1">IFERROR(__xludf.DUMMYFUNCTION("""COMPUTED_VALUE"""),24.38)</f>
        <v>24.38</v>
      </c>
      <c r="C202" s="3">
        <v>22.246227104542101</v>
      </c>
    </row>
    <row r="203" spans="1:3" ht="13" x14ac:dyDescent="0.15">
      <c r="A203" s="1">
        <f ca="1">IFERROR(__xludf.DUMMYFUNCTION("""COMPUTED_VALUE"""),43451.6666666666)</f>
        <v>43451.666666666599</v>
      </c>
      <c r="B203" s="2">
        <f ca="1">IFERROR(__xludf.DUMMYFUNCTION("""COMPUTED_VALUE"""),23.23)</f>
        <v>23.23</v>
      </c>
      <c r="C203" s="3">
        <v>21.399733111661799</v>
      </c>
    </row>
    <row r="204" spans="1:3" ht="13" x14ac:dyDescent="0.15">
      <c r="A204" s="1">
        <f ca="1">IFERROR(__xludf.DUMMYFUNCTION("""COMPUTED_VALUE"""),43452.6666666666)</f>
        <v>43452.666666666599</v>
      </c>
      <c r="B204" s="2">
        <f ca="1">IFERROR(__xludf.DUMMYFUNCTION("""COMPUTED_VALUE"""),22.47)</f>
        <v>22.47</v>
      </c>
      <c r="C204" s="3">
        <v>19.719617985501301</v>
      </c>
    </row>
    <row r="205" spans="1:3" ht="13" x14ac:dyDescent="0.15">
      <c r="A205" s="1">
        <f ca="1">IFERROR(__xludf.DUMMYFUNCTION("""COMPUTED_VALUE"""),43453.6666666666)</f>
        <v>43453.666666666599</v>
      </c>
      <c r="B205" s="2">
        <f ca="1">IFERROR(__xludf.DUMMYFUNCTION("""COMPUTED_VALUE"""),22.2)</f>
        <v>22.2</v>
      </c>
      <c r="C205" s="3">
        <v>19.2445108717517</v>
      </c>
    </row>
    <row r="206" spans="1:3" ht="13" x14ac:dyDescent="0.15">
      <c r="A206" s="1">
        <f ca="1">IFERROR(__xludf.DUMMYFUNCTION("""COMPUTED_VALUE"""),43454.6666666666)</f>
        <v>43454.666666666599</v>
      </c>
      <c r="B206" s="2">
        <f ca="1">IFERROR(__xludf.DUMMYFUNCTION("""COMPUTED_VALUE"""),21.03)</f>
        <v>21.03</v>
      </c>
      <c r="C206" s="3">
        <v>18.3454043665336</v>
      </c>
    </row>
    <row r="207" spans="1:3" ht="13" x14ac:dyDescent="0.15">
      <c r="A207" s="1">
        <f ca="1">IFERROR(__xludf.DUMMYFUNCTION("""COMPUTED_VALUE"""),43455.6666666666)</f>
        <v>43455.666666666599</v>
      </c>
      <c r="B207" s="2">
        <f ca="1">IFERROR(__xludf.DUMMYFUNCTION("""COMPUTED_VALUE"""),21.32)</f>
        <v>21.32</v>
      </c>
      <c r="C207" s="3">
        <v>17.5408745458151</v>
      </c>
    </row>
    <row r="208" spans="1:3" ht="13" x14ac:dyDescent="0.15">
      <c r="A208" s="1">
        <f ca="1">IFERROR(__xludf.DUMMYFUNCTION("""COMPUTED_VALUE"""),43458.5416666666)</f>
        <v>43458.541666666599</v>
      </c>
      <c r="B208" s="2">
        <f ca="1">IFERROR(__xludf.DUMMYFUNCTION("""COMPUTED_VALUE"""),19.69)</f>
        <v>19.690000000000001</v>
      </c>
      <c r="C208" s="3">
        <v>19.4622536481853</v>
      </c>
    </row>
    <row r="209" spans="1:3" ht="13" x14ac:dyDescent="0.15">
      <c r="A209" s="1">
        <f ca="1">IFERROR(__xludf.DUMMYFUNCTION("""COMPUTED_VALUE"""),43460.6666666666)</f>
        <v>43460.666666666599</v>
      </c>
      <c r="B209" s="2">
        <f ca="1">IFERROR(__xludf.DUMMYFUNCTION("""COMPUTED_VALUE"""),21.74)</f>
        <v>21.74</v>
      </c>
      <c r="C209" s="3">
        <v>19.417598376576102</v>
      </c>
    </row>
    <row r="210" spans="1:3" ht="13" x14ac:dyDescent="0.15">
      <c r="A210" s="1">
        <f ca="1">IFERROR(__xludf.DUMMYFUNCTION("""COMPUTED_VALUE"""),43461.6666666666)</f>
        <v>43461.666666666599</v>
      </c>
      <c r="B210" s="2">
        <f ca="1">IFERROR(__xludf.DUMMYFUNCTION("""COMPUTED_VALUE"""),21.08)</f>
        <v>21.08</v>
      </c>
      <c r="C210" s="3">
        <v>19.584062093703199</v>
      </c>
    </row>
    <row r="211" spans="1:3" ht="13" x14ac:dyDescent="0.15">
      <c r="A211" s="1">
        <f ca="1">IFERROR(__xludf.DUMMYFUNCTION("""COMPUTED_VALUE"""),43462.6666666666)</f>
        <v>43462.666666666599</v>
      </c>
      <c r="B211" s="2">
        <f ca="1">IFERROR(__xludf.DUMMYFUNCTION("""COMPUTED_VALUE"""),22.26)</f>
        <v>22.26</v>
      </c>
      <c r="C211" s="3">
        <v>19.817784220330999</v>
      </c>
    </row>
    <row r="212" spans="1:3" ht="13" x14ac:dyDescent="0.15">
      <c r="A212" s="1">
        <f ca="1">IFERROR(__xludf.DUMMYFUNCTION("""COMPUTED_VALUE"""),43465.6666666666)</f>
        <v>43465.666666666599</v>
      </c>
      <c r="B212" s="2">
        <f ca="1">IFERROR(__xludf.DUMMYFUNCTION("""COMPUTED_VALUE"""),22.19)</f>
        <v>22.19</v>
      </c>
      <c r="C212" s="3">
        <v>24.450411109340699</v>
      </c>
    </row>
    <row r="213" spans="1:3" ht="13" x14ac:dyDescent="0.15">
      <c r="A213" s="1">
        <f ca="1">IFERROR(__xludf.DUMMYFUNCTION("""COMPUTED_VALUE"""),43467.6666666666)</f>
        <v>43467.666666666599</v>
      </c>
      <c r="B213" s="2">
        <f ca="1">IFERROR(__xludf.DUMMYFUNCTION("""COMPUTED_VALUE"""),20.67)</f>
        <v>20.67</v>
      </c>
      <c r="C213" s="3">
        <v>25.674886930076401</v>
      </c>
    </row>
    <row r="214" spans="1:3" ht="13" x14ac:dyDescent="0.15">
      <c r="A214" s="1">
        <f ca="1">IFERROR(__xludf.DUMMYFUNCTION("""COMPUTED_VALUE"""),43468.6666666666)</f>
        <v>43468.666666666599</v>
      </c>
      <c r="B214" s="2">
        <f ca="1">IFERROR(__xludf.DUMMYFUNCTION("""COMPUTED_VALUE"""),20.02)</f>
        <v>20.02</v>
      </c>
      <c r="C214" s="3">
        <v>26.269697782235699</v>
      </c>
    </row>
    <row r="215" spans="1:3" ht="13" x14ac:dyDescent="0.15">
      <c r="A215" s="1">
        <f ca="1">IFERROR(__xludf.DUMMYFUNCTION("""COMPUTED_VALUE"""),43469.6666666666)</f>
        <v>43469.666666666599</v>
      </c>
      <c r="B215" s="2">
        <f ca="1">IFERROR(__xludf.DUMMYFUNCTION("""COMPUTED_VALUE"""),21.18)</f>
        <v>21.18</v>
      </c>
      <c r="C215" s="3">
        <v>26.783088022746899</v>
      </c>
    </row>
    <row r="216" spans="1:3" ht="13" x14ac:dyDescent="0.15">
      <c r="A216" s="1">
        <f ca="1">IFERROR(__xludf.DUMMYFUNCTION("""COMPUTED_VALUE"""),43472.6666666666)</f>
        <v>43472.666666666599</v>
      </c>
      <c r="B216" s="2">
        <f ca="1">IFERROR(__xludf.DUMMYFUNCTION("""COMPUTED_VALUE"""),22.33)</f>
        <v>22.33</v>
      </c>
      <c r="C216" s="3">
        <v>31.351711958179799</v>
      </c>
    </row>
    <row r="217" spans="1:3" ht="13" x14ac:dyDescent="0.15">
      <c r="A217" s="1">
        <f ca="1">IFERROR(__xludf.DUMMYFUNCTION("""COMPUTED_VALUE"""),43473.6666666666)</f>
        <v>43473.666666666599</v>
      </c>
      <c r="B217" s="2">
        <f ca="1">IFERROR(__xludf.DUMMYFUNCTION("""COMPUTED_VALUE"""),22.36)</f>
        <v>22.36</v>
      </c>
      <c r="C217" s="3">
        <v>31.1093748841738</v>
      </c>
    </row>
    <row r="218" spans="1:3" ht="13" x14ac:dyDescent="0.15">
      <c r="A218" s="1">
        <f ca="1">IFERROR(__xludf.DUMMYFUNCTION("""COMPUTED_VALUE"""),43474.6666666666)</f>
        <v>43474.666666666599</v>
      </c>
      <c r="B218" s="2">
        <f ca="1">IFERROR(__xludf.DUMMYFUNCTION("""COMPUTED_VALUE"""),22.57)</f>
        <v>22.57</v>
      </c>
      <c r="C218" s="3">
        <v>31.8428694536785</v>
      </c>
    </row>
    <row r="219" spans="1:3" ht="13" x14ac:dyDescent="0.15">
      <c r="A219" s="1">
        <f ca="1">IFERROR(__xludf.DUMMYFUNCTION("""COMPUTED_VALUE"""),43475.6666666666)</f>
        <v>43475.666666666599</v>
      </c>
      <c r="B219" s="2">
        <f ca="1">IFERROR(__xludf.DUMMYFUNCTION("""COMPUTED_VALUE"""),23)</f>
        <v>23</v>
      </c>
      <c r="C219" s="3">
        <v>31.9024651226275</v>
      </c>
    </row>
    <row r="220" spans="1:3" ht="13" x14ac:dyDescent="0.15">
      <c r="A220" s="1">
        <f ca="1">IFERROR(__xludf.DUMMYFUNCTION("""COMPUTED_VALUE"""),43476.6666666666)</f>
        <v>43476.666666666599</v>
      </c>
      <c r="B220" s="2">
        <f ca="1">IFERROR(__xludf.DUMMYFUNCTION("""COMPUTED_VALUE"""),23.15)</f>
        <v>23.15</v>
      </c>
      <c r="C220" s="3">
        <v>31.792965200731398</v>
      </c>
    </row>
    <row r="221" spans="1:3" ht="13" x14ac:dyDescent="0.15">
      <c r="A221" s="1">
        <f ca="1">IFERROR(__xludf.DUMMYFUNCTION("""COMPUTED_VALUE"""),43479.6666666666)</f>
        <v>43479.666666666599</v>
      </c>
      <c r="B221" s="2">
        <f ca="1">IFERROR(__xludf.DUMMYFUNCTION("""COMPUTED_VALUE"""),22.29)</f>
        <v>22.29</v>
      </c>
      <c r="C221" s="3">
        <v>34.189462757819399</v>
      </c>
    </row>
    <row r="222" spans="1:3" ht="13" x14ac:dyDescent="0.15">
      <c r="A222" s="1">
        <f ca="1">IFERROR(__xludf.DUMMYFUNCTION("""COMPUTED_VALUE"""),43480.6666666666)</f>
        <v>43480.666666666599</v>
      </c>
      <c r="B222" s="2">
        <f ca="1">IFERROR(__xludf.DUMMYFUNCTION("""COMPUTED_VALUE"""),22.96)</f>
        <v>22.96</v>
      </c>
      <c r="C222" s="3">
        <v>33.201498098208397</v>
      </c>
    </row>
    <row r="223" spans="1:3" ht="13" x14ac:dyDescent="0.15">
      <c r="A223" s="1">
        <f ca="1">IFERROR(__xludf.DUMMYFUNCTION("""COMPUTED_VALUE"""),43481.6666666666)</f>
        <v>43481.666666666599</v>
      </c>
      <c r="B223" s="2">
        <f ca="1">IFERROR(__xludf.DUMMYFUNCTION("""COMPUTED_VALUE"""),23.07)</f>
        <v>23.07</v>
      </c>
      <c r="C223" s="3">
        <v>33.218542445279702</v>
      </c>
    </row>
    <row r="224" spans="1:3" ht="13" x14ac:dyDescent="0.15">
      <c r="A224" s="1">
        <f ca="1">IFERROR(__xludf.DUMMYFUNCTION("""COMPUTED_VALUE"""),43482.6666666666)</f>
        <v>43482.666666666599</v>
      </c>
      <c r="B224" s="2">
        <f ca="1">IFERROR(__xludf.DUMMYFUNCTION("""COMPUTED_VALUE"""),23.15)</f>
        <v>23.15</v>
      </c>
      <c r="C224" s="3">
        <v>32.613450388298098</v>
      </c>
    </row>
    <row r="225" spans="1:3" ht="13" x14ac:dyDescent="0.15">
      <c r="A225" s="1">
        <f ca="1">IFERROR(__xludf.DUMMYFUNCTION("""COMPUTED_VALUE"""),43483.6666666666)</f>
        <v>43483.666666666599</v>
      </c>
      <c r="B225" s="2">
        <f ca="1">IFERROR(__xludf.DUMMYFUNCTION("""COMPUTED_VALUE"""),20.15)</f>
        <v>20.149999999999999</v>
      </c>
      <c r="C225" s="3">
        <v>31.911716131651801</v>
      </c>
    </row>
    <row r="226" spans="1:3" ht="13" x14ac:dyDescent="0.15">
      <c r="A226" s="1">
        <f ca="1">IFERROR(__xludf.DUMMYFUNCTION("""COMPUTED_VALUE"""),43487.6666666666)</f>
        <v>43487.666666666599</v>
      </c>
      <c r="B226" s="2">
        <f ca="1">IFERROR(__xludf.DUMMYFUNCTION("""COMPUTED_VALUE"""),19.93)</f>
        <v>19.93</v>
      </c>
      <c r="C226" s="3">
        <v>31.990670335475201</v>
      </c>
    </row>
    <row r="227" spans="1:3" ht="13" x14ac:dyDescent="0.15">
      <c r="A227" s="1">
        <f ca="1">IFERROR(__xludf.DUMMYFUNCTION("""COMPUTED_VALUE"""),43488.6666666666)</f>
        <v>43488.666666666599</v>
      </c>
      <c r="B227" s="2">
        <f ca="1">IFERROR(__xludf.DUMMYFUNCTION("""COMPUTED_VALUE"""),19.17)</f>
        <v>19.170000000000002</v>
      </c>
      <c r="C227" s="3">
        <v>31.982745782234002</v>
      </c>
    </row>
    <row r="228" spans="1:3" ht="13" x14ac:dyDescent="0.15">
      <c r="A228" s="1">
        <f ca="1">IFERROR(__xludf.DUMMYFUNCTION("""COMPUTED_VALUE"""),43489.6666666666)</f>
        <v>43489.666666666599</v>
      </c>
      <c r="B228" s="2">
        <f ca="1">IFERROR(__xludf.DUMMYFUNCTION("""COMPUTED_VALUE"""),19.43)</f>
        <v>19.43</v>
      </c>
      <c r="C228" s="3">
        <v>31.480570361043299</v>
      </c>
    </row>
    <row r="229" spans="1:3" ht="13" x14ac:dyDescent="0.15">
      <c r="A229" s="1">
        <f ca="1">IFERROR(__xludf.DUMMYFUNCTION("""COMPUTED_VALUE"""),43490.6666666666)</f>
        <v>43490.666666666599</v>
      </c>
      <c r="B229" s="2">
        <f ca="1">IFERROR(__xludf.DUMMYFUNCTION("""COMPUTED_VALUE"""),19.8)</f>
        <v>19.8</v>
      </c>
      <c r="C229" s="3">
        <v>31.004693045695401</v>
      </c>
    </row>
    <row r="230" spans="1:3" ht="13" x14ac:dyDescent="0.15">
      <c r="A230" s="1">
        <f ca="1">IFERROR(__xludf.DUMMYFUNCTION("""COMPUTED_VALUE"""),43493.6666666666)</f>
        <v>43493.666666666599</v>
      </c>
      <c r="B230" s="2">
        <f ca="1">IFERROR(__xludf.DUMMYFUNCTION("""COMPUTED_VALUE"""),19.76)</f>
        <v>19.760000000000002</v>
      </c>
      <c r="C230" s="3">
        <v>33.530558637610902</v>
      </c>
    </row>
    <row r="231" spans="1:3" ht="13" x14ac:dyDescent="0.15">
      <c r="A231" s="1">
        <f ca="1">IFERROR(__xludf.DUMMYFUNCTION("""COMPUTED_VALUE"""),43494.6666666666)</f>
        <v>43494.666666666599</v>
      </c>
      <c r="B231" s="2">
        <f ca="1">IFERROR(__xludf.DUMMYFUNCTION("""COMPUTED_VALUE"""),19.83)</f>
        <v>19.829999999999998</v>
      </c>
      <c r="C231" s="3">
        <v>32.978989386835501</v>
      </c>
    </row>
    <row r="232" spans="1:3" ht="13" x14ac:dyDescent="0.15">
      <c r="A232" s="1">
        <f ca="1">IFERROR(__xludf.DUMMYFUNCTION("""COMPUTED_VALUE"""),43495.6666666666)</f>
        <v>43495.666666666599</v>
      </c>
      <c r="B232" s="2">
        <f ca="1">IFERROR(__xludf.DUMMYFUNCTION("""COMPUTED_VALUE"""),20.58)</f>
        <v>20.58</v>
      </c>
      <c r="C232" s="3">
        <v>33.603857977240501</v>
      </c>
    </row>
    <row r="233" spans="1:3" ht="13" x14ac:dyDescent="0.15">
      <c r="A233" s="1">
        <f ca="1">IFERROR(__xludf.DUMMYFUNCTION("""COMPUTED_VALUE"""),43496.6666666666)</f>
        <v>43496.666666666599</v>
      </c>
      <c r="B233" s="2">
        <f ca="1">IFERROR(__xludf.DUMMYFUNCTION("""COMPUTED_VALUE"""),20.47)</f>
        <v>20.47</v>
      </c>
      <c r="C233" s="3">
        <v>33.7534310912053</v>
      </c>
    </row>
    <row r="234" spans="1:3" ht="13" x14ac:dyDescent="0.15">
      <c r="A234" s="1">
        <f ca="1">IFERROR(__xludf.DUMMYFUNCTION("""COMPUTED_VALUE"""),43497.6666666666)</f>
        <v>43497.666666666599</v>
      </c>
      <c r="B234" s="2">
        <f ca="1">IFERROR(__xludf.DUMMYFUNCTION("""COMPUTED_VALUE"""),20.81)</f>
        <v>20.81</v>
      </c>
      <c r="C234" s="3">
        <v>33.923189655165899</v>
      </c>
    </row>
    <row r="235" spans="1:3" ht="13" x14ac:dyDescent="0.15">
      <c r="A235" s="1">
        <f ca="1">IFERROR(__xludf.DUMMYFUNCTION("""COMPUTED_VALUE"""),43500.6666666666)</f>
        <v>43500.666666666599</v>
      </c>
      <c r="B235" s="2">
        <f ca="1">IFERROR(__xludf.DUMMYFUNCTION("""COMPUTED_VALUE"""),20.86)</f>
        <v>20.86</v>
      </c>
      <c r="C235" s="3">
        <v>38.096514330728098</v>
      </c>
    </row>
    <row r="236" spans="1:3" ht="13" x14ac:dyDescent="0.15">
      <c r="A236" s="1">
        <f ca="1">IFERROR(__xludf.DUMMYFUNCTION("""COMPUTED_VALUE"""),43501.6666666666)</f>
        <v>43501.666666666599</v>
      </c>
      <c r="B236" s="2">
        <f ca="1">IFERROR(__xludf.DUMMYFUNCTION("""COMPUTED_VALUE"""),21.42)</f>
        <v>21.42</v>
      </c>
      <c r="C236" s="3">
        <v>37.917868600205402</v>
      </c>
    </row>
    <row r="237" spans="1:3" ht="13" x14ac:dyDescent="0.15">
      <c r="A237" s="1">
        <f ca="1">IFERROR(__xludf.DUMMYFUNCTION("""COMPUTED_VALUE"""),43502.6666666666)</f>
        <v>43502.666666666599</v>
      </c>
      <c r="B237" s="2">
        <f ca="1">IFERROR(__xludf.DUMMYFUNCTION("""COMPUTED_VALUE"""),21.15)</f>
        <v>21.15</v>
      </c>
      <c r="C237" s="3">
        <v>38.792432195950902</v>
      </c>
    </row>
    <row r="238" spans="1:3" ht="13" x14ac:dyDescent="0.15">
      <c r="A238" s="1">
        <f ca="1">IFERROR(__xludf.DUMMYFUNCTION("""COMPUTED_VALUE"""),43503.6666666666)</f>
        <v>43503.666666666599</v>
      </c>
      <c r="B238" s="2">
        <f ca="1">IFERROR(__xludf.DUMMYFUNCTION("""COMPUTED_VALUE"""),20.5)</f>
        <v>20.5</v>
      </c>
      <c r="C238" s="3">
        <v>39.051628275807602</v>
      </c>
    </row>
    <row r="239" spans="1:3" ht="13" x14ac:dyDescent="0.15">
      <c r="A239" s="1">
        <f ca="1">IFERROR(__xludf.DUMMYFUNCTION("""COMPUTED_VALUE"""),43504.6666666666)</f>
        <v>43504.666666666599</v>
      </c>
      <c r="B239" s="2">
        <f ca="1">IFERROR(__xludf.DUMMYFUNCTION("""COMPUTED_VALUE"""),20.39)</f>
        <v>20.39</v>
      </c>
      <c r="C239" s="3">
        <v>39.177689320240603</v>
      </c>
    </row>
    <row r="240" spans="1:3" ht="13" x14ac:dyDescent="0.15">
      <c r="A240" s="1">
        <f ca="1">IFERROR(__xludf.DUMMYFUNCTION("""COMPUTED_VALUE"""),43507.6666666666)</f>
        <v>43507.666666666599</v>
      </c>
      <c r="B240" s="2">
        <f ca="1">IFERROR(__xludf.DUMMYFUNCTION("""COMPUTED_VALUE"""),20.86)</f>
        <v>20.86</v>
      </c>
      <c r="C240" s="3">
        <v>42.229742073663402</v>
      </c>
    </row>
    <row r="241" spans="1:3" ht="13" x14ac:dyDescent="0.15">
      <c r="A241" s="1">
        <f ca="1">IFERROR(__xludf.DUMMYFUNCTION("""COMPUTED_VALUE"""),43508.6666666666)</f>
        <v>43508.666666666599</v>
      </c>
      <c r="B241" s="2">
        <f ca="1">IFERROR(__xludf.DUMMYFUNCTION("""COMPUTED_VALUE"""),20.79)</f>
        <v>20.79</v>
      </c>
      <c r="C241" s="3">
        <v>41.346298976751697</v>
      </c>
    </row>
    <row r="242" spans="1:3" ht="13" x14ac:dyDescent="0.15">
      <c r="A242" s="1">
        <f ca="1">IFERROR(__xludf.DUMMYFUNCTION("""COMPUTED_VALUE"""),43509.6666666666)</f>
        <v>43509.666666666599</v>
      </c>
      <c r="B242" s="2">
        <f ca="1">IFERROR(__xludf.DUMMYFUNCTION("""COMPUTED_VALUE"""),20.54)</f>
        <v>20.54</v>
      </c>
      <c r="C242" s="3">
        <v>41.361545253865302</v>
      </c>
    </row>
    <row r="243" spans="1:3" ht="13" x14ac:dyDescent="0.15">
      <c r="A243" s="1">
        <f ca="1">IFERROR(__xludf.DUMMYFUNCTION("""COMPUTED_VALUE"""),43510.6666666666)</f>
        <v>43510.666666666599</v>
      </c>
      <c r="B243" s="2">
        <f ca="1">IFERROR(__xludf.DUMMYFUNCTION("""COMPUTED_VALUE"""),20.25)</f>
        <v>20.25</v>
      </c>
      <c r="C243" s="3">
        <v>40.620205467944402</v>
      </c>
    </row>
    <row r="244" spans="1:3" ht="13" x14ac:dyDescent="0.15">
      <c r="A244" s="1">
        <f ca="1">IFERROR(__xludf.DUMMYFUNCTION("""COMPUTED_VALUE"""),43511.6666666666)</f>
        <v>43511.666666666599</v>
      </c>
      <c r="B244" s="2">
        <f ca="1">IFERROR(__xludf.DUMMYFUNCTION("""COMPUTED_VALUE"""),20.53)</f>
        <v>20.53</v>
      </c>
      <c r="C244" s="3">
        <v>39.632739704979997</v>
      </c>
    </row>
    <row r="245" spans="1:3" ht="13" x14ac:dyDescent="0.15">
      <c r="A245" s="1">
        <f ca="1">IFERROR(__xludf.DUMMYFUNCTION("""COMPUTED_VALUE"""),43515.6666666666)</f>
        <v>43515.666666666599</v>
      </c>
      <c r="B245" s="2">
        <f ca="1">IFERROR(__xludf.DUMMYFUNCTION("""COMPUTED_VALUE"""),20.38)</f>
        <v>20.38</v>
      </c>
      <c r="C245" s="3">
        <v>36.575149392779402</v>
      </c>
    </row>
    <row r="246" spans="1:3" ht="13" x14ac:dyDescent="0.15">
      <c r="A246" s="1">
        <f ca="1">IFERROR(__xludf.DUMMYFUNCTION("""COMPUTED_VALUE"""),43516.6666666666)</f>
        <v>43516.666666666599</v>
      </c>
      <c r="B246" s="2">
        <f ca="1">IFERROR(__xludf.DUMMYFUNCTION("""COMPUTED_VALUE"""),20.17)</f>
        <v>20.170000000000002</v>
      </c>
      <c r="C246" s="3">
        <v>35.228421477449899</v>
      </c>
    </row>
    <row r="247" spans="1:3" ht="13" x14ac:dyDescent="0.15">
      <c r="A247" s="1">
        <f ca="1">IFERROR(__xludf.DUMMYFUNCTION("""COMPUTED_VALUE"""),43517.6666666666)</f>
        <v>43517.666666666599</v>
      </c>
      <c r="B247" s="2">
        <f ca="1">IFERROR(__xludf.DUMMYFUNCTION("""COMPUTED_VALUE"""),19.42)</f>
        <v>19.420000000000002</v>
      </c>
      <c r="C247" s="3">
        <v>33.162511627117901</v>
      </c>
    </row>
    <row r="248" spans="1:3" ht="13" x14ac:dyDescent="0.15">
      <c r="A248" s="1">
        <f ca="1">IFERROR(__xludf.DUMMYFUNCTION("""COMPUTED_VALUE"""),43518.6666666666)</f>
        <v>43518.666666666599</v>
      </c>
      <c r="B248" s="2">
        <f ca="1">IFERROR(__xludf.DUMMYFUNCTION("""COMPUTED_VALUE"""),19.65)</f>
        <v>19.649999999999999</v>
      </c>
      <c r="C248" s="3">
        <v>30.906997937661298</v>
      </c>
    </row>
    <row r="249" spans="1:3" ht="13" x14ac:dyDescent="0.15">
      <c r="A249" s="1">
        <f ca="1">IFERROR(__xludf.DUMMYFUNCTION("""COMPUTED_VALUE"""),43521.6666666666)</f>
        <v>43521.666666666599</v>
      </c>
      <c r="B249" s="2">
        <f ca="1">IFERROR(__xludf.DUMMYFUNCTION("""COMPUTED_VALUE"""),19.92)</f>
        <v>19.920000000000002</v>
      </c>
      <c r="C249" s="3">
        <v>26.9796009044192</v>
      </c>
    </row>
    <row r="250" spans="1:3" ht="13" x14ac:dyDescent="0.15">
      <c r="A250" s="1">
        <f ca="1">IFERROR(__xludf.DUMMYFUNCTION("""COMPUTED_VALUE"""),43522.6666666666)</f>
        <v>43522.666666666599</v>
      </c>
      <c r="B250" s="2">
        <f ca="1">IFERROR(__xludf.DUMMYFUNCTION("""COMPUTED_VALUE"""),19.86)</f>
        <v>19.86</v>
      </c>
      <c r="C250" s="3">
        <v>23.994064487660498</v>
      </c>
    </row>
    <row r="251" spans="1:3" ht="13" x14ac:dyDescent="0.15">
      <c r="A251" s="1">
        <f ca="1">IFERROR(__xludf.DUMMYFUNCTION("""COMPUTED_VALUE"""),43523.6666666666)</f>
        <v>43523.666666666599</v>
      </c>
      <c r="B251" s="2">
        <f ca="1">IFERROR(__xludf.DUMMYFUNCTION("""COMPUTED_VALUE"""),20.98)</f>
        <v>20.98</v>
      </c>
      <c r="C251" s="3">
        <v>22.100182174180102</v>
      </c>
    </row>
    <row r="252" spans="1:3" ht="13" x14ac:dyDescent="0.15">
      <c r="A252" s="1">
        <f ca="1">IFERROR(__xludf.DUMMYFUNCTION("""COMPUTED_VALUE"""),43524.6666666666)</f>
        <v>43524.666666666599</v>
      </c>
      <c r="B252" s="2">
        <f ca="1">IFERROR(__xludf.DUMMYFUNCTION("""COMPUTED_VALUE"""),21.33)</f>
        <v>21.33</v>
      </c>
      <c r="C252" s="3">
        <v>19.686203883033301</v>
      </c>
    </row>
    <row r="253" spans="1:3" ht="13" x14ac:dyDescent="0.15">
      <c r="A253" s="1">
        <f ca="1">IFERROR(__xludf.DUMMYFUNCTION("""COMPUTED_VALUE"""),43525.6666666666)</f>
        <v>43525.666666666599</v>
      </c>
      <c r="B253" s="2">
        <f ca="1">IFERROR(__xludf.DUMMYFUNCTION("""COMPUTED_VALUE"""),19.65)</f>
        <v>19.649999999999999</v>
      </c>
      <c r="C253" s="3">
        <v>17.290412701241902</v>
      </c>
    </row>
    <row r="254" spans="1:3" ht="13" x14ac:dyDescent="0.15">
      <c r="A254" s="1">
        <f ca="1">IFERROR(__xludf.DUMMYFUNCTION("""COMPUTED_VALUE"""),43528.6666666666)</f>
        <v>43528.666666666599</v>
      </c>
      <c r="B254" s="2">
        <f ca="1">IFERROR(__xludf.DUMMYFUNCTION("""COMPUTED_VALUE"""),19.02)</f>
        <v>19.02</v>
      </c>
      <c r="C254" s="3">
        <v>14.204867224556001</v>
      </c>
    </row>
    <row r="255" spans="1:3" ht="13" x14ac:dyDescent="0.15">
      <c r="A255" s="1">
        <f ca="1">IFERROR(__xludf.DUMMYFUNCTION("""COMPUTED_VALUE"""),43529.6666666666)</f>
        <v>43529.666666666599</v>
      </c>
      <c r="B255" s="2">
        <f ca="1">IFERROR(__xludf.DUMMYFUNCTION("""COMPUTED_VALUE"""),18.44)</f>
        <v>18.440000000000001</v>
      </c>
      <c r="C255" s="3">
        <v>11.902437214674899</v>
      </c>
    </row>
    <row r="256" spans="1:3" ht="13" x14ac:dyDescent="0.15">
      <c r="A256" s="1">
        <f ca="1">IFERROR(__xludf.DUMMYFUNCTION("""COMPUTED_VALUE"""),43530.6666666666)</f>
        <v>43530.666666666599</v>
      </c>
      <c r="B256" s="2">
        <f ca="1">IFERROR(__xludf.DUMMYFUNCTION("""COMPUTED_VALUE"""),18.42)</f>
        <v>18.420000000000002</v>
      </c>
      <c r="C256" s="3">
        <v>10.872411869103001</v>
      </c>
    </row>
    <row r="257" spans="1:3" ht="13" x14ac:dyDescent="0.15">
      <c r="A257" s="1">
        <f ca="1">IFERROR(__xludf.DUMMYFUNCTION("""COMPUTED_VALUE"""),43531.6666666666)</f>
        <v>43531.666666666599</v>
      </c>
      <c r="B257" s="2">
        <f ca="1">IFERROR(__xludf.DUMMYFUNCTION("""COMPUTED_VALUE"""),18.44)</f>
        <v>18.440000000000001</v>
      </c>
      <c r="C257" s="3">
        <v>9.4846366619134095</v>
      </c>
    </row>
    <row r="258" spans="1:3" ht="13" x14ac:dyDescent="0.15">
      <c r="A258" s="1">
        <f ca="1">IFERROR(__xludf.DUMMYFUNCTION("""COMPUTED_VALUE"""),43532.6666666666)</f>
        <v>43532.666666666599</v>
      </c>
      <c r="B258" s="2">
        <f ca="1">IFERROR(__xludf.DUMMYFUNCTION("""COMPUTED_VALUE"""),18.94)</f>
        <v>18.940000000000001</v>
      </c>
      <c r="C258" s="3">
        <v>8.2555579779036599</v>
      </c>
    </row>
    <row r="259" spans="1:3" ht="13" x14ac:dyDescent="0.15">
      <c r="A259" s="1">
        <f ca="1">IFERROR(__xludf.DUMMYFUNCTION("""COMPUTED_VALUE"""),43535.6666666666)</f>
        <v>43535.666666666599</v>
      </c>
      <c r="B259" s="2">
        <f ca="1">IFERROR(__xludf.DUMMYFUNCTION("""COMPUTED_VALUE"""),19.39)</f>
        <v>19.39</v>
      </c>
      <c r="C259" s="3">
        <v>9.2558762102214303</v>
      </c>
    </row>
    <row r="260" spans="1:3" ht="13" x14ac:dyDescent="0.15">
      <c r="A260" s="1">
        <f ca="1">IFERROR(__xludf.DUMMYFUNCTION("""COMPUTED_VALUE"""),43536.6666666666)</f>
        <v>43536.666666666599</v>
      </c>
      <c r="B260" s="2">
        <f ca="1">IFERROR(__xludf.DUMMYFUNCTION("""COMPUTED_VALUE"""),18.89)</f>
        <v>18.89</v>
      </c>
      <c r="C260" s="3">
        <v>8.4165870881782396</v>
      </c>
    </row>
    <row r="261" spans="1:3" ht="13" x14ac:dyDescent="0.15">
      <c r="A261" s="1">
        <f ca="1">IFERROR(__xludf.DUMMYFUNCTION("""COMPUTED_VALUE"""),43537.6666666666)</f>
        <v>43537.666666666599</v>
      </c>
      <c r="B261" s="2">
        <f ca="1">IFERROR(__xludf.DUMMYFUNCTION("""COMPUTED_VALUE"""),19.26)</f>
        <v>19.260000000000002</v>
      </c>
      <c r="C261" s="3">
        <v>8.8516368538739698</v>
      </c>
    </row>
    <row r="262" spans="1:3" ht="13" x14ac:dyDescent="0.15">
      <c r="A262" s="1">
        <f ca="1">IFERROR(__xludf.DUMMYFUNCTION("""COMPUTED_VALUE"""),43538.6666666666)</f>
        <v>43538.666666666599</v>
      </c>
      <c r="B262" s="2">
        <f ca="1">IFERROR(__xludf.DUMMYFUNCTION("""COMPUTED_VALUE"""),19.33)</f>
        <v>19.329999999999998</v>
      </c>
      <c r="C262" s="3">
        <v>8.9022231263115508</v>
      </c>
    </row>
    <row r="263" spans="1:3" ht="13" x14ac:dyDescent="0.15">
      <c r="A263" s="1">
        <f ca="1">IFERROR(__xludf.DUMMYFUNCTION("""COMPUTED_VALUE"""),43539.6666666666)</f>
        <v>43539.666666666599</v>
      </c>
      <c r="B263" s="2">
        <f ca="1">IFERROR(__xludf.DUMMYFUNCTION("""COMPUTED_VALUE"""),18.36)</f>
        <v>18.36</v>
      </c>
      <c r="C263" s="3">
        <v>9.0574932608868792</v>
      </c>
    </row>
    <row r="264" spans="1:3" ht="13" x14ac:dyDescent="0.15">
      <c r="A264" s="1">
        <f ca="1">IFERROR(__xludf.DUMMYFUNCTION("""COMPUTED_VALUE"""),43542.6666666666)</f>
        <v>43542.666666666599</v>
      </c>
      <c r="B264" s="2">
        <f ca="1">IFERROR(__xludf.DUMMYFUNCTION("""COMPUTED_VALUE"""),17.97)</f>
        <v>17.97</v>
      </c>
      <c r="C264" s="3">
        <v>13.647123263908099</v>
      </c>
    </row>
    <row r="265" spans="1:3" ht="13" x14ac:dyDescent="0.15">
      <c r="A265" s="1">
        <f ca="1">IFERROR(__xludf.DUMMYFUNCTION("""COMPUTED_VALUE"""),43543.6666666666)</f>
        <v>43543.666666666599</v>
      </c>
      <c r="B265" s="2">
        <f ca="1">IFERROR(__xludf.DUMMYFUNCTION("""COMPUTED_VALUE"""),17.83)</f>
        <v>17.829999999999998</v>
      </c>
      <c r="C265" s="3">
        <v>13.7512678140515</v>
      </c>
    </row>
    <row r="266" spans="1:3" ht="13" x14ac:dyDescent="0.15">
      <c r="A266" s="1">
        <f ca="1">IFERROR(__xludf.DUMMYFUNCTION("""COMPUTED_VALUE"""),43544.6666666666)</f>
        <v>43544.666666666599</v>
      </c>
      <c r="B266" s="2">
        <f ca="1">IFERROR(__xludf.DUMMYFUNCTION("""COMPUTED_VALUE"""),18.24)</f>
        <v>18.239999999999998</v>
      </c>
      <c r="C266" s="3">
        <v>14.979522276036001</v>
      </c>
    </row>
    <row r="267" spans="1:3" ht="13" x14ac:dyDescent="0.15">
      <c r="A267" s="1">
        <f ca="1">IFERROR(__xludf.DUMMYFUNCTION("""COMPUTED_VALUE"""),43545.6666666666)</f>
        <v>43545.666666666599</v>
      </c>
      <c r="B267" s="2">
        <f ca="1">IFERROR(__xludf.DUMMYFUNCTION("""COMPUTED_VALUE"""),18.27)</f>
        <v>18.27</v>
      </c>
      <c r="C267" s="3">
        <v>15.6647051114359</v>
      </c>
    </row>
    <row r="268" spans="1:3" ht="13" x14ac:dyDescent="0.15">
      <c r="A268" s="1">
        <f ca="1">IFERROR(__xludf.DUMMYFUNCTION("""COMPUTED_VALUE"""),43546.6666666666)</f>
        <v>43546.666666666599</v>
      </c>
      <c r="B268" s="2">
        <f ca="1">IFERROR(__xludf.DUMMYFUNCTION("""COMPUTED_VALUE"""),17.64)</f>
        <v>17.64</v>
      </c>
      <c r="C268" s="3">
        <v>16.291660703241799</v>
      </c>
    </row>
    <row r="269" spans="1:3" ht="13" x14ac:dyDescent="0.15">
      <c r="A269" s="1">
        <f ca="1">IFERROR(__xludf.DUMMYFUNCTION("""COMPUTED_VALUE"""),43549.6666666666)</f>
        <v>43549.666666666599</v>
      </c>
      <c r="B269" s="2">
        <f ca="1">IFERROR(__xludf.DUMMYFUNCTION("""COMPUTED_VALUE"""),17.36)</f>
        <v>17.36</v>
      </c>
      <c r="C269" s="3">
        <v>21.3356396504754</v>
      </c>
    </row>
    <row r="270" spans="1:3" ht="13" x14ac:dyDescent="0.15">
      <c r="A270" s="1">
        <f ca="1">IFERROR(__xludf.DUMMYFUNCTION("""COMPUTED_VALUE"""),43550.6666666666)</f>
        <v>43550.666666666599</v>
      </c>
      <c r="B270" s="2">
        <f ca="1">IFERROR(__xludf.DUMMYFUNCTION("""COMPUTED_VALUE"""),17.85)</f>
        <v>17.850000000000001</v>
      </c>
      <c r="C270" s="3">
        <v>21.295068633910098</v>
      </c>
    </row>
    <row r="271" spans="1:3" ht="13" x14ac:dyDescent="0.15">
      <c r="A271" s="1">
        <f ca="1">IFERROR(__xludf.DUMMYFUNCTION("""COMPUTED_VALUE"""),43551.6666666666)</f>
        <v>43551.666666666599</v>
      </c>
      <c r="B271" s="2">
        <f ca="1">IFERROR(__xludf.DUMMYFUNCTION("""COMPUTED_VALUE"""),18.32)</f>
        <v>18.32</v>
      </c>
      <c r="C271" s="3">
        <v>22.2506309491351</v>
      </c>
    </row>
    <row r="272" spans="1:3" ht="13" x14ac:dyDescent="0.15">
      <c r="A272" s="1">
        <f ca="1">IFERROR(__xludf.DUMMYFUNCTION("""COMPUTED_VALUE"""),43552.6666666666)</f>
        <v>43552.666666666599</v>
      </c>
      <c r="B272" s="2">
        <f ca="1">IFERROR(__xludf.DUMMYFUNCTION("""COMPUTED_VALUE"""),18.57)</f>
        <v>18.57</v>
      </c>
      <c r="C272" s="3">
        <v>22.551120014521899</v>
      </c>
    </row>
    <row r="273" spans="1:3" ht="13" x14ac:dyDescent="0.15">
      <c r="A273" s="1">
        <f ca="1">IFERROR(__xludf.DUMMYFUNCTION("""COMPUTED_VALUE"""),43553.6666666666)</f>
        <v>43553.666666666599</v>
      </c>
      <c r="B273" s="2">
        <f ca="1">IFERROR(__xludf.DUMMYFUNCTION("""COMPUTED_VALUE"""),18.66)</f>
        <v>18.66</v>
      </c>
      <c r="C273" s="3">
        <v>22.699223664019499</v>
      </c>
    </row>
    <row r="274" spans="1:3" ht="13" x14ac:dyDescent="0.15">
      <c r="A274" s="1">
        <f ca="1">IFERROR(__xludf.DUMMYFUNCTION("""COMPUTED_VALUE"""),43556.6666666666)</f>
        <v>43556.666666666599</v>
      </c>
      <c r="B274" s="2">
        <f ca="1">IFERROR(__xludf.DUMMYFUNCTION("""COMPUTED_VALUE"""),19.28)</f>
        <v>19.28</v>
      </c>
      <c r="C274" s="3">
        <v>25.935759258653501</v>
      </c>
    </row>
    <row r="275" spans="1:3" ht="13" x14ac:dyDescent="0.15">
      <c r="A275" s="1">
        <f ca="1">IFERROR(__xludf.DUMMYFUNCTION("""COMPUTED_VALUE"""),43557.6666666666)</f>
        <v>43557.666666666599</v>
      </c>
      <c r="B275" s="2">
        <f ca="1">IFERROR(__xludf.DUMMYFUNCTION("""COMPUTED_VALUE"""),19.06)</f>
        <v>19.059999999999999</v>
      </c>
      <c r="C275" s="3">
        <v>25.234749825924901</v>
      </c>
    </row>
    <row r="276" spans="1:3" ht="13" x14ac:dyDescent="0.15">
      <c r="A276" s="1">
        <f ca="1">IFERROR(__xludf.DUMMYFUNCTION("""COMPUTED_VALUE"""),43558.6666666666)</f>
        <v>43558.666666666599</v>
      </c>
      <c r="B276" s="2">
        <f ca="1">IFERROR(__xludf.DUMMYFUNCTION("""COMPUTED_VALUE"""),19.45)</f>
        <v>19.45</v>
      </c>
      <c r="C276" s="3">
        <v>25.532172821237101</v>
      </c>
    </row>
    <row r="277" spans="1:3" ht="13" x14ac:dyDescent="0.15">
      <c r="A277" s="1">
        <f ca="1">IFERROR(__xludf.DUMMYFUNCTION("""COMPUTED_VALUE"""),43559.6666666666)</f>
        <v>43559.666666666599</v>
      </c>
      <c r="B277" s="2">
        <f ca="1">IFERROR(__xludf.DUMMYFUNCTION("""COMPUTED_VALUE"""),17.85)</f>
        <v>17.850000000000001</v>
      </c>
      <c r="C277" s="3">
        <v>25.193521223543598</v>
      </c>
    </row>
    <row r="278" spans="1:3" ht="13" x14ac:dyDescent="0.15">
      <c r="A278" s="1">
        <f ca="1">IFERROR(__xludf.DUMMYFUNCTION("""COMPUTED_VALUE"""),43560.6666666666)</f>
        <v>43560.666666666599</v>
      </c>
      <c r="B278" s="2">
        <f ca="1">IFERROR(__xludf.DUMMYFUNCTION("""COMPUTED_VALUE"""),18.33)</f>
        <v>18.329999999999998</v>
      </c>
      <c r="C278" s="3">
        <v>24.736152015301801</v>
      </c>
    </row>
    <row r="279" spans="1:3" ht="13" x14ac:dyDescent="0.15">
      <c r="A279" s="1">
        <f ca="1">IFERROR(__xludf.DUMMYFUNCTION("""COMPUTED_VALUE"""),43563.6666666666)</f>
        <v>43563.666666666599</v>
      </c>
      <c r="B279" s="2">
        <f ca="1">IFERROR(__xludf.DUMMYFUNCTION("""COMPUTED_VALUE"""),18.21)</f>
        <v>18.21</v>
      </c>
      <c r="C279" s="3">
        <v>26.467337980035701</v>
      </c>
    </row>
    <row r="280" spans="1:3" ht="13" x14ac:dyDescent="0.15">
      <c r="A280" s="1">
        <f ca="1">IFERROR(__xludf.DUMMYFUNCTION("""COMPUTED_VALUE"""),43564.6666666666)</f>
        <v>43564.666666666599</v>
      </c>
      <c r="B280" s="2">
        <f ca="1">IFERROR(__xludf.DUMMYFUNCTION("""COMPUTED_VALUE"""),18.15)</f>
        <v>18.149999999999999</v>
      </c>
      <c r="C280" s="3">
        <v>25.390483230880399</v>
      </c>
    </row>
    <row r="281" spans="1:3" ht="13" x14ac:dyDescent="0.15">
      <c r="A281" s="1">
        <f ca="1">IFERROR(__xludf.DUMMYFUNCTION("""COMPUTED_VALUE"""),43565.6666666666)</f>
        <v>43565.666666666599</v>
      </c>
      <c r="B281" s="2">
        <f ca="1">IFERROR(__xludf.DUMMYFUNCTION("""COMPUTED_VALUE"""),18.4)</f>
        <v>18.399999999999999</v>
      </c>
      <c r="C281" s="3">
        <v>25.378763203922901</v>
      </c>
    </row>
    <row r="282" spans="1:3" ht="13" x14ac:dyDescent="0.15">
      <c r="A282" s="1">
        <f ca="1">IFERROR(__xludf.DUMMYFUNCTION("""COMPUTED_VALUE"""),43566.6666666666)</f>
        <v>43566.666666666599</v>
      </c>
      <c r="B282" s="2">
        <f ca="1">IFERROR(__xludf.DUMMYFUNCTION("""COMPUTED_VALUE"""),17.89)</f>
        <v>17.89</v>
      </c>
      <c r="C282" s="3">
        <v>24.795544152675198</v>
      </c>
    </row>
    <row r="283" spans="1:3" ht="13" x14ac:dyDescent="0.15">
      <c r="A283" s="1">
        <f ca="1">IFERROR(__xludf.DUMMYFUNCTION("""COMPUTED_VALUE"""),43567.6666666666)</f>
        <v>43567.666666666599</v>
      </c>
      <c r="B283" s="2">
        <f ca="1">IFERROR(__xludf.DUMMYFUNCTION("""COMPUTED_VALUE"""),17.85)</f>
        <v>17.850000000000001</v>
      </c>
      <c r="C283" s="3">
        <v>24.153364767956301</v>
      </c>
    </row>
    <row r="284" spans="1:3" ht="13" x14ac:dyDescent="0.15">
      <c r="A284" s="1">
        <f ca="1">IFERROR(__xludf.DUMMYFUNCTION("""COMPUTED_VALUE"""),43570.6666666666)</f>
        <v>43570.666666666599</v>
      </c>
      <c r="B284" s="2">
        <f ca="1">IFERROR(__xludf.DUMMYFUNCTION("""COMPUTED_VALUE"""),17.76)</f>
        <v>17.760000000000002</v>
      </c>
      <c r="C284" s="3">
        <v>25.6063096665785</v>
      </c>
    </row>
    <row r="285" spans="1:3" ht="13" x14ac:dyDescent="0.15">
      <c r="A285" s="1">
        <f ca="1">IFERROR(__xludf.DUMMYFUNCTION("""COMPUTED_VALUE"""),43571.6666666666)</f>
        <v>43571.666666666599</v>
      </c>
      <c r="B285" s="2">
        <f ca="1">IFERROR(__xludf.DUMMYFUNCTION("""COMPUTED_VALUE"""),18.22)</f>
        <v>18.22</v>
      </c>
      <c r="C285" s="3">
        <v>24.492621473320501</v>
      </c>
    </row>
    <row r="286" spans="1:3" ht="13" x14ac:dyDescent="0.15">
      <c r="A286" s="1">
        <f ca="1">IFERROR(__xludf.DUMMYFUNCTION("""COMPUTED_VALUE"""),43572.6666666666)</f>
        <v>43572.666666666599</v>
      </c>
      <c r="B286" s="2">
        <f ca="1">IFERROR(__xludf.DUMMYFUNCTION("""COMPUTED_VALUE"""),18.08)</f>
        <v>18.079999999999998</v>
      </c>
      <c r="C286" s="3">
        <v>24.451180861288499</v>
      </c>
    </row>
    <row r="287" spans="1:3" ht="13" x14ac:dyDescent="0.15">
      <c r="A287" s="1">
        <f ca="1">IFERROR(__xludf.DUMMYFUNCTION("""COMPUTED_VALUE"""),43573.6666666666)</f>
        <v>43573.666666666599</v>
      </c>
      <c r="B287" s="2">
        <f ca="1">IFERROR(__xludf.DUMMYFUNCTION("""COMPUTED_VALUE"""),18.22)</f>
        <v>18.22</v>
      </c>
      <c r="C287" s="3">
        <v>23.832220560338001</v>
      </c>
    </row>
    <row r="288" spans="1:3" ht="13" x14ac:dyDescent="0.15">
      <c r="A288" s="1">
        <f ca="1">IFERROR(__xludf.DUMMYFUNCTION("""COMPUTED_VALUE"""),43577.6666666666)</f>
        <v>43577.666666666599</v>
      </c>
      <c r="B288" s="2">
        <f ca="1">IFERROR(__xludf.DUMMYFUNCTION("""COMPUTED_VALUE"""),17.52)</f>
        <v>17.52</v>
      </c>
      <c r="C288" s="3">
        <v>24.197442967900201</v>
      </c>
    </row>
    <row r="289" spans="1:3" ht="13" x14ac:dyDescent="0.15">
      <c r="A289" s="1">
        <f ca="1">IFERROR(__xludf.DUMMYFUNCTION("""COMPUTED_VALUE"""),43578.6666666666)</f>
        <v>43578.666666666599</v>
      </c>
      <c r="B289" s="2">
        <f ca="1">IFERROR(__xludf.DUMMYFUNCTION("""COMPUTED_VALUE"""),17.59)</f>
        <v>17.59</v>
      </c>
      <c r="C289" s="3">
        <v>22.8475906219698</v>
      </c>
    </row>
    <row r="290" spans="1:3" ht="13" x14ac:dyDescent="0.15">
      <c r="A290" s="1">
        <f ca="1">IFERROR(__xludf.DUMMYFUNCTION("""COMPUTED_VALUE"""),43579.6666666666)</f>
        <v>43579.666666666599</v>
      </c>
      <c r="B290" s="2">
        <f ca="1">IFERROR(__xludf.DUMMYFUNCTION("""COMPUTED_VALUE"""),17.24)</f>
        <v>17.239999999999998</v>
      </c>
      <c r="C290" s="3">
        <v>22.507153907359399</v>
      </c>
    </row>
    <row r="291" spans="1:3" ht="13" x14ac:dyDescent="0.15">
      <c r="A291" s="1">
        <f ca="1">IFERROR(__xludf.DUMMYFUNCTION("""COMPUTED_VALUE"""),43580.6666666666)</f>
        <v>43580.666666666599</v>
      </c>
      <c r="B291" s="2">
        <f ca="1">IFERROR(__xludf.DUMMYFUNCTION("""COMPUTED_VALUE"""),16.51)</f>
        <v>16.510000000000002</v>
      </c>
      <c r="C291" s="3">
        <v>21.524072907699399</v>
      </c>
    </row>
    <row r="292" spans="1:3" ht="13" x14ac:dyDescent="0.15">
      <c r="A292" s="1">
        <f ca="1">IFERROR(__xludf.DUMMYFUNCTION("""COMPUTED_VALUE"""),43581.6666666666)</f>
        <v>43581.666666666599</v>
      </c>
      <c r="B292" s="2">
        <f ca="1">IFERROR(__xludf.DUMMYFUNCTION("""COMPUTED_VALUE"""),15.68)</f>
        <v>15.68</v>
      </c>
      <c r="C292" s="3">
        <v>20.3984031417348</v>
      </c>
    </row>
    <row r="293" spans="1:3" ht="13" x14ac:dyDescent="0.15">
      <c r="A293" s="1">
        <f ca="1">IFERROR(__xludf.DUMMYFUNCTION("""COMPUTED_VALUE"""),43584.6666666666)</f>
        <v>43584.666666666599</v>
      </c>
      <c r="B293" s="2">
        <f ca="1">IFERROR(__xludf.DUMMYFUNCTION("""COMPUTED_VALUE"""),16.1)</f>
        <v>16.100000000000001</v>
      </c>
      <c r="C293" s="3">
        <v>19.8287527245718</v>
      </c>
    </row>
    <row r="294" spans="1:3" ht="13" x14ac:dyDescent="0.15">
      <c r="A294" s="1">
        <f ca="1">IFERROR(__xludf.DUMMYFUNCTION("""COMPUTED_VALUE"""),43585.6666666666)</f>
        <v>43585.666666666599</v>
      </c>
      <c r="B294" s="2">
        <f ca="1">IFERROR(__xludf.DUMMYFUNCTION("""COMPUTED_VALUE"""),15.91)</f>
        <v>15.91</v>
      </c>
      <c r="C294" s="3">
        <v>17.847131723481599</v>
      </c>
    </row>
    <row r="295" spans="1:3" ht="13" x14ac:dyDescent="0.15">
      <c r="A295" s="1">
        <f ca="1">IFERROR(__xludf.DUMMYFUNCTION("""COMPUTED_VALUE"""),43586.6666666666)</f>
        <v>43586.666666666599</v>
      </c>
      <c r="B295" s="2">
        <f ca="1">IFERROR(__xludf.DUMMYFUNCTION("""COMPUTED_VALUE"""),15.6)</f>
        <v>15.6</v>
      </c>
      <c r="C295" s="3">
        <v>16.8500761164998</v>
      </c>
    </row>
    <row r="296" spans="1:3" ht="13" x14ac:dyDescent="0.15">
      <c r="A296" s="1">
        <f ca="1">IFERROR(__xludf.DUMMYFUNCTION("""COMPUTED_VALUE"""),43587.6666666666)</f>
        <v>43587.666666666599</v>
      </c>
      <c r="B296" s="2">
        <f ca="1">IFERROR(__xludf.DUMMYFUNCTION("""COMPUTED_VALUE"""),16.27)</f>
        <v>16.27</v>
      </c>
      <c r="C296" s="3">
        <v>15.199637471588501</v>
      </c>
    </row>
    <row r="297" spans="1:3" ht="13" x14ac:dyDescent="0.15">
      <c r="A297" s="1">
        <f ca="1">IFERROR(__xludf.DUMMYFUNCTION("""COMPUTED_VALUE"""),43588.6666666666)</f>
        <v>43588.666666666599</v>
      </c>
      <c r="B297" s="2">
        <f ca="1">IFERROR(__xludf.DUMMYFUNCTION("""COMPUTED_VALUE"""),17)</f>
        <v>17</v>
      </c>
      <c r="C297" s="3">
        <v>13.4111972612302</v>
      </c>
    </row>
    <row r="298" spans="1:3" ht="13" x14ac:dyDescent="0.15">
      <c r="A298" s="1">
        <f ca="1">IFERROR(__xludf.DUMMYFUNCTION("""COMPUTED_VALUE"""),43591.6666666666)</f>
        <v>43591.666666666599</v>
      </c>
      <c r="B298" s="2">
        <f ca="1">IFERROR(__xludf.DUMMYFUNCTION("""COMPUTED_VALUE"""),17.02)</f>
        <v>17.02</v>
      </c>
      <c r="C298" s="3">
        <v>11.0424230059447</v>
      </c>
    </row>
    <row r="299" spans="1:3" ht="13" x14ac:dyDescent="0.15">
      <c r="A299" s="1">
        <f ca="1">IFERROR(__xludf.DUMMYFUNCTION("""COMPUTED_VALUE"""),43592.6666666666)</f>
        <v>43592.666666666599</v>
      </c>
      <c r="B299" s="2">
        <f ca="1">IFERROR(__xludf.DUMMYFUNCTION("""COMPUTED_VALUE"""),16.47)</f>
        <v>16.47</v>
      </c>
      <c r="C299" s="3">
        <v>8.5773960156880609</v>
      </c>
    </row>
    <row r="300" spans="1:3" ht="13" x14ac:dyDescent="0.15">
      <c r="A300" s="1">
        <f ca="1">IFERROR(__xludf.DUMMYFUNCTION("""COMPUTED_VALUE"""),43593.6666666666)</f>
        <v>43593.666666666599</v>
      </c>
      <c r="B300" s="2">
        <f ca="1">IFERROR(__xludf.DUMMYFUNCTION("""COMPUTED_VALUE"""),16.32)</f>
        <v>16.32</v>
      </c>
      <c r="C300" s="3">
        <v>7.1796575724105196</v>
      </c>
    </row>
    <row r="301" spans="1:3" ht="13" x14ac:dyDescent="0.15">
      <c r="A301" s="1">
        <f ca="1">IFERROR(__xludf.DUMMYFUNCTION("""COMPUTED_VALUE"""),43594.6666666666)</f>
        <v>43594.666666666599</v>
      </c>
      <c r="B301" s="2">
        <f ca="1">IFERROR(__xludf.DUMMYFUNCTION("""COMPUTED_VALUE"""),16.13)</f>
        <v>16.13</v>
      </c>
      <c r="C301" s="3">
        <v>5.22379589297881</v>
      </c>
    </row>
    <row r="302" spans="1:3" ht="13" x14ac:dyDescent="0.15">
      <c r="A302" s="1">
        <f ca="1">IFERROR(__xludf.DUMMYFUNCTION("""COMPUTED_VALUE"""),43595.6666666666)</f>
        <v>43595.666666666599</v>
      </c>
      <c r="B302" s="2">
        <f ca="1">IFERROR(__xludf.DUMMYFUNCTION("""COMPUTED_VALUE"""),15.97)</f>
        <v>15.97</v>
      </c>
      <c r="C302" s="3">
        <v>3.2356777139602202</v>
      </c>
    </row>
    <row r="303" spans="1:3" ht="13" x14ac:dyDescent="0.15">
      <c r="A303" s="1">
        <f ca="1">IFERROR(__xludf.DUMMYFUNCTION("""COMPUTED_VALUE"""),43598.6666666666)</f>
        <v>43598.666666666599</v>
      </c>
      <c r="B303" s="2">
        <f ca="1">IFERROR(__xludf.DUMMYFUNCTION("""COMPUTED_VALUE"""),15.13)</f>
        <v>15.13</v>
      </c>
      <c r="C303" s="3">
        <v>0.96975376532097002</v>
      </c>
    </row>
    <row r="304" spans="1:3" ht="13" x14ac:dyDescent="0.15">
      <c r="A304" s="1">
        <f ca="1">IFERROR(__xludf.DUMMYFUNCTION("""COMPUTED_VALUE"""),43599.6666666666)</f>
        <v>43599.666666666599</v>
      </c>
      <c r="B304" s="2">
        <f ca="1">IFERROR(__xludf.DUMMYFUNCTION("""COMPUTED_VALUE"""),15.49)</f>
        <v>15.49</v>
      </c>
      <c r="C304" s="3">
        <v>-1.2185717222122701</v>
      </c>
    </row>
    <row r="305" spans="1:3" ht="13" x14ac:dyDescent="0.15">
      <c r="A305" s="1">
        <f ca="1">IFERROR(__xludf.DUMMYFUNCTION("""COMPUTED_VALUE"""),43600.6666666666)</f>
        <v>43600.666666666599</v>
      </c>
      <c r="B305" s="2">
        <f ca="1">IFERROR(__xludf.DUMMYFUNCTION("""COMPUTED_VALUE"""),15.46)</f>
        <v>15.46</v>
      </c>
      <c r="C305" s="3">
        <v>-2.2215629760390301</v>
      </c>
    </row>
    <row r="306" spans="1:3" ht="13" x14ac:dyDescent="0.15">
      <c r="A306" s="1">
        <f ca="1">IFERROR(__xludf.DUMMYFUNCTION("""COMPUTED_VALUE"""),43601.6666666666)</f>
        <v>43601.666666666599</v>
      </c>
      <c r="B306" s="2">
        <f ca="1">IFERROR(__xludf.DUMMYFUNCTION("""COMPUTED_VALUE"""),15.22)</f>
        <v>15.22</v>
      </c>
      <c r="C306" s="3">
        <v>-3.6709532368569202</v>
      </c>
    </row>
    <row r="307" spans="1:3" ht="13" x14ac:dyDescent="0.15">
      <c r="A307" s="1">
        <f ca="1">IFERROR(__xludf.DUMMYFUNCTION("""COMPUTED_VALUE"""),43602.6666666666)</f>
        <v>43602.666666666599</v>
      </c>
      <c r="B307" s="2">
        <f ca="1">IFERROR(__xludf.DUMMYFUNCTION("""COMPUTED_VALUE"""),14.07)</f>
        <v>14.07</v>
      </c>
      <c r="C307" s="3">
        <v>-5.0499766917562701</v>
      </c>
    </row>
    <row r="308" spans="1:3" ht="13" x14ac:dyDescent="0.15">
      <c r="A308" s="1">
        <f ca="1">IFERROR(__xludf.DUMMYFUNCTION("""COMPUTED_VALUE"""),43605.6666666666)</f>
        <v>43605.666666666599</v>
      </c>
      <c r="B308" s="2">
        <f ca="1">IFERROR(__xludf.DUMMYFUNCTION("""COMPUTED_VALUE"""),13.69)</f>
        <v>13.69</v>
      </c>
      <c r="C308" s="3">
        <v>-5.0002083013498</v>
      </c>
    </row>
    <row r="309" spans="1:3" ht="13" x14ac:dyDescent="0.15">
      <c r="A309" s="1">
        <f ca="1">IFERROR(__xludf.DUMMYFUNCTION("""COMPUTED_VALUE"""),43606.6666666666)</f>
        <v>43606.666666666599</v>
      </c>
      <c r="B309" s="2">
        <f ca="1">IFERROR(__xludf.DUMMYFUNCTION("""COMPUTED_VALUE"""),13.67)</f>
        <v>13.67</v>
      </c>
      <c r="C309" s="3">
        <v>-6.3059495532581202</v>
      </c>
    </row>
    <row r="310" spans="1:3" ht="13" x14ac:dyDescent="0.15">
      <c r="A310" s="1">
        <f ca="1">IFERROR(__xludf.DUMMYFUNCTION("""COMPUTED_VALUE"""),43607.6666666666)</f>
        <v>43607.666666666599</v>
      </c>
      <c r="B310" s="2">
        <f ca="1">IFERROR(__xludf.DUMMYFUNCTION("""COMPUTED_VALUE"""),12.85)</f>
        <v>12.85</v>
      </c>
      <c r="C310" s="3">
        <v>-6.4004297931986702</v>
      </c>
    </row>
    <row r="311" spans="1:3" ht="13" x14ac:dyDescent="0.15">
      <c r="A311" s="1">
        <f ca="1">IFERROR(__xludf.DUMMYFUNCTION("""COMPUTED_VALUE"""),43608.6666666666)</f>
        <v>43608.666666666599</v>
      </c>
      <c r="B311" s="2">
        <f ca="1">IFERROR(__xludf.DUMMYFUNCTION("""COMPUTED_VALUE"""),13.03)</f>
        <v>13.03</v>
      </c>
      <c r="C311" s="3">
        <v>-6.9340504544222901</v>
      </c>
    </row>
    <row r="312" spans="1:3" ht="13" x14ac:dyDescent="0.15">
      <c r="A312" s="1">
        <f ca="1">IFERROR(__xludf.DUMMYFUNCTION("""COMPUTED_VALUE"""),43609.6666666666)</f>
        <v>43609.666666666599</v>
      </c>
      <c r="B312" s="2">
        <f ca="1">IFERROR(__xludf.DUMMYFUNCTION("""COMPUTED_VALUE"""),12.71)</f>
        <v>12.71</v>
      </c>
      <c r="C312" s="3">
        <v>-7.4086880615285704</v>
      </c>
    </row>
    <row r="313" spans="1:3" ht="13" x14ac:dyDescent="0.15">
      <c r="A313" s="1">
        <f ca="1">IFERROR(__xludf.DUMMYFUNCTION("""COMPUTED_VALUE"""),43613.6666666666)</f>
        <v>43613.666666666599</v>
      </c>
      <c r="B313" s="2">
        <f ca="1">IFERROR(__xludf.DUMMYFUNCTION("""COMPUTED_VALUE"""),12.58)</f>
        <v>12.58</v>
      </c>
      <c r="C313" s="3">
        <v>-5.5051204063460801</v>
      </c>
    </row>
    <row r="314" spans="1:3" ht="13" x14ac:dyDescent="0.15">
      <c r="A314" s="1">
        <f ca="1">IFERROR(__xludf.DUMMYFUNCTION("""COMPUTED_VALUE"""),43614.6666666666)</f>
        <v>43614.666666666599</v>
      </c>
      <c r="B314" s="2">
        <f ca="1">IFERROR(__xludf.DUMMYFUNCTION("""COMPUTED_VALUE"""),12.66)</f>
        <v>12.66</v>
      </c>
      <c r="C314" s="3">
        <v>-4.9967496897958004</v>
      </c>
    </row>
    <row r="315" spans="1:3" ht="13" x14ac:dyDescent="0.15">
      <c r="A315" s="1">
        <f ca="1">IFERROR(__xludf.DUMMYFUNCTION("""COMPUTED_VALUE"""),43615.6666666666)</f>
        <v>43615.666666666599</v>
      </c>
      <c r="B315" s="2">
        <f ca="1">IFERROR(__xludf.DUMMYFUNCTION("""COMPUTED_VALUE"""),12.55)</f>
        <v>12.55</v>
      </c>
      <c r="C315" s="3">
        <v>-5.0238080571421104</v>
      </c>
    </row>
    <row r="316" spans="1:3" ht="13" x14ac:dyDescent="0.15">
      <c r="A316" s="1">
        <f ca="1">IFERROR(__xludf.DUMMYFUNCTION("""COMPUTED_VALUE"""),43616.6666666666)</f>
        <v>43616.666666666599</v>
      </c>
      <c r="B316" s="2">
        <f ca="1">IFERROR(__xludf.DUMMYFUNCTION("""COMPUTED_VALUE"""),12.34)</f>
        <v>12.34</v>
      </c>
      <c r="C316" s="3">
        <v>-5.0943388991138701</v>
      </c>
    </row>
    <row r="317" spans="1:3" ht="13" x14ac:dyDescent="0.15">
      <c r="A317" s="1">
        <f ca="1">IFERROR(__xludf.DUMMYFUNCTION("""COMPUTED_VALUE"""),43619.6666666666)</f>
        <v>43619.666666666599</v>
      </c>
      <c r="B317" s="2">
        <f ca="1">IFERROR(__xludf.DUMMYFUNCTION("""COMPUTED_VALUE"""),11.93)</f>
        <v>11.93</v>
      </c>
      <c r="C317" s="3">
        <v>-1.9957892199652201</v>
      </c>
    </row>
    <row r="318" spans="1:3" ht="13" x14ac:dyDescent="0.15">
      <c r="A318" s="1">
        <f ca="1">IFERROR(__xludf.DUMMYFUNCTION("""COMPUTED_VALUE"""),43620.6666666666)</f>
        <v>43620.666666666599</v>
      </c>
      <c r="B318" s="2">
        <f ca="1">IFERROR(__xludf.DUMMYFUNCTION("""COMPUTED_VALUE"""),12.91)</f>
        <v>12.91</v>
      </c>
      <c r="C318" s="3">
        <v>-2.6207008967030299</v>
      </c>
    </row>
    <row r="319" spans="1:3" ht="13" x14ac:dyDescent="0.15">
      <c r="A319" s="1">
        <f ca="1">IFERROR(__xludf.DUMMYFUNCTION("""COMPUTED_VALUE"""),43621.6666666666)</f>
        <v>43621.666666666599</v>
      </c>
      <c r="B319" s="2">
        <f ca="1">IFERROR(__xludf.DUMMYFUNCTION("""COMPUTED_VALUE"""),13.11)</f>
        <v>13.11</v>
      </c>
      <c r="C319" s="3">
        <v>-2.211972024374</v>
      </c>
    </row>
    <row r="320" spans="1:3" ht="13" x14ac:dyDescent="0.15">
      <c r="A320" s="1">
        <f ca="1">IFERROR(__xludf.DUMMYFUNCTION("""COMPUTED_VALUE"""),43622.6666666666)</f>
        <v>43622.666666666599</v>
      </c>
      <c r="B320" s="2">
        <f ca="1">IFERROR(__xludf.DUMMYFUNCTION("""COMPUTED_VALUE"""),13.73)</f>
        <v>13.73</v>
      </c>
      <c r="C320" s="3">
        <v>-2.4187018029351499</v>
      </c>
    </row>
    <row r="321" spans="1:3" ht="13" x14ac:dyDescent="0.15">
      <c r="A321" s="1">
        <f ca="1">IFERROR(__xludf.DUMMYFUNCTION("""COMPUTED_VALUE"""),43623.6666666666)</f>
        <v>43623.666666666599</v>
      </c>
      <c r="B321" s="2">
        <f ca="1">IFERROR(__xludf.DUMMYFUNCTION("""COMPUTED_VALUE"""),13.63)</f>
        <v>13.63</v>
      </c>
      <c r="C321" s="3">
        <v>-2.73674263456624</v>
      </c>
    </row>
    <row r="322" spans="1:3" ht="13" x14ac:dyDescent="0.15">
      <c r="A322" s="1">
        <f ca="1">IFERROR(__xludf.DUMMYFUNCTION("""COMPUTED_VALUE"""),43626.6666666666)</f>
        <v>43626.666666666599</v>
      </c>
      <c r="B322" s="2">
        <f ca="1">IFERROR(__xludf.DUMMYFUNCTION("""COMPUTED_VALUE"""),14.19)</f>
        <v>14.19</v>
      </c>
      <c r="C322" s="3">
        <v>-0.64487256951375804</v>
      </c>
    </row>
    <row r="323" spans="1:3" ht="13" x14ac:dyDescent="0.15">
      <c r="A323" s="1">
        <f ca="1">IFERROR(__xludf.DUMMYFUNCTION("""COMPUTED_VALUE"""),43627.6666666666)</f>
        <v>43627.666666666599</v>
      </c>
      <c r="B323" s="2">
        <f ca="1">IFERROR(__xludf.DUMMYFUNCTION("""COMPUTED_VALUE"""),14.47)</f>
        <v>14.47</v>
      </c>
      <c r="C323" s="3">
        <v>-1.64193644633795</v>
      </c>
    </row>
    <row r="324" spans="1:3" ht="13" x14ac:dyDescent="0.15">
      <c r="A324" s="1">
        <f ca="1">IFERROR(__xludf.DUMMYFUNCTION("""COMPUTED_VALUE"""),43628.6666666666)</f>
        <v>43628.666666666599</v>
      </c>
      <c r="B324" s="2">
        <f ca="1">IFERROR(__xludf.DUMMYFUNCTION("""COMPUTED_VALUE"""),13.95)</f>
        <v>13.95</v>
      </c>
      <c r="C324" s="3">
        <v>-1.5976682156998301</v>
      </c>
    </row>
    <row r="325" spans="1:3" ht="13" x14ac:dyDescent="0.15">
      <c r="A325" s="1">
        <f ca="1">IFERROR(__xludf.DUMMYFUNCTION("""COMPUTED_VALUE"""),43629.6666666666)</f>
        <v>43629.666666666599</v>
      </c>
      <c r="B325" s="2">
        <f ca="1">IFERROR(__xludf.DUMMYFUNCTION("""COMPUTED_VALUE"""),14.26)</f>
        <v>14.26</v>
      </c>
      <c r="C325" s="3">
        <v>-2.1464066445643</v>
      </c>
    </row>
    <row r="326" spans="1:3" ht="13" x14ac:dyDescent="0.15">
      <c r="A326" s="1">
        <f ca="1">IFERROR(__xludf.DUMMYFUNCTION("""COMPUTED_VALUE"""),43630.6666666666)</f>
        <v>43630.666666666599</v>
      </c>
      <c r="B326" s="2">
        <f ca="1">IFERROR(__xludf.DUMMYFUNCTION("""COMPUTED_VALUE"""),14.33)</f>
        <v>14.33</v>
      </c>
      <c r="C326" s="3">
        <v>-2.7704187188057401</v>
      </c>
    </row>
    <row r="327" spans="1:3" ht="13" x14ac:dyDescent="0.15">
      <c r="A327" s="1">
        <f ca="1">IFERROR(__xludf.DUMMYFUNCTION("""COMPUTED_VALUE"""),43633.6666666666)</f>
        <v>43633.666666666599</v>
      </c>
      <c r="B327" s="2">
        <f ca="1">IFERROR(__xludf.DUMMYFUNCTION("""COMPUTED_VALUE"""),15)</f>
        <v>15</v>
      </c>
      <c r="C327" s="3">
        <v>-1.26987739797359</v>
      </c>
    </row>
    <row r="328" spans="1:3" ht="13" x14ac:dyDescent="0.15">
      <c r="A328" s="1">
        <f ca="1">IFERROR(__xludf.DUMMYFUNCTION("""COMPUTED_VALUE"""),43634.6666666666)</f>
        <v>43634.666666666599</v>
      </c>
      <c r="B328" s="2">
        <f ca="1">IFERROR(__xludf.DUMMYFUNCTION("""COMPUTED_VALUE"""),14.98)</f>
        <v>14.98</v>
      </c>
      <c r="C328" s="3">
        <v>-2.3289779881961601</v>
      </c>
    </row>
    <row r="329" spans="1:3" ht="13" x14ac:dyDescent="0.15">
      <c r="A329" s="1">
        <f ca="1">IFERROR(__xludf.DUMMYFUNCTION("""COMPUTED_VALUE"""),43635.6666666666)</f>
        <v>43635.666666666599</v>
      </c>
      <c r="B329" s="2">
        <f ca="1">IFERROR(__xludf.DUMMYFUNCTION("""COMPUTED_VALUE"""),15.1)</f>
        <v>15.1</v>
      </c>
      <c r="C329" s="3">
        <v>-2.2721083086701999</v>
      </c>
    </row>
    <row r="330" spans="1:3" ht="13" x14ac:dyDescent="0.15">
      <c r="A330" s="1">
        <f ca="1">IFERROR(__xludf.DUMMYFUNCTION("""COMPUTED_VALUE"""),43636.6666666666)</f>
        <v>43636.666666666599</v>
      </c>
      <c r="B330" s="2">
        <f ca="1">IFERROR(__xludf.DUMMYFUNCTION("""COMPUTED_VALUE"""),14.64)</f>
        <v>14.64</v>
      </c>
      <c r="C330" s="3">
        <v>-2.7331639846425602</v>
      </c>
    </row>
    <row r="331" spans="1:3" ht="13" x14ac:dyDescent="0.15">
      <c r="A331" s="1">
        <f ca="1">IFERROR(__xludf.DUMMYFUNCTION("""COMPUTED_VALUE"""),43637.6666666666)</f>
        <v>43637.666666666599</v>
      </c>
      <c r="B331" s="2">
        <f ca="1">IFERROR(__xludf.DUMMYFUNCTION("""COMPUTED_VALUE"""),14.79)</f>
        <v>14.79</v>
      </c>
      <c r="C331" s="3">
        <v>-3.1965086504906601</v>
      </c>
    </row>
    <row r="332" spans="1:3" ht="13" x14ac:dyDescent="0.15">
      <c r="A332" s="1">
        <f ca="1">IFERROR(__xludf.DUMMYFUNCTION("""COMPUTED_VALUE"""),43640.6666666666)</f>
        <v>43640.666666666599</v>
      </c>
      <c r="B332" s="2">
        <f ca="1">IFERROR(__xludf.DUMMYFUNCTION("""COMPUTED_VALUE"""),14.91)</f>
        <v>14.91</v>
      </c>
      <c r="C332" s="3">
        <v>-0.832296956721162</v>
      </c>
    </row>
    <row r="333" spans="1:3" ht="13" x14ac:dyDescent="0.15">
      <c r="A333" s="1">
        <f ca="1">IFERROR(__xludf.DUMMYFUNCTION("""COMPUTED_VALUE"""),43641.6666666666)</f>
        <v>43641.666666666599</v>
      </c>
      <c r="B333" s="2">
        <f ca="1">IFERROR(__xludf.DUMMYFUNCTION("""COMPUTED_VALUE"""),14.65)</f>
        <v>14.65</v>
      </c>
      <c r="C333" s="3">
        <v>-1.5051841477922301</v>
      </c>
    </row>
    <row r="334" spans="1:3" ht="13" x14ac:dyDescent="0.15">
      <c r="A334" s="1">
        <f ca="1">IFERROR(__xludf.DUMMYFUNCTION("""COMPUTED_VALUE"""),43642.6666666666)</f>
        <v>43642.666666666599</v>
      </c>
      <c r="B334" s="2">
        <f ca="1">IFERROR(__xludf.DUMMYFUNCTION("""COMPUTED_VALUE"""),14.62)</f>
        <v>14.62</v>
      </c>
      <c r="C334" s="3">
        <v>-1.0313785800144399</v>
      </c>
    </row>
    <row r="335" spans="1:3" ht="13" x14ac:dyDescent="0.15">
      <c r="A335" s="1">
        <f ca="1">IFERROR(__xludf.DUMMYFUNCTION("""COMPUTED_VALUE"""),43643.6666666666)</f>
        <v>43643.666666666599</v>
      </c>
      <c r="B335" s="2">
        <f ca="1">IFERROR(__xludf.DUMMYFUNCTION("""COMPUTED_VALUE"""),14.86)</f>
        <v>14.86</v>
      </c>
      <c r="C335" s="3">
        <v>-1.0574467497076401</v>
      </c>
    </row>
    <row r="336" spans="1:3" ht="13" x14ac:dyDescent="0.15">
      <c r="A336" s="1">
        <f ca="1">IFERROR(__xludf.DUMMYFUNCTION("""COMPUTED_VALUE"""),43644.6666666666)</f>
        <v>43644.666666666599</v>
      </c>
      <c r="B336" s="2">
        <f ca="1">IFERROR(__xludf.DUMMYFUNCTION("""COMPUTED_VALUE"""),14.9)</f>
        <v>14.9</v>
      </c>
      <c r="C336" s="3">
        <v>-1.0809099546680001</v>
      </c>
    </row>
    <row r="337" spans="1:3" ht="13" x14ac:dyDescent="0.15">
      <c r="A337" s="1">
        <f ca="1">IFERROR(__xludf.DUMMYFUNCTION("""COMPUTED_VALUE"""),43647.6666666666)</f>
        <v>43647.666666666599</v>
      </c>
      <c r="B337" s="2">
        <f ca="1">IFERROR(__xludf.DUMMYFUNCTION("""COMPUTED_VALUE"""),15.14)</f>
        <v>15.14</v>
      </c>
      <c r="C337" s="3">
        <v>2.5026062415160699</v>
      </c>
    </row>
    <row r="338" spans="1:3" ht="13" x14ac:dyDescent="0.15">
      <c r="A338" s="1">
        <f ca="1">IFERROR(__xludf.DUMMYFUNCTION("""COMPUTED_VALUE"""),43648.6666666666)</f>
        <v>43648.666666666599</v>
      </c>
      <c r="B338" s="2">
        <f ca="1">IFERROR(__xludf.DUMMYFUNCTION("""COMPUTED_VALUE"""),14.97)</f>
        <v>14.97</v>
      </c>
      <c r="C338" s="3">
        <v>2.1630606557963801</v>
      </c>
    </row>
    <row r="339" spans="1:3" ht="13" x14ac:dyDescent="0.15">
      <c r="A339" s="1">
        <f ca="1">IFERROR(__xludf.DUMMYFUNCTION("""COMPUTED_VALUE"""),43649.5416666666)</f>
        <v>43649.541666666599</v>
      </c>
      <c r="B339" s="2">
        <f ca="1">IFERROR(__xludf.DUMMYFUNCTION("""COMPUTED_VALUE"""),15.66)</f>
        <v>15.66</v>
      </c>
      <c r="C339" s="3">
        <v>2.9169864817612199</v>
      </c>
    </row>
    <row r="340" spans="1:3" ht="13" x14ac:dyDescent="0.15">
      <c r="A340" s="1">
        <f ca="1">IFERROR(__xludf.DUMMYFUNCTION("""COMPUTED_VALUE"""),43651.6666666666)</f>
        <v>43651.666666666599</v>
      </c>
      <c r="B340" s="2">
        <f ca="1">IFERROR(__xludf.DUMMYFUNCTION("""COMPUTED_VALUE"""),15.54)</f>
        <v>15.54</v>
      </c>
      <c r="C340" s="3">
        <v>3.2404173108526901</v>
      </c>
    </row>
    <row r="341" spans="1:3" ht="13" x14ac:dyDescent="0.15">
      <c r="A341" s="1">
        <f ca="1">IFERROR(__xludf.DUMMYFUNCTION("""COMPUTED_VALUE"""),43654.6666666666)</f>
        <v>43654.666666666599</v>
      </c>
      <c r="B341" s="2">
        <f ca="1">IFERROR(__xludf.DUMMYFUNCTION("""COMPUTED_VALUE"""),15.36)</f>
        <v>15.36</v>
      </c>
      <c r="C341" s="3">
        <v>6.8691270705476999</v>
      </c>
    </row>
    <row r="342" spans="1:3" ht="13" x14ac:dyDescent="0.15">
      <c r="A342" s="1">
        <f ca="1">IFERROR(__xludf.DUMMYFUNCTION("""COMPUTED_VALUE"""),43655.6666666666)</f>
        <v>43655.666666666599</v>
      </c>
      <c r="B342" s="2">
        <f ca="1">IFERROR(__xludf.DUMMYFUNCTION("""COMPUTED_VALUE"""),15.34)</f>
        <v>15.34</v>
      </c>
      <c r="C342" s="3">
        <v>6.4114376405908304</v>
      </c>
    </row>
    <row r="343" spans="1:3" ht="13" x14ac:dyDescent="0.15">
      <c r="A343" s="1">
        <f ca="1">IFERROR(__xludf.DUMMYFUNCTION("""COMPUTED_VALUE"""),43656.6666666666)</f>
        <v>43656.666666666599</v>
      </c>
      <c r="B343" s="2">
        <f ca="1">IFERROR(__xludf.DUMMYFUNCTION("""COMPUTED_VALUE"""),15.93)</f>
        <v>15.93</v>
      </c>
      <c r="C343" s="3">
        <v>6.9888338791655098</v>
      </c>
    </row>
    <row r="344" spans="1:3" ht="13" x14ac:dyDescent="0.15">
      <c r="A344" s="1">
        <f ca="1">IFERROR(__xludf.DUMMYFUNCTION("""COMPUTED_VALUE"""),43657.6666666666)</f>
        <v>43657.666666666599</v>
      </c>
      <c r="B344" s="2">
        <f ca="1">IFERROR(__xludf.DUMMYFUNCTION("""COMPUTED_VALUE"""),15.91)</f>
        <v>15.91</v>
      </c>
      <c r="C344" s="3">
        <v>6.9552879453537697</v>
      </c>
    </row>
    <row r="345" spans="1:3" ht="13" x14ac:dyDescent="0.15">
      <c r="A345" s="1">
        <f ca="1">IFERROR(__xludf.DUMMYFUNCTION("""COMPUTED_VALUE"""),43658.6666666666)</f>
        <v>43658.666666666599</v>
      </c>
      <c r="B345" s="2">
        <f ca="1">IFERROR(__xludf.DUMMYFUNCTION("""COMPUTED_VALUE"""),16.34)</f>
        <v>16.34</v>
      </c>
      <c r="C345" s="3">
        <v>6.8175656210397904</v>
      </c>
    </row>
    <row r="346" spans="1:3" ht="13" x14ac:dyDescent="0.15">
      <c r="A346" s="1">
        <f ca="1">IFERROR(__xludf.DUMMYFUNCTION("""COMPUTED_VALUE"""),43661.6666666666)</f>
        <v>43661.666666666599</v>
      </c>
      <c r="B346" s="2">
        <f ca="1">IFERROR(__xludf.DUMMYFUNCTION("""COMPUTED_VALUE"""),16.9)</f>
        <v>16.899999999999999</v>
      </c>
      <c r="C346" s="3">
        <v>9.5125179741511001</v>
      </c>
    </row>
    <row r="347" spans="1:3" ht="13" x14ac:dyDescent="0.15">
      <c r="A347" s="1">
        <f ca="1">IFERROR(__xludf.DUMMYFUNCTION("""COMPUTED_VALUE"""),43662.6666666666)</f>
        <v>43662.666666666599</v>
      </c>
      <c r="B347" s="2">
        <f ca="1">IFERROR(__xludf.DUMMYFUNCTION("""COMPUTED_VALUE"""),16.83)</f>
        <v>16.829999999999998</v>
      </c>
      <c r="C347" s="3">
        <v>8.7413816529687303</v>
      </c>
    </row>
    <row r="348" spans="1:3" ht="13" x14ac:dyDescent="0.15">
      <c r="A348" s="1">
        <f ca="1">IFERROR(__xludf.DUMMYFUNCTION("""COMPUTED_VALUE"""),43663.6666666666)</f>
        <v>43663.666666666599</v>
      </c>
      <c r="B348" s="2">
        <f ca="1">IFERROR(__xludf.DUMMYFUNCTION("""COMPUTED_VALUE"""),16.99)</f>
        <v>16.989999999999998</v>
      </c>
      <c r="C348" s="3">
        <v>9.0250427915418001</v>
      </c>
    </row>
    <row r="349" spans="1:3" ht="13" x14ac:dyDescent="0.15">
      <c r="A349" s="1">
        <f ca="1">IFERROR(__xludf.DUMMYFUNCTION("""COMPUTED_VALUE"""),43664.6666666666)</f>
        <v>43664.666666666599</v>
      </c>
      <c r="B349" s="2">
        <f ca="1">IFERROR(__xludf.DUMMYFUNCTION("""COMPUTED_VALUE"""),16.9)</f>
        <v>16.899999999999999</v>
      </c>
      <c r="C349" s="3">
        <v>8.72916070305331</v>
      </c>
    </row>
    <row r="350" spans="1:3" ht="13" x14ac:dyDescent="0.15">
      <c r="A350" s="1">
        <f ca="1">IFERROR(__xludf.DUMMYFUNCTION("""COMPUTED_VALUE"""),43665.6666666666)</f>
        <v>43665.666666666599</v>
      </c>
      <c r="B350" s="2">
        <f ca="1">IFERROR(__xludf.DUMMYFUNCTION("""COMPUTED_VALUE"""),17.21)</f>
        <v>17.21</v>
      </c>
      <c r="C350" s="3">
        <v>8.3710886588873894</v>
      </c>
    </row>
    <row r="351" spans="1:3" ht="13" x14ac:dyDescent="0.15">
      <c r="A351" s="1">
        <f ca="1">IFERROR(__xludf.DUMMYFUNCTION("""COMPUTED_VALUE"""),43668.6666666666)</f>
        <v>43668.666666666599</v>
      </c>
      <c r="B351" s="2">
        <f ca="1">IFERROR(__xludf.DUMMYFUNCTION("""COMPUTED_VALUE"""),17.05)</f>
        <v>17.05</v>
      </c>
      <c r="C351" s="3">
        <v>10.738976134565</v>
      </c>
    </row>
    <row r="352" spans="1:3" ht="13" x14ac:dyDescent="0.15">
      <c r="A352" s="1">
        <f ca="1">IFERROR(__xludf.DUMMYFUNCTION("""COMPUTED_VALUE"""),43669.6666666666)</f>
        <v>43669.666666666599</v>
      </c>
      <c r="B352" s="2">
        <f ca="1">IFERROR(__xludf.DUMMYFUNCTION("""COMPUTED_VALUE"""),17.34)</f>
        <v>17.34</v>
      </c>
      <c r="C352" s="3">
        <v>9.9876143297624402</v>
      </c>
    </row>
    <row r="353" spans="1:3" ht="13" x14ac:dyDescent="0.15">
      <c r="A353" s="1">
        <f ca="1">IFERROR(__xludf.DUMMYFUNCTION("""COMPUTED_VALUE"""),43670.6666666666)</f>
        <v>43670.666666666599</v>
      </c>
      <c r="B353" s="2">
        <f ca="1">IFERROR(__xludf.DUMMYFUNCTION("""COMPUTED_VALUE"""),17.66)</f>
        <v>17.66</v>
      </c>
      <c r="C353" s="3">
        <v>10.358561260011999</v>
      </c>
    </row>
    <row r="354" spans="1:3" ht="13" x14ac:dyDescent="0.15">
      <c r="A354" s="1">
        <f ca="1">IFERROR(__xludf.DUMMYFUNCTION("""COMPUTED_VALUE"""),43671.6666666666)</f>
        <v>43671.666666666599</v>
      </c>
      <c r="B354" s="2">
        <f ca="1">IFERROR(__xludf.DUMMYFUNCTION("""COMPUTED_VALUE"""),15.25)</f>
        <v>15.25</v>
      </c>
      <c r="C354" s="3">
        <v>10.215767909794801</v>
      </c>
    </row>
    <row r="355" spans="1:3" ht="13" x14ac:dyDescent="0.15">
      <c r="A355" s="1">
        <f ca="1">IFERROR(__xludf.DUMMYFUNCTION("""COMPUTED_VALUE"""),43672.6666666666)</f>
        <v>43672.666666666599</v>
      </c>
      <c r="B355" s="2">
        <f ca="1">IFERROR(__xludf.DUMMYFUNCTION("""COMPUTED_VALUE"""),15.2)</f>
        <v>15.2</v>
      </c>
      <c r="C355" s="3">
        <v>10.072503268790401</v>
      </c>
    </row>
    <row r="356" spans="1:3" ht="13" x14ac:dyDescent="0.15">
      <c r="A356" s="1">
        <f ca="1">IFERROR(__xludf.DUMMYFUNCTION("""COMPUTED_VALUE"""),43675.6666666666)</f>
        <v>43675.666666666599</v>
      </c>
      <c r="B356" s="2">
        <f ca="1">IFERROR(__xludf.DUMMYFUNCTION("""COMPUTED_VALUE"""),15.72)</f>
        <v>15.72</v>
      </c>
      <c r="C356" s="3">
        <v>13.381472766165899</v>
      </c>
    </row>
    <row r="357" spans="1:3" ht="13" x14ac:dyDescent="0.15">
      <c r="A357" s="1">
        <f ca="1">IFERROR(__xludf.DUMMYFUNCTION("""COMPUTED_VALUE"""),43676.6666666666)</f>
        <v>43676.666666666599</v>
      </c>
      <c r="B357" s="2">
        <f ca="1">IFERROR(__xludf.DUMMYFUNCTION("""COMPUTED_VALUE"""),16.15)</f>
        <v>16.149999999999999</v>
      </c>
      <c r="C357" s="3">
        <v>13.008817196386399</v>
      </c>
    </row>
    <row r="358" spans="1:3" ht="13" x14ac:dyDescent="0.15">
      <c r="A358" s="1">
        <f ca="1">IFERROR(__xludf.DUMMYFUNCTION("""COMPUTED_VALUE"""),43677.6666666666)</f>
        <v>43677.666666666599</v>
      </c>
      <c r="B358" s="2">
        <f ca="1">IFERROR(__xludf.DUMMYFUNCTION("""COMPUTED_VALUE"""),16.11)</f>
        <v>16.11</v>
      </c>
      <c r="C358" s="3">
        <v>13.7704764374808</v>
      </c>
    </row>
    <row r="359" spans="1:3" ht="13" x14ac:dyDescent="0.15">
      <c r="A359" s="1">
        <f ca="1">IFERROR(__xludf.DUMMYFUNCTION("""COMPUTED_VALUE"""),43678.6666666666)</f>
        <v>43678.666666666599</v>
      </c>
      <c r="B359" s="2">
        <f ca="1">IFERROR(__xludf.DUMMYFUNCTION("""COMPUTED_VALUE"""),15.59)</f>
        <v>15.59</v>
      </c>
      <c r="C359" s="3">
        <v>14.0167642592793</v>
      </c>
    </row>
    <row r="360" spans="1:3" ht="13" x14ac:dyDescent="0.15">
      <c r="A360" s="1">
        <f ca="1">IFERROR(__xludf.DUMMYFUNCTION("""COMPUTED_VALUE"""),43679.6666666666)</f>
        <v>43679.666666666599</v>
      </c>
      <c r="B360" s="2">
        <f ca="1">IFERROR(__xludf.DUMMYFUNCTION("""COMPUTED_VALUE"""),15.62)</f>
        <v>15.62</v>
      </c>
      <c r="C360" s="3">
        <v>14.2470207835671</v>
      </c>
    </row>
    <row r="361" spans="1:3" ht="13" x14ac:dyDescent="0.15">
      <c r="A361" s="1">
        <f ca="1">IFERROR(__xludf.DUMMYFUNCTION("""COMPUTED_VALUE"""),43682.6666666666)</f>
        <v>43682.666666666599</v>
      </c>
      <c r="B361" s="2">
        <f ca="1">IFERROR(__xludf.DUMMYFUNCTION("""COMPUTED_VALUE"""),15.22)</f>
        <v>15.22</v>
      </c>
      <c r="C361" s="3">
        <v>18.449031434469902</v>
      </c>
    </row>
    <row r="362" spans="1:3" ht="13" x14ac:dyDescent="0.15">
      <c r="A362" s="1">
        <f ca="1">IFERROR(__xludf.DUMMYFUNCTION("""COMPUTED_VALUE"""),43683.6666666666)</f>
        <v>43683.666666666599</v>
      </c>
      <c r="B362" s="2">
        <f ca="1">IFERROR(__xludf.DUMMYFUNCTION("""COMPUTED_VALUE"""),15.38)</f>
        <v>15.38</v>
      </c>
      <c r="C362" s="3">
        <v>18.258296426354701</v>
      </c>
    </row>
    <row r="363" spans="1:3" ht="13" x14ac:dyDescent="0.15">
      <c r="A363" s="1">
        <f ca="1">IFERROR(__xludf.DUMMYFUNCTION("""COMPUTED_VALUE"""),43684.6666666666)</f>
        <v>43684.666666666599</v>
      </c>
      <c r="B363" s="2">
        <f ca="1">IFERROR(__xludf.DUMMYFUNCTION("""COMPUTED_VALUE"""),15.56)</f>
        <v>15.56</v>
      </c>
      <c r="C363" s="3">
        <v>19.127862417886</v>
      </c>
    </row>
    <row r="364" spans="1:3" ht="13" x14ac:dyDescent="0.15">
      <c r="A364" s="1">
        <f ca="1">IFERROR(__xludf.DUMMYFUNCTION("""COMPUTED_VALUE"""),43685.6666666666)</f>
        <v>43685.666666666599</v>
      </c>
      <c r="B364" s="2">
        <f ca="1">IFERROR(__xludf.DUMMYFUNCTION("""COMPUTED_VALUE"""),15.89)</f>
        <v>15.89</v>
      </c>
      <c r="C364" s="3">
        <v>19.401392451531802</v>
      </c>
    </row>
    <row r="365" spans="1:3" ht="13" x14ac:dyDescent="0.15">
      <c r="A365" s="1">
        <f ca="1">IFERROR(__xludf.DUMMYFUNCTION("""COMPUTED_VALUE"""),43686.6666666666)</f>
        <v>43686.666666666599</v>
      </c>
      <c r="B365" s="2">
        <f ca="1">IFERROR(__xludf.DUMMYFUNCTION("""COMPUTED_VALUE"""),15.67)</f>
        <v>15.67</v>
      </c>
      <c r="C365" s="3">
        <v>19.573976714119901</v>
      </c>
    </row>
    <row r="366" spans="1:3" ht="13" x14ac:dyDescent="0.15">
      <c r="A366" s="1">
        <f ca="1">IFERROR(__xludf.DUMMYFUNCTION("""COMPUTED_VALUE"""),43689.6666666666)</f>
        <v>43689.666666666599</v>
      </c>
      <c r="B366" s="2">
        <f ca="1">IFERROR(__xludf.DUMMYFUNCTION("""COMPUTED_VALUE"""),15.27)</f>
        <v>15.27</v>
      </c>
      <c r="C366" s="3">
        <v>23.0901773868063</v>
      </c>
    </row>
    <row r="367" spans="1:3" ht="13" x14ac:dyDescent="0.15">
      <c r="A367" s="1">
        <f ca="1">IFERROR(__xludf.DUMMYFUNCTION("""COMPUTED_VALUE"""),43690.6666666666)</f>
        <v>43690.666666666599</v>
      </c>
      <c r="B367" s="2">
        <f ca="1">IFERROR(__xludf.DUMMYFUNCTION("""COMPUTED_VALUE"""),15.67)</f>
        <v>15.67</v>
      </c>
      <c r="C367" s="3">
        <v>22.512170377612801</v>
      </c>
    </row>
    <row r="368" spans="1:3" ht="13" x14ac:dyDescent="0.15">
      <c r="A368" s="1">
        <f ca="1">IFERROR(__xludf.DUMMYFUNCTION("""COMPUTED_VALUE"""),43691.6666666666)</f>
        <v>43691.666666666599</v>
      </c>
      <c r="B368" s="2">
        <f ca="1">IFERROR(__xludf.DUMMYFUNCTION("""COMPUTED_VALUE"""),14.64)</f>
        <v>14.64</v>
      </c>
      <c r="C368" s="3">
        <v>22.927700222400201</v>
      </c>
    </row>
    <row r="369" spans="1:3" ht="13" x14ac:dyDescent="0.15">
      <c r="A369" s="1">
        <f ca="1">IFERROR(__xludf.DUMMYFUNCTION("""COMPUTED_VALUE"""),43692.6666666666)</f>
        <v>43692.666666666599</v>
      </c>
      <c r="B369" s="2">
        <f ca="1">IFERROR(__xludf.DUMMYFUNCTION("""COMPUTED_VALUE"""),14.38)</f>
        <v>14.38</v>
      </c>
      <c r="C369" s="3">
        <v>22.6914576938388</v>
      </c>
    </row>
    <row r="370" spans="1:3" ht="13" x14ac:dyDescent="0.15">
      <c r="A370" s="1">
        <f ca="1">IFERROR(__xludf.DUMMYFUNCTION("""COMPUTED_VALUE"""),43693.6666666666)</f>
        <v>43693.666666666599</v>
      </c>
      <c r="B370" s="2">
        <f ca="1">IFERROR(__xludf.DUMMYFUNCTION("""COMPUTED_VALUE"""),14.66)</f>
        <v>14.66</v>
      </c>
      <c r="C370" s="3">
        <v>22.3114884664366</v>
      </c>
    </row>
    <row r="371" spans="1:3" ht="13" x14ac:dyDescent="0.15">
      <c r="A371" s="1">
        <f ca="1">IFERROR(__xludf.DUMMYFUNCTION("""COMPUTED_VALUE"""),43696.6666666666)</f>
        <v>43696.666666666599</v>
      </c>
      <c r="B371" s="2">
        <f ca="1">IFERROR(__xludf.DUMMYFUNCTION("""COMPUTED_VALUE"""),15.12)</f>
        <v>15.12</v>
      </c>
      <c r="C371" s="3">
        <v>24.063613451354598</v>
      </c>
    </row>
    <row r="372" spans="1:3" ht="13" x14ac:dyDescent="0.15">
      <c r="A372" s="1">
        <f ca="1">IFERROR(__xludf.DUMMYFUNCTION("""COMPUTED_VALUE"""),43697.6666666666)</f>
        <v>43697.666666666599</v>
      </c>
      <c r="B372" s="2">
        <f ca="1">IFERROR(__xludf.DUMMYFUNCTION("""COMPUTED_VALUE"""),15.06)</f>
        <v>15.06</v>
      </c>
      <c r="C372" s="3">
        <v>22.915930076400599</v>
      </c>
    </row>
    <row r="373" spans="1:3" ht="13" x14ac:dyDescent="0.15">
      <c r="A373" s="1">
        <f ca="1">IFERROR(__xludf.DUMMYFUNCTION("""COMPUTED_VALUE"""),43698.6666666666)</f>
        <v>43698.666666666599</v>
      </c>
      <c r="B373" s="2">
        <f ca="1">IFERROR(__xludf.DUMMYFUNCTION("""COMPUTED_VALUE"""),14.72)</f>
        <v>14.72</v>
      </c>
      <c r="C373" s="3">
        <v>22.798007472324102</v>
      </c>
    </row>
    <row r="374" spans="1:3" ht="13" x14ac:dyDescent="0.15">
      <c r="A374" s="1">
        <f ca="1">IFERROR(__xludf.DUMMYFUNCTION("""COMPUTED_VALUE"""),43699.6666666666)</f>
        <v>43699.666666666599</v>
      </c>
      <c r="B374" s="2">
        <f ca="1">IFERROR(__xludf.DUMMYFUNCTION("""COMPUTED_VALUE"""),14.81)</f>
        <v>14.81</v>
      </c>
      <c r="C374" s="3">
        <v>22.079784187842399</v>
      </c>
    </row>
    <row r="375" spans="1:3" ht="13" x14ac:dyDescent="0.15">
      <c r="A375" s="1">
        <f ca="1">IFERROR(__xludf.DUMMYFUNCTION("""COMPUTED_VALUE"""),43700.6666666666)</f>
        <v>43700.666666666599</v>
      </c>
      <c r="B375" s="2">
        <f ca="1">IFERROR(__xludf.DUMMYFUNCTION("""COMPUTED_VALUE"""),14.09)</f>
        <v>14.09</v>
      </c>
      <c r="C375" s="3">
        <v>21.2832061969305</v>
      </c>
    </row>
    <row r="376" spans="1:3" ht="13" x14ac:dyDescent="0.15">
      <c r="A376" s="1">
        <f ca="1">IFERROR(__xludf.DUMMYFUNCTION("""COMPUTED_VALUE"""),43703.6666666666)</f>
        <v>43703.666666666599</v>
      </c>
      <c r="B376" s="2">
        <f ca="1">IFERROR(__xludf.DUMMYFUNCTION("""COMPUTED_VALUE"""),14.33)</f>
        <v>14.33</v>
      </c>
      <c r="C376" s="3">
        <v>22.287302047579601</v>
      </c>
    </row>
    <row r="377" spans="1:3" ht="13" x14ac:dyDescent="0.15">
      <c r="A377" s="1">
        <f ca="1">IFERROR(__xludf.DUMMYFUNCTION("""COMPUTED_VALUE"""),43704.6666666666)</f>
        <v>43704.666666666599</v>
      </c>
      <c r="B377" s="2">
        <f ca="1">IFERROR(__xludf.DUMMYFUNCTION("""COMPUTED_VALUE"""),14.27)</f>
        <v>14.27</v>
      </c>
      <c r="C377" s="3">
        <v>21.081692457361701</v>
      </c>
    </row>
    <row r="378" spans="1:3" ht="13" x14ac:dyDescent="0.15">
      <c r="A378" s="1">
        <f ca="1">IFERROR(__xludf.DUMMYFUNCTION("""COMPUTED_VALUE"""),43705.6666666666)</f>
        <v>43705.666666666599</v>
      </c>
      <c r="B378" s="2">
        <f ca="1">IFERROR(__xludf.DUMMYFUNCTION("""COMPUTED_VALUE"""),14.37)</f>
        <v>14.37</v>
      </c>
      <c r="C378" s="3">
        <v>21.0064929456457</v>
      </c>
    </row>
    <row r="379" spans="1:3" ht="13" x14ac:dyDescent="0.15">
      <c r="A379" s="1">
        <f ca="1">IFERROR(__xludf.DUMMYFUNCTION("""COMPUTED_VALUE"""),43706.6666666666)</f>
        <v>43706.666666666599</v>
      </c>
      <c r="B379" s="2">
        <f ca="1">IFERROR(__xludf.DUMMYFUNCTION("""COMPUTED_VALUE"""),14.78)</f>
        <v>14.78</v>
      </c>
      <c r="C379" s="3">
        <v>20.429987566950899</v>
      </c>
    </row>
    <row r="380" spans="1:3" ht="13" x14ac:dyDescent="0.15">
      <c r="A380" s="1">
        <f ca="1">IFERROR(__xludf.DUMMYFUNCTION("""COMPUTED_VALUE"""),43707.6666666666)</f>
        <v>43707.666666666599</v>
      </c>
      <c r="B380" s="2">
        <f ca="1">IFERROR(__xludf.DUMMYFUNCTION("""COMPUTED_VALUE"""),15.04)</f>
        <v>15.04</v>
      </c>
      <c r="C380" s="3">
        <v>19.8693324474586</v>
      </c>
    </row>
    <row r="381" spans="1:3" ht="13" x14ac:dyDescent="0.15">
      <c r="A381" s="1">
        <f ca="1">IFERROR(__xludf.DUMMYFUNCTION("""COMPUTED_VALUE"""),43711.6666666666)</f>
        <v>43711.666666666599</v>
      </c>
      <c r="B381" s="2">
        <f ca="1">IFERROR(__xludf.DUMMYFUNCTION("""COMPUTED_VALUE"""),15)</f>
        <v>15</v>
      </c>
      <c r="C381" s="3">
        <v>21.355455184682</v>
      </c>
    </row>
    <row r="382" spans="1:3" ht="13" x14ac:dyDescent="0.15">
      <c r="A382" s="1">
        <f ca="1">IFERROR(__xludf.DUMMYFUNCTION("""COMPUTED_VALUE"""),43712.6666666666)</f>
        <v>43712.666666666599</v>
      </c>
      <c r="B382" s="2">
        <f ca="1">IFERROR(__xludf.DUMMYFUNCTION("""COMPUTED_VALUE"""),14.71)</f>
        <v>14.71</v>
      </c>
      <c r="C382" s="3">
        <v>21.8167899629962</v>
      </c>
    </row>
    <row r="383" spans="1:3" ht="13" x14ac:dyDescent="0.15">
      <c r="A383" s="1">
        <f ca="1">IFERROR(__xludf.DUMMYFUNCTION("""COMPUTED_VALUE"""),43713.6666666666)</f>
        <v>43713.666666666599</v>
      </c>
      <c r="B383" s="2">
        <f ca="1">IFERROR(__xludf.DUMMYFUNCTION("""COMPUTED_VALUE"""),15.31)</f>
        <v>15.31</v>
      </c>
      <c r="C383" s="3">
        <v>21.787556738571698</v>
      </c>
    </row>
    <row r="384" spans="1:3" ht="13" x14ac:dyDescent="0.15">
      <c r="A384" s="1">
        <f ca="1">IFERROR(__xludf.DUMMYFUNCTION("""COMPUTED_VALUE"""),43714.6666666666)</f>
        <v>43714.666666666599</v>
      </c>
      <c r="B384" s="2">
        <f ca="1">IFERROR(__xludf.DUMMYFUNCTION("""COMPUTED_VALUE"""),15.16)</f>
        <v>15.16</v>
      </c>
      <c r="C384" s="3">
        <v>21.765426836987501</v>
      </c>
    </row>
    <row r="385" spans="1:3" ht="13" x14ac:dyDescent="0.15">
      <c r="A385" s="1">
        <f ca="1">IFERROR(__xludf.DUMMYFUNCTION("""COMPUTED_VALUE"""),43717.6666666666)</f>
        <v>43717.666666666599</v>
      </c>
      <c r="B385" s="2">
        <f ca="1">IFERROR(__xludf.DUMMYFUNCTION("""COMPUTED_VALUE"""),15.45)</f>
        <v>15.45</v>
      </c>
      <c r="C385" s="3">
        <v>25.3185647765293</v>
      </c>
    </row>
    <row r="386" spans="1:3" ht="13" x14ac:dyDescent="0.15">
      <c r="A386" s="1">
        <f ca="1">IFERROR(__xludf.DUMMYFUNCTION("""COMPUTED_VALUE"""),43718.6666666666)</f>
        <v>43718.666666666599</v>
      </c>
      <c r="B386" s="2">
        <f ca="1">IFERROR(__xludf.DUMMYFUNCTION("""COMPUTED_VALUE"""),15.7)</f>
        <v>15.7</v>
      </c>
      <c r="C386" s="3">
        <v>24.9331901218663</v>
      </c>
    </row>
    <row r="387" spans="1:3" ht="13" x14ac:dyDescent="0.15">
      <c r="A387" s="1">
        <f ca="1">IFERROR(__xludf.DUMMYFUNCTION("""COMPUTED_VALUE"""),43719.6666666666)</f>
        <v>43719.666666666599</v>
      </c>
      <c r="B387" s="2">
        <f ca="1">IFERROR(__xludf.DUMMYFUNCTION("""COMPUTED_VALUE"""),16.47)</f>
        <v>16.47</v>
      </c>
      <c r="C387" s="3">
        <v>25.6098715769776</v>
      </c>
    </row>
    <row r="388" spans="1:3" ht="13" x14ac:dyDescent="0.15">
      <c r="A388" s="1">
        <f ca="1">IFERROR(__xludf.DUMMYFUNCTION("""COMPUTED_VALUE"""),43720.6666666666)</f>
        <v>43720.666666666599</v>
      </c>
      <c r="B388" s="2">
        <f ca="1">IFERROR(__xludf.DUMMYFUNCTION("""COMPUTED_VALUE"""),16.39)</f>
        <v>16.39</v>
      </c>
      <c r="C388" s="3">
        <v>25.685959753854998</v>
      </c>
    </row>
    <row r="389" spans="1:3" ht="13" x14ac:dyDescent="0.15">
      <c r="A389" s="1">
        <f ca="1">IFERROR(__xludf.DUMMYFUNCTION("""COMPUTED_VALUE"""),43721.6666666666)</f>
        <v>43721.666666666599</v>
      </c>
      <c r="B389" s="2">
        <f ca="1">IFERROR(__xludf.DUMMYFUNCTION("""COMPUTED_VALUE"""),16.35)</f>
        <v>16.350000000000001</v>
      </c>
      <c r="C389" s="3">
        <v>25.649851921544101</v>
      </c>
    </row>
    <row r="390" spans="1:3" ht="13" x14ac:dyDescent="0.15">
      <c r="A390" s="1">
        <f ca="1">IFERROR(__xludf.DUMMYFUNCTION("""COMPUTED_VALUE"""),43724.6666666666)</f>
        <v>43724.666666666599</v>
      </c>
      <c r="B390" s="2">
        <f ca="1">IFERROR(__xludf.DUMMYFUNCTION("""COMPUTED_VALUE"""),16.19)</f>
        <v>16.190000000000001</v>
      </c>
      <c r="C390" s="3">
        <v>28.403441562930201</v>
      </c>
    </row>
    <row r="391" spans="1:3" ht="13" x14ac:dyDescent="0.15">
      <c r="A391" s="1">
        <f ca="1">IFERROR(__xludf.DUMMYFUNCTION("""COMPUTED_VALUE"""),43725.6666666666)</f>
        <v>43725.666666666599</v>
      </c>
      <c r="B391" s="2">
        <f ca="1">IFERROR(__xludf.DUMMYFUNCTION("""COMPUTED_VALUE"""),16.32)</f>
        <v>16.32</v>
      </c>
      <c r="C391" s="3">
        <v>27.5033168182804</v>
      </c>
    </row>
    <row r="392" spans="1:3" ht="13" x14ac:dyDescent="0.15">
      <c r="A392" s="1">
        <f ca="1">IFERROR(__xludf.DUMMYFUNCTION("""COMPUTED_VALUE"""),43726.6666666666)</f>
        <v>43726.666666666599</v>
      </c>
      <c r="B392" s="2">
        <f ca="1">IFERROR(__xludf.DUMMYFUNCTION("""COMPUTED_VALUE"""),16.23)</f>
        <v>16.23</v>
      </c>
      <c r="C392" s="3">
        <v>27.552559207254401</v>
      </c>
    </row>
    <row r="393" spans="1:3" ht="13" x14ac:dyDescent="0.15">
      <c r="A393" s="1">
        <f ca="1">IFERROR(__xludf.DUMMYFUNCTION("""COMPUTED_VALUE"""),43727.6666666666)</f>
        <v>43727.666666666599</v>
      </c>
      <c r="B393" s="2">
        <f ca="1">IFERROR(__xludf.DUMMYFUNCTION("""COMPUTED_VALUE"""),16.44)</f>
        <v>16.440000000000001</v>
      </c>
      <c r="C393" s="3">
        <v>26.900736019051902</v>
      </c>
    </row>
    <row r="394" spans="1:3" ht="13" x14ac:dyDescent="0.15">
      <c r="A394" s="1">
        <f ca="1">IFERROR(__xludf.DUMMYFUNCTION("""COMPUTED_VALUE"""),43728.6666666666)</f>
        <v>43728.666666666599</v>
      </c>
      <c r="B394" s="2">
        <f ca="1">IFERROR(__xludf.DUMMYFUNCTION("""COMPUTED_VALUE"""),16.04)</f>
        <v>16.04</v>
      </c>
      <c r="C394" s="3">
        <v>26.051701294448101</v>
      </c>
    </row>
    <row r="395" spans="1:3" ht="13" x14ac:dyDescent="0.15">
      <c r="A395" s="1">
        <f ca="1">IFERROR(__xludf.DUMMYFUNCTION("""COMPUTED_VALUE"""),43731.6666666666)</f>
        <v>43731.666666666599</v>
      </c>
      <c r="B395" s="2">
        <f ca="1">IFERROR(__xludf.DUMMYFUNCTION("""COMPUTED_VALUE"""),16.08)</f>
        <v>16.079999999999998</v>
      </c>
      <c r="C395" s="3">
        <v>26.051227542006401</v>
      </c>
    </row>
    <row r="396" spans="1:3" ht="13" x14ac:dyDescent="0.15">
      <c r="A396" s="1">
        <f ca="1">IFERROR(__xludf.DUMMYFUNCTION("""COMPUTED_VALUE"""),43732.6666666666)</f>
        <v>43732.666666666599</v>
      </c>
      <c r="B396" s="2">
        <f ca="1">IFERROR(__xludf.DUMMYFUNCTION("""COMPUTED_VALUE"""),14.88)</f>
        <v>14.88</v>
      </c>
      <c r="C396" s="3">
        <v>24.202802012404</v>
      </c>
    </row>
    <row r="397" spans="1:3" ht="13" x14ac:dyDescent="0.15">
      <c r="A397" s="1">
        <f ca="1">IFERROR(__xludf.DUMMYFUNCTION("""COMPUTED_VALUE"""),43733.6666666666)</f>
        <v>43733.666666666599</v>
      </c>
      <c r="B397" s="2">
        <f ca="1">IFERROR(__xludf.DUMMYFUNCTION("""COMPUTED_VALUE"""),15.25)</f>
        <v>15.25</v>
      </c>
      <c r="C397" s="3">
        <v>23.328888548451001</v>
      </c>
    </row>
    <row r="398" spans="1:3" ht="13" x14ac:dyDescent="0.15">
      <c r="A398" s="1">
        <f ca="1">IFERROR(__xludf.DUMMYFUNCTION("""COMPUTED_VALUE"""),43734.6666666666)</f>
        <v>43734.666666666599</v>
      </c>
      <c r="B398" s="2">
        <f ca="1">IFERROR(__xludf.DUMMYFUNCTION("""COMPUTED_VALUE"""),16.17)</f>
        <v>16.170000000000002</v>
      </c>
      <c r="C398" s="3">
        <v>21.803596885385801</v>
      </c>
    </row>
    <row r="399" spans="1:3" ht="13" x14ac:dyDescent="0.15">
      <c r="A399" s="1">
        <f ca="1">IFERROR(__xludf.DUMMYFUNCTION("""COMPUTED_VALUE"""),43735.6666666666)</f>
        <v>43735.666666666599</v>
      </c>
      <c r="B399" s="2">
        <f ca="1">IFERROR(__xludf.DUMMYFUNCTION("""COMPUTED_VALUE"""),16.14)</f>
        <v>16.14</v>
      </c>
      <c r="C399" s="3">
        <v>20.154632023076701</v>
      </c>
    </row>
    <row r="400" spans="1:3" ht="13" x14ac:dyDescent="0.15">
      <c r="A400" s="1">
        <f ca="1">IFERROR(__xludf.DUMMYFUNCTION("""COMPUTED_VALUE"""),43738.6666666666)</f>
        <v>43738.666666666599</v>
      </c>
      <c r="B400" s="2">
        <f ca="1">IFERROR(__xludf.DUMMYFUNCTION("""COMPUTED_VALUE"""),16.06)</f>
        <v>16.059999999999999</v>
      </c>
      <c r="C400" s="3">
        <v>18.410006025485199</v>
      </c>
    </row>
    <row r="401" spans="1:3" ht="13" x14ac:dyDescent="0.15">
      <c r="A401" s="1">
        <f ca="1">IFERROR(__xludf.DUMMYFUNCTION("""COMPUTED_VALUE"""),43739.6666666666)</f>
        <v>43739.666666666599</v>
      </c>
      <c r="B401" s="2">
        <f ca="1">IFERROR(__xludf.DUMMYFUNCTION("""COMPUTED_VALUE"""),16.31)</f>
        <v>16.309999999999999</v>
      </c>
      <c r="C401" s="3">
        <v>16.257970213718199</v>
      </c>
    </row>
    <row r="402" spans="1:3" ht="13" x14ac:dyDescent="0.15">
      <c r="A402" s="1">
        <f ca="1">IFERROR(__xludf.DUMMYFUNCTION("""COMPUTED_VALUE"""),43740.6666666666)</f>
        <v>43740.666666666599</v>
      </c>
      <c r="B402" s="2">
        <f ca="1">IFERROR(__xludf.DUMMYFUNCTION("""COMPUTED_VALUE"""),16.21)</f>
        <v>16.21</v>
      </c>
      <c r="C402" s="3">
        <v>15.2410102936526</v>
      </c>
    </row>
    <row r="403" spans="1:3" ht="13" x14ac:dyDescent="0.15">
      <c r="A403" s="1">
        <f ca="1">IFERROR(__xludf.DUMMYFUNCTION("""COMPUTED_VALUE"""),43741.6666666666)</f>
        <v>43741.666666666599</v>
      </c>
      <c r="B403" s="2">
        <f ca="1">IFERROR(__xludf.DUMMYFUNCTION("""COMPUTED_VALUE"""),15.54)</f>
        <v>15.54</v>
      </c>
      <c r="C403" s="3">
        <v>13.740617740209601</v>
      </c>
    </row>
    <row r="404" spans="1:3" ht="13" x14ac:dyDescent="0.15">
      <c r="A404" s="1">
        <f ca="1">IFERROR(__xludf.DUMMYFUNCTION("""COMPUTED_VALUE"""),43742.6666666666)</f>
        <v>43742.666666666599</v>
      </c>
      <c r="B404" s="2">
        <f ca="1">IFERROR(__xludf.DUMMYFUNCTION("""COMPUTED_VALUE"""),15.43)</f>
        <v>15.43</v>
      </c>
      <c r="C404" s="3">
        <v>12.287736426842701</v>
      </c>
    </row>
    <row r="405" spans="1:3" ht="13" x14ac:dyDescent="0.15">
      <c r="A405" s="1">
        <f ca="1">IFERROR(__xludf.DUMMYFUNCTION("""COMPUTED_VALUE"""),43745.6666666666)</f>
        <v>43745.666666666599</v>
      </c>
      <c r="B405" s="2">
        <f ca="1">IFERROR(__xludf.DUMMYFUNCTION("""COMPUTED_VALUE"""),15.85)</f>
        <v>15.85</v>
      </c>
      <c r="C405" s="3">
        <v>12.1281580259975</v>
      </c>
    </row>
    <row r="406" spans="1:3" ht="13" x14ac:dyDescent="0.15">
      <c r="A406" s="1">
        <f ca="1">IFERROR(__xludf.DUMMYFUNCTION("""COMPUTED_VALUE"""),43746.6666666666)</f>
        <v>43746.666666666599</v>
      </c>
      <c r="B406" s="2">
        <f ca="1">IFERROR(__xludf.DUMMYFUNCTION("""COMPUTED_VALUE"""),16)</f>
        <v>16</v>
      </c>
      <c r="C406" s="3">
        <v>10.804669453043701</v>
      </c>
    </row>
    <row r="407" spans="1:3" ht="13" x14ac:dyDescent="0.15">
      <c r="A407" s="1">
        <f ca="1">IFERROR(__xludf.DUMMYFUNCTION("""COMPUTED_VALUE"""),43747.6666666666)</f>
        <v>43747.666666666599</v>
      </c>
      <c r="B407" s="2">
        <f ca="1">IFERROR(__xludf.DUMMYFUNCTION("""COMPUTED_VALUE"""),16.3)</f>
        <v>16.3</v>
      </c>
      <c r="C407" s="3">
        <v>10.740819993019899</v>
      </c>
    </row>
    <row r="408" spans="1:3" ht="13" x14ac:dyDescent="0.15">
      <c r="A408" s="1">
        <f ca="1">IFERROR(__xludf.DUMMYFUNCTION("""COMPUTED_VALUE"""),43748.6666666666)</f>
        <v>43748.666666666599</v>
      </c>
      <c r="B408" s="2">
        <f ca="1">IFERROR(__xludf.DUMMYFUNCTION("""COMPUTED_VALUE"""),16.32)</f>
        <v>16.32</v>
      </c>
      <c r="C408" s="3">
        <v>10.297680156106701</v>
      </c>
    </row>
    <row r="409" spans="1:3" ht="13" x14ac:dyDescent="0.15">
      <c r="A409" s="1">
        <f ca="1">IFERROR(__xludf.DUMMYFUNCTION("""COMPUTED_VALUE"""),43749.6666666666)</f>
        <v>43749.666666666599</v>
      </c>
      <c r="B409" s="2">
        <f ca="1">IFERROR(__xludf.DUMMYFUNCTION("""COMPUTED_VALUE"""),16.53)</f>
        <v>16.53</v>
      </c>
      <c r="C409" s="3">
        <v>9.9830534771394603</v>
      </c>
    </row>
    <row r="410" spans="1:3" ht="13" x14ac:dyDescent="0.15">
      <c r="A410" s="1">
        <f ca="1">IFERROR(__xludf.DUMMYFUNCTION("""COMPUTED_VALUE"""),43752.6666666666)</f>
        <v>43752.666666666599</v>
      </c>
      <c r="B410" s="2">
        <f ca="1">IFERROR(__xludf.DUMMYFUNCTION("""COMPUTED_VALUE"""),17.13)</f>
        <v>17.13</v>
      </c>
      <c r="C410" s="3">
        <v>13.463451053314399</v>
      </c>
    </row>
    <row r="411" spans="1:3" ht="13" x14ac:dyDescent="0.15">
      <c r="A411" s="1">
        <f ca="1">IFERROR(__xludf.DUMMYFUNCTION("""COMPUTED_VALUE"""),43753.6666666666)</f>
        <v>43753.666666666599</v>
      </c>
      <c r="B411" s="2">
        <f ca="1">IFERROR(__xludf.DUMMYFUNCTION("""COMPUTED_VALUE"""),17.19)</f>
        <v>17.190000000000001</v>
      </c>
      <c r="C411" s="3">
        <v>13.3378611813646</v>
      </c>
    </row>
    <row r="412" spans="1:3" ht="13" x14ac:dyDescent="0.15">
      <c r="A412" s="1">
        <f ca="1">IFERROR(__xludf.DUMMYFUNCTION("""COMPUTED_VALUE"""),43754.6666666666)</f>
        <v>43754.666666666599</v>
      </c>
      <c r="B412" s="2">
        <f ca="1">IFERROR(__xludf.DUMMYFUNCTION("""COMPUTED_VALUE"""),17.32)</f>
        <v>17.32</v>
      </c>
      <c r="C412" s="3">
        <v>14.418929898499</v>
      </c>
    </row>
    <row r="413" spans="1:3" ht="13" x14ac:dyDescent="0.15">
      <c r="A413" s="1">
        <f ca="1">IFERROR(__xludf.DUMMYFUNCTION("""COMPUTED_VALUE"""),43755.6666666666)</f>
        <v>43755.666666666599</v>
      </c>
      <c r="B413" s="2">
        <f ca="1">IFERROR(__xludf.DUMMYFUNCTION("""COMPUTED_VALUE"""),17.46)</f>
        <v>17.46</v>
      </c>
      <c r="C413" s="3">
        <v>15.0422062393164</v>
      </c>
    </row>
    <row r="414" spans="1:3" ht="13" x14ac:dyDescent="0.15">
      <c r="A414" s="1">
        <f ca="1">IFERROR(__xludf.DUMMYFUNCTION("""COMPUTED_VALUE"""),43756.6666666666)</f>
        <v>43756.666666666599</v>
      </c>
      <c r="B414" s="2">
        <f ca="1">IFERROR(__xludf.DUMMYFUNCTION("""COMPUTED_VALUE"""),17.13)</f>
        <v>17.13</v>
      </c>
      <c r="C414" s="3">
        <v>15.692019726698801</v>
      </c>
    </row>
    <row r="415" spans="1:3" ht="13" x14ac:dyDescent="0.15">
      <c r="A415" s="1">
        <f ca="1">IFERROR(__xludf.DUMMYFUNCTION("""COMPUTED_VALUE"""),43759.6666666666)</f>
        <v>43759.666666666599</v>
      </c>
      <c r="B415" s="2">
        <f ca="1">IFERROR(__xludf.DUMMYFUNCTION("""COMPUTED_VALUE"""),16.9)</f>
        <v>16.899999999999999</v>
      </c>
      <c r="C415" s="3">
        <v>21.2622622780647</v>
      </c>
    </row>
    <row r="416" spans="1:3" ht="13" x14ac:dyDescent="0.15">
      <c r="A416" s="1">
        <f ca="1">IFERROR(__xludf.DUMMYFUNCTION("""COMPUTED_VALUE"""),43760.6666666666)</f>
        <v>43760.666666666599</v>
      </c>
      <c r="B416" s="2">
        <f ca="1">IFERROR(__xludf.DUMMYFUNCTION("""COMPUTED_VALUE"""),17.04)</f>
        <v>17.04</v>
      </c>
      <c r="C416" s="3">
        <v>21.5193440394142</v>
      </c>
    </row>
    <row r="417" spans="1:3" ht="13" x14ac:dyDescent="0.15">
      <c r="A417" s="1">
        <f ca="1">IFERROR(__xludf.DUMMYFUNCTION("""COMPUTED_VALUE"""),43761.6666666666)</f>
        <v>43761.666666666599</v>
      </c>
      <c r="B417" s="2">
        <f ca="1">IFERROR(__xludf.DUMMYFUNCTION("""COMPUTED_VALUE"""),16.98)</f>
        <v>16.98</v>
      </c>
      <c r="C417" s="3">
        <v>22.813164125807099</v>
      </c>
    </row>
    <row r="418" spans="1:3" ht="13" x14ac:dyDescent="0.15">
      <c r="A418" s="1">
        <f ca="1">IFERROR(__xludf.DUMMYFUNCTION("""COMPUTED_VALUE"""),43762.6666666666)</f>
        <v>43762.666666666599</v>
      </c>
      <c r="B418" s="2">
        <f ca="1">IFERROR(__xludf.DUMMYFUNCTION("""COMPUTED_VALUE"""),19.98)</f>
        <v>19.98</v>
      </c>
      <c r="C418" s="3">
        <v>23.4779981691252</v>
      </c>
    </row>
    <row r="419" spans="1:3" ht="13" x14ac:dyDescent="0.15">
      <c r="A419" s="1">
        <f ca="1">IFERROR(__xludf.DUMMYFUNCTION("""COMPUTED_VALUE"""),43763.6666666666)</f>
        <v>43763.666666666599</v>
      </c>
      <c r="B419" s="2">
        <f ca="1">IFERROR(__xludf.DUMMYFUNCTION("""COMPUTED_VALUE"""),21.88)</f>
        <v>21.88</v>
      </c>
      <c r="C419" s="3">
        <v>24.001297666615201</v>
      </c>
    </row>
    <row r="420" spans="1:3" ht="13" x14ac:dyDescent="0.15">
      <c r="A420" s="1">
        <f ca="1">IFERROR(__xludf.DUMMYFUNCTION("""COMPUTED_VALUE"""),43766.6666666666)</f>
        <v>43766.666666666599</v>
      </c>
      <c r="B420" s="2">
        <f ca="1">IFERROR(__xludf.DUMMYFUNCTION("""COMPUTED_VALUE"""),21.85)</f>
        <v>21.85</v>
      </c>
      <c r="C420" s="3">
        <v>28.277484161312898</v>
      </c>
    </row>
    <row r="421" spans="1:3" ht="13" x14ac:dyDescent="0.15">
      <c r="A421" s="1">
        <f ca="1">IFERROR(__xludf.DUMMYFUNCTION("""COMPUTED_VALUE"""),43767.6666666666)</f>
        <v>43767.666666666599</v>
      </c>
      <c r="B421" s="2">
        <f ca="1">IFERROR(__xludf.DUMMYFUNCTION("""COMPUTED_VALUE"""),21.08)</f>
        <v>21.08</v>
      </c>
      <c r="C421" s="3">
        <v>27.848439696735301</v>
      </c>
    </row>
    <row r="422" spans="1:3" ht="13" x14ac:dyDescent="0.15">
      <c r="A422" s="1">
        <f ca="1">IFERROR(__xludf.DUMMYFUNCTION("""COMPUTED_VALUE"""),43768.6666666666)</f>
        <v>43768.666666666599</v>
      </c>
      <c r="B422" s="2">
        <f ca="1">IFERROR(__xludf.DUMMYFUNCTION("""COMPUTED_VALUE"""),21)</f>
        <v>21</v>
      </c>
      <c r="C422" s="3">
        <v>28.361610010969201</v>
      </c>
    </row>
    <row r="423" spans="1:3" ht="13" x14ac:dyDescent="0.15">
      <c r="A423" s="1">
        <f ca="1">IFERROR(__xludf.DUMMYFUNCTION("""COMPUTED_VALUE"""),43769.6666666666)</f>
        <v>43769.666666666599</v>
      </c>
      <c r="B423" s="2">
        <f ca="1">IFERROR(__xludf.DUMMYFUNCTION("""COMPUTED_VALUE"""),20.99)</f>
        <v>20.99</v>
      </c>
      <c r="C423" s="3">
        <v>28.1745181105846</v>
      </c>
    </row>
    <row r="424" spans="1:3" ht="13" x14ac:dyDescent="0.15">
      <c r="A424" s="1">
        <f ca="1">IFERROR(__xludf.DUMMYFUNCTION("""COMPUTED_VALUE"""),43770.6666666666)</f>
        <v>43770.666666666599</v>
      </c>
      <c r="B424" s="2">
        <f ca="1">IFERROR(__xludf.DUMMYFUNCTION("""COMPUTED_VALUE"""),20.89)</f>
        <v>20.89</v>
      </c>
      <c r="C424" s="3">
        <v>27.7993126480666</v>
      </c>
    </row>
    <row r="425" spans="1:3" ht="13" x14ac:dyDescent="0.15">
      <c r="A425" s="1">
        <f ca="1">IFERROR(__xludf.DUMMYFUNCTION("""COMPUTED_VALUE"""),43773.6666666666)</f>
        <v>43773.666666666599</v>
      </c>
      <c r="B425" s="2">
        <f ca="1">IFERROR(__xludf.DUMMYFUNCTION("""COMPUTED_VALUE"""),21.16)</f>
        <v>21.16</v>
      </c>
      <c r="C425" s="3">
        <v>29.354383407256499</v>
      </c>
    </row>
    <row r="426" spans="1:3" ht="13" x14ac:dyDescent="0.15">
      <c r="A426" s="1">
        <f ca="1">IFERROR(__xludf.DUMMYFUNCTION("""COMPUTED_VALUE"""),43774.6666666666)</f>
        <v>43774.666666666599</v>
      </c>
      <c r="B426" s="2">
        <f ca="1">IFERROR(__xludf.DUMMYFUNCTION("""COMPUTED_VALUE"""),21.15)</f>
        <v>21.15</v>
      </c>
      <c r="C426" s="3">
        <v>28.091689703970701</v>
      </c>
    </row>
    <row r="427" spans="1:3" ht="13" x14ac:dyDescent="0.15">
      <c r="A427" s="1">
        <f ca="1">IFERROR(__xludf.DUMMYFUNCTION("""COMPUTED_VALUE"""),43775.6666666666)</f>
        <v>43775.666666666599</v>
      </c>
      <c r="B427" s="2">
        <f ca="1">IFERROR(__xludf.DUMMYFUNCTION("""COMPUTED_VALUE"""),21.77)</f>
        <v>21.77</v>
      </c>
      <c r="C427" s="3">
        <v>27.845110235075801</v>
      </c>
    </row>
    <row r="428" spans="1:3" ht="13" x14ac:dyDescent="0.15">
      <c r="A428" s="1">
        <f ca="1">IFERROR(__xludf.DUMMYFUNCTION("""COMPUTED_VALUE"""),43776.6666666666)</f>
        <v>43776.666666666599</v>
      </c>
      <c r="B428" s="2">
        <f ca="1">IFERROR(__xludf.DUMMYFUNCTION("""COMPUTED_VALUE"""),22.37)</f>
        <v>22.37</v>
      </c>
      <c r="C428" s="3">
        <v>26.990920708795699</v>
      </c>
    </row>
    <row r="429" spans="1:3" ht="13" x14ac:dyDescent="0.15">
      <c r="A429" s="1">
        <f ca="1">IFERROR(__xludf.DUMMYFUNCTION("""COMPUTED_VALUE"""),43777.6666666666)</f>
        <v>43777.666666666599</v>
      </c>
      <c r="B429" s="2">
        <f ca="1">IFERROR(__xludf.DUMMYFUNCTION("""COMPUTED_VALUE"""),22.48)</f>
        <v>22.48</v>
      </c>
      <c r="C429" s="3">
        <v>26.0568929316204</v>
      </c>
    </row>
    <row r="430" spans="1:3" ht="13" x14ac:dyDescent="0.15">
      <c r="A430" s="1">
        <f ca="1">IFERROR(__xludf.DUMMYFUNCTION("""COMPUTED_VALUE"""),43780.6666666666)</f>
        <v>43780.666666666599</v>
      </c>
      <c r="B430" s="2">
        <f ca="1">IFERROR(__xludf.DUMMYFUNCTION("""COMPUTED_VALUE"""),23.01)</f>
        <v>23.01</v>
      </c>
      <c r="C430" s="3">
        <v>26.6864147827811</v>
      </c>
    </row>
    <row r="431" spans="1:3" ht="13" x14ac:dyDescent="0.15">
      <c r="A431" s="1">
        <f ca="1">IFERROR(__xludf.DUMMYFUNCTION("""COMPUTED_VALUE"""),43781.6666666666)</f>
        <v>43781.666666666599</v>
      </c>
      <c r="B431" s="2">
        <f ca="1">IFERROR(__xludf.DUMMYFUNCTION("""COMPUTED_VALUE"""),23.33)</f>
        <v>23.33</v>
      </c>
      <c r="C431" s="3">
        <v>25.379289207621301</v>
      </c>
    </row>
    <row r="432" spans="1:3" ht="13" x14ac:dyDescent="0.15">
      <c r="A432" s="1">
        <f ca="1">IFERROR(__xludf.DUMMYFUNCTION("""COMPUTED_VALUE"""),43782.6666666666)</f>
        <v>43782.666666666599</v>
      </c>
      <c r="B432" s="2">
        <f ca="1">IFERROR(__xludf.DUMMYFUNCTION("""COMPUTED_VALUE"""),23.07)</f>
        <v>23.07</v>
      </c>
      <c r="C432" s="3">
        <v>25.216940334476899</v>
      </c>
    </row>
    <row r="433" spans="1:3" ht="13" x14ac:dyDescent="0.15">
      <c r="A433" s="1">
        <f ca="1">IFERROR(__xludf.DUMMYFUNCTION("""COMPUTED_VALUE"""),43783.6666666666)</f>
        <v>43783.666666666599</v>
      </c>
      <c r="B433" s="2">
        <f ca="1">IFERROR(__xludf.DUMMYFUNCTION("""COMPUTED_VALUE"""),23.29)</f>
        <v>23.29</v>
      </c>
      <c r="C433" s="3">
        <v>24.567622011025801</v>
      </c>
    </row>
    <row r="434" spans="1:3" ht="13" x14ac:dyDescent="0.15">
      <c r="A434" s="1">
        <f ca="1">IFERROR(__xludf.DUMMYFUNCTION("""COMPUTED_VALUE"""),43784.6666666666)</f>
        <v>43784.666666666599</v>
      </c>
      <c r="B434" s="2">
        <f ca="1">IFERROR(__xludf.DUMMYFUNCTION("""COMPUTED_VALUE"""),23.48)</f>
        <v>23.48</v>
      </c>
      <c r="C434" s="3">
        <v>23.947418053016602</v>
      </c>
    </row>
    <row r="435" spans="1:3" ht="13" x14ac:dyDescent="0.15">
      <c r="A435" s="1">
        <f ca="1">IFERROR(__xludf.DUMMYFUNCTION("""COMPUTED_VALUE"""),43787.6666666666)</f>
        <v>43787.666666666599</v>
      </c>
      <c r="B435" s="2">
        <f ca="1">IFERROR(__xludf.DUMMYFUNCTION("""COMPUTED_VALUE"""),23.33)</f>
        <v>23.33</v>
      </c>
      <c r="C435" s="3">
        <v>26.008895441178201</v>
      </c>
    </row>
    <row r="436" spans="1:3" ht="13" x14ac:dyDescent="0.15">
      <c r="A436" s="1">
        <f ca="1">IFERROR(__xludf.DUMMYFUNCTION("""COMPUTED_VALUE"""),43788.6666666666)</f>
        <v>43788.666666666599</v>
      </c>
      <c r="B436" s="2">
        <f ca="1">IFERROR(__xludf.DUMMYFUNCTION("""COMPUTED_VALUE"""),23.97)</f>
        <v>23.97</v>
      </c>
      <c r="C436" s="3">
        <v>25.276412844313398</v>
      </c>
    </row>
    <row r="437" spans="1:3" ht="13" x14ac:dyDescent="0.15">
      <c r="A437" s="1">
        <f ca="1">IFERROR(__xludf.DUMMYFUNCTION("""COMPUTED_VALUE"""),43789.6666666666)</f>
        <v>43789.666666666599</v>
      </c>
      <c r="B437" s="2">
        <f ca="1">IFERROR(__xludf.DUMMYFUNCTION("""COMPUTED_VALUE"""),23.48)</f>
        <v>23.48</v>
      </c>
      <c r="C437" s="3">
        <v>25.700561040633598</v>
      </c>
    </row>
    <row r="438" spans="1:3" ht="13" x14ac:dyDescent="0.15">
      <c r="A438" s="1">
        <f ca="1">IFERROR(__xludf.DUMMYFUNCTION("""COMPUTED_VALUE"""),43790.6666666666)</f>
        <v>43790.666666666599</v>
      </c>
      <c r="B438" s="2">
        <f ca="1">IFERROR(__xludf.DUMMYFUNCTION("""COMPUTED_VALUE"""),23.66)</f>
        <v>23.66</v>
      </c>
      <c r="C438" s="3">
        <v>25.6266910703707</v>
      </c>
    </row>
    <row r="439" spans="1:3" ht="13" x14ac:dyDescent="0.15">
      <c r="A439" s="1">
        <f ca="1">IFERROR(__xludf.DUMMYFUNCTION("""COMPUTED_VALUE"""),43791.6666666666)</f>
        <v>43791.666666666599</v>
      </c>
      <c r="B439" s="2">
        <f ca="1">IFERROR(__xludf.DUMMYFUNCTION("""COMPUTED_VALUE"""),22.2)</f>
        <v>22.2</v>
      </c>
      <c r="C439" s="3">
        <v>25.5484166265949</v>
      </c>
    </row>
    <row r="440" spans="1:3" ht="13" x14ac:dyDescent="0.15">
      <c r="A440" s="1">
        <f ca="1">IFERROR(__xludf.DUMMYFUNCTION("""COMPUTED_VALUE"""),43794.6666666666)</f>
        <v>43794.666666666599</v>
      </c>
      <c r="B440" s="2">
        <f ca="1">IFERROR(__xludf.DUMMYFUNCTION("""COMPUTED_VALUE"""),22.42)</f>
        <v>22.42</v>
      </c>
      <c r="C440" s="3">
        <v>28.830548300659999</v>
      </c>
    </row>
    <row r="441" spans="1:3" ht="13" x14ac:dyDescent="0.15">
      <c r="A441" s="1">
        <f ca="1">IFERROR(__xludf.DUMMYFUNCTION("""COMPUTED_VALUE"""),43795.6666666666)</f>
        <v>43795.666666666599</v>
      </c>
      <c r="B441" s="2">
        <f ca="1">IFERROR(__xludf.DUMMYFUNCTION("""COMPUTED_VALUE"""),21.93)</f>
        <v>21.93</v>
      </c>
      <c r="C441" s="3">
        <v>28.3131046195445</v>
      </c>
    </row>
    <row r="442" spans="1:3" ht="13" x14ac:dyDescent="0.15">
      <c r="A442" s="1">
        <f ca="1">IFERROR(__xludf.DUMMYFUNCTION("""COMPUTED_VALUE"""),43796.6666666666)</f>
        <v>43796.666666666599</v>
      </c>
      <c r="B442" s="2">
        <f ca="1">IFERROR(__xludf.DUMMYFUNCTION("""COMPUTED_VALUE"""),22.09)</f>
        <v>22.09</v>
      </c>
      <c r="C442" s="3">
        <v>28.835411614553799</v>
      </c>
    </row>
    <row r="443" spans="1:3" ht="13" x14ac:dyDescent="0.15">
      <c r="A443" s="1">
        <f ca="1">IFERROR(__xludf.DUMMYFUNCTION("""COMPUTED_VALUE"""),43798.5416666666)</f>
        <v>43798.541666666599</v>
      </c>
      <c r="B443" s="2">
        <f ca="1">IFERROR(__xludf.DUMMYFUNCTION("""COMPUTED_VALUE"""),22)</f>
        <v>22</v>
      </c>
      <c r="C443" s="3">
        <v>28.503878071206</v>
      </c>
    </row>
    <row r="444" spans="1:3" ht="13" x14ac:dyDescent="0.15">
      <c r="A444" s="1">
        <f ca="1">IFERROR(__xludf.DUMMYFUNCTION("""COMPUTED_VALUE"""),43801.6666666666)</f>
        <v>43801.666666666599</v>
      </c>
      <c r="B444" s="2">
        <f ca="1">IFERROR(__xludf.DUMMYFUNCTION("""COMPUTED_VALUE"""),22.32)</f>
        <v>22.32</v>
      </c>
      <c r="C444" s="3">
        <v>30.588489705224099</v>
      </c>
    </row>
    <row r="445" spans="1:3" ht="13" x14ac:dyDescent="0.15">
      <c r="A445" s="1">
        <f ca="1">IFERROR(__xludf.DUMMYFUNCTION("""COMPUTED_VALUE"""),43802.6666666666)</f>
        <v>43802.666666666599</v>
      </c>
      <c r="B445" s="2">
        <f ca="1">IFERROR(__xludf.DUMMYFUNCTION("""COMPUTED_VALUE"""),22.41)</f>
        <v>22.41</v>
      </c>
      <c r="C445" s="3">
        <v>29.5918060596718</v>
      </c>
    </row>
    <row r="446" spans="1:3" ht="13" x14ac:dyDescent="0.15">
      <c r="A446" s="1">
        <f ca="1">IFERROR(__xludf.DUMMYFUNCTION("""COMPUTED_VALUE"""),43803.6666666666)</f>
        <v>43803.666666666599</v>
      </c>
      <c r="B446" s="2">
        <f ca="1">IFERROR(__xludf.DUMMYFUNCTION("""COMPUTED_VALUE"""),22.2)</f>
        <v>22.2</v>
      </c>
      <c r="C446" s="3">
        <v>29.549778571904699</v>
      </c>
    </row>
    <row r="447" spans="1:3" ht="13" x14ac:dyDescent="0.15">
      <c r="A447" s="1">
        <f ca="1">IFERROR(__xludf.DUMMYFUNCTION("""COMPUTED_VALUE"""),43804.6666666666)</f>
        <v>43804.666666666599</v>
      </c>
      <c r="B447" s="2">
        <f ca="1">IFERROR(__xludf.DUMMYFUNCTION("""COMPUTED_VALUE"""),22.02)</f>
        <v>22.02</v>
      </c>
      <c r="C447" s="3">
        <v>28.8191462557037</v>
      </c>
    </row>
    <row r="448" spans="1:3" ht="13" x14ac:dyDescent="0.15">
      <c r="A448" s="1">
        <f ca="1">IFERROR(__xludf.DUMMYFUNCTION("""COMPUTED_VALUE"""),43805.6666666666)</f>
        <v>43805.666666666599</v>
      </c>
      <c r="B448" s="2">
        <f ca="1">IFERROR(__xludf.DUMMYFUNCTION("""COMPUTED_VALUE"""),22.39)</f>
        <v>22.39</v>
      </c>
      <c r="C448" s="3">
        <v>27.911203740559198</v>
      </c>
    </row>
    <row r="449" spans="1:3" ht="13" x14ac:dyDescent="0.15">
      <c r="A449" s="1">
        <f ca="1">IFERROR(__xludf.DUMMYFUNCTION("""COMPUTED_VALUE"""),43808.6666666666)</f>
        <v>43808.666666666599</v>
      </c>
      <c r="B449" s="2">
        <f ca="1">IFERROR(__xludf.DUMMYFUNCTION("""COMPUTED_VALUE"""),22.64)</f>
        <v>22.64</v>
      </c>
      <c r="C449" s="3">
        <v>27.92669900532</v>
      </c>
    </row>
    <row r="450" spans="1:3" ht="13" x14ac:dyDescent="0.15">
      <c r="A450" s="1">
        <f ca="1">IFERROR(__xludf.DUMMYFUNCTION("""COMPUTED_VALUE"""),43809.6666666666)</f>
        <v>43809.666666666599</v>
      </c>
      <c r="B450" s="2">
        <f ca="1">IFERROR(__xludf.DUMMYFUNCTION("""COMPUTED_VALUE"""),23.26)</f>
        <v>23.26</v>
      </c>
      <c r="C450" s="3">
        <v>26.1701149768327</v>
      </c>
    </row>
    <row r="451" spans="1:3" ht="13" x14ac:dyDescent="0.15">
      <c r="A451" s="1">
        <f ca="1">IFERROR(__xludf.DUMMYFUNCTION("""COMPUTED_VALUE"""),43810.6666666666)</f>
        <v>43810.666666666599</v>
      </c>
      <c r="B451" s="2">
        <f ca="1">IFERROR(__xludf.DUMMYFUNCTION("""COMPUTED_VALUE"""),23.51)</f>
        <v>23.51</v>
      </c>
      <c r="C451" s="3">
        <v>25.440518184134898</v>
      </c>
    </row>
    <row r="452" spans="1:3" ht="13" x14ac:dyDescent="0.15">
      <c r="A452" s="1">
        <f ca="1">IFERROR(__xludf.DUMMYFUNCTION("""COMPUTED_VALUE"""),43811.6666666666)</f>
        <v>43811.666666666599</v>
      </c>
      <c r="B452" s="2">
        <f ca="1">IFERROR(__xludf.DUMMYFUNCTION("""COMPUTED_VALUE"""),23.98)</f>
        <v>23.98</v>
      </c>
      <c r="C452" s="3">
        <v>24.115921459949799</v>
      </c>
    </row>
    <row r="453" spans="1:3" ht="13" x14ac:dyDescent="0.15">
      <c r="A453" s="1">
        <f ca="1">IFERROR(__xludf.DUMMYFUNCTION("""COMPUTED_VALUE"""),43812.6666666666)</f>
        <v>43812.666666666599</v>
      </c>
      <c r="B453" s="2">
        <f ca="1">IFERROR(__xludf.DUMMYFUNCTION("""COMPUTED_VALUE"""),23.89)</f>
        <v>23.89</v>
      </c>
      <c r="C453" s="3">
        <v>22.726583991815101</v>
      </c>
    </row>
    <row r="454" spans="1:3" ht="13" x14ac:dyDescent="0.15">
      <c r="A454" s="1">
        <f ca="1">IFERROR(__xludf.DUMMYFUNCTION("""COMPUTED_VALUE"""),43815.6666666666)</f>
        <v>43815.666666666599</v>
      </c>
      <c r="B454" s="2">
        <f ca="1">IFERROR(__xludf.DUMMYFUNCTION("""COMPUTED_VALUE"""),25.43)</f>
        <v>25.43</v>
      </c>
      <c r="C454" s="3">
        <v>22.1170487674644</v>
      </c>
    </row>
    <row r="455" spans="1:3" ht="13" x14ac:dyDescent="0.15">
      <c r="A455" s="1">
        <f ca="1">IFERROR(__xludf.DUMMYFUNCTION("""COMPUTED_VALUE"""),43816.6666666666)</f>
        <v>43816.666666666599</v>
      </c>
      <c r="B455" s="2">
        <f ca="1">IFERROR(__xludf.DUMMYFUNCTION("""COMPUTED_VALUE"""),25.27)</f>
        <v>25.27</v>
      </c>
      <c r="C455" s="3">
        <v>20.454857417092001</v>
      </c>
    </row>
    <row r="456" spans="1:3" ht="13" x14ac:dyDescent="0.15">
      <c r="A456" s="1">
        <f ca="1">IFERROR(__xludf.DUMMYFUNCTION("""COMPUTED_VALUE"""),43817.6666666666)</f>
        <v>43817.666666666599</v>
      </c>
      <c r="B456" s="2">
        <f ca="1">IFERROR(__xludf.DUMMYFUNCTION("""COMPUTED_VALUE"""),26.21)</f>
        <v>26.21</v>
      </c>
      <c r="C456" s="3">
        <v>19.975775279247301</v>
      </c>
    </row>
    <row r="457" spans="1:3" ht="13" x14ac:dyDescent="0.15">
      <c r="A457" s="1">
        <f ca="1">IFERROR(__xludf.DUMMYFUNCTION("""COMPUTED_VALUE"""),43818.6666666666)</f>
        <v>43818.666666666599</v>
      </c>
      <c r="B457" s="2">
        <f ca="1">IFERROR(__xludf.DUMMYFUNCTION("""COMPUTED_VALUE"""),26.94)</f>
        <v>26.94</v>
      </c>
      <c r="C457" s="3">
        <v>19.054352354994801</v>
      </c>
    </row>
    <row r="458" spans="1:3" ht="13" x14ac:dyDescent="0.15">
      <c r="A458" s="1">
        <f ca="1">IFERROR(__xludf.DUMMYFUNCTION("""COMPUTED_VALUE"""),43819.6666666666)</f>
        <v>43819.666666666599</v>
      </c>
      <c r="B458" s="2">
        <f ca="1">IFERROR(__xludf.DUMMYFUNCTION("""COMPUTED_VALUE"""),27.04)</f>
        <v>27.04</v>
      </c>
      <c r="C458" s="3">
        <v>18.213225161701001</v>
      </c>
    </row>
    <row r="459" spans="1:3" ht="13" x14ac:dyDescent="0.15">
      <c r="A459" s="1">
        <f ca="1">IFERROR(__xludf.DUMMYFUNCTION("""COMPUTED_VALUE"""),43822.6666666666)</f>
        <v>43822.666666666599</v>
      </c>
      <c r="B459" s="2">
        <f ca="1">IFERROR(__xludf.DUMMYFUNCTION("""COMPUTED_VALUE"""),27.95)</f>
        <v>27.95</v>
      </c>
      <c r="C459" s="3">
        <v>19.9848272035238</v>
      </c>
    </row>
    <row r="460" spans="1:3" ht="13" x14ac:dyDescent="0.15">
      <c r="A460" s="1">
        <f ca="1">IFERROR(__xludf.DUMMYFUNCTION("""COMPUTED_VALUE"""),43823.5416666666)</f>
        <v>43823.541666666599</v>
      </c>
      <c r="B460" s="2">
        <f ca="1">IFERROR(__xludf.DUMMYFUNCTION("""COMPUTED_VALUE"""),28.35)</f>
        <v>28.35</v>
      </c>
      <c r="C460" s="3">
        <v>19.3007718981031</v>
      </c>
    </row>
    <row r="461" spans="1:3" ht="13" x14ac:dyDescent="0.15">
      <c r="A461" s="1">
        <f ca="1">IFERROR(__xludf.DUMMYFUNCTION("""COMPUTED_VALUE"""),43825.6666666666)</f>
        <v>43825.666666666599</v>
      </c>
      <c r="B461" s="2">
        <f ca="1">IFERROR(__xludf.DUMMYFUNCTION("""COMPUTED_VALUE"""),28.73)</f>
        <v>28.73</v>
      </c>
      <c r="C461" s="3">
        <v>19.997272448828799</v>
      </c>
    </row>
    <row r="462" spans="1:3" ht="13" x14ac:dyDescent="0.15">
      <c r="A462" s="1">
        <f ca="1">IFERROR(__xludf.DUMMYFUNCTION("""COMPUTED_VALUE"""),43826.6666666666)</f>
        <v>43826.666666666599</v>
      </c>
      <c r="B462" s="2">
        <f ca="1">IFERROR(__xludf.DUMMYFUNCTION("""COMPUTED_VALUE"""),28.69)</f>
        <v>28.69</v>
      </c>
      <c r="C462" s="3">
        <v>20.224560576393301</v>
      </c>
    </row>
    <row r="463" spans="1:3" ht="13" x14ac:dyDescent="0.15">
      <c r="A463" s="1">
        <f ca="1">IFERROR(__xludf.DUMMYFUNCTION("""COMPUTED_VALUE"""),43829.6666666666)</f>
        <v>43829.666666666599</v>
      </c>
      <c r="B463" s="2">
        <f ca="1">IFERROR(__xludf.DUMMYFUNCTION("""COMPUTED_VALUE"""),27.65)</f>
        <v>27.65</v>
      </c>
      <c r="C463" s="3">
        <v>24.976736921896901</v>
      </c>
    </row>
    <row r="464" spans="1:3" ht="13" x14ac:dyDescent="0.15">
      <c r="A464" s="1">
        <f ca="1">IFERROR(__xludf.DUMMYFUNCTION("""COMPUTED_VALUE"""),43830.6666666666)</f>
        <v>43830.666666666599</v>
      </c>
      <c r="B464" s="2">
        <f ca="1">IFERROR(__xludf.DUMMYFUNCTION("""COMPUTED_VALUE"""),27.89)</f>
        <v>27.89</v>
      </c>
      <c r="C464" s="3">
        <v>25.132950312381801</v>
      </c>
    </row>
    <row r="465" spans="1:3" ht="13" x14ac:dyDescent="0.15">
      <c r="A465" s="1">
        <f ca="1">IFERROR(__xludf.DUMMYFUNCTION("""COMPUTED_VALUE"""),43832.6666666666)</f>
        <v>43832.666666666599</v>
      </c>
      <c r="B465" s="2">
        <f ca="1">IFERROR(__xludf.DUMMYFUNCTION("""COMPUTED_VALUE"""),28.68)</f>
        <v>28.68</v>
      </c>
      <c r="C465" s="3">
        <v>27.162521701331801</v>
      </c>
    </row>
    <row r="466" spans="1:3" ht="13" x14ac:dyDescent="0.15">
      <c r="A466" s="1">
        <f ca="1">IFERROR(__xludf.DUMMYFUNCTION("""COMPUTED_VALUE"""),43833.6666666666)</f>
        <v>43833.666666666599</v>
      </c>
      <c r="B466" s="2">
        <f ca="1">IFERROR(__xludf.DUMMYFUNCTION("""COMPUTED_VALUE"""),29.53)</f>
        <v>29.53</v>
      </c>
      <c r="C466" s="3">
        <v>27.854330236318798</v>
      </c>
    </row>
    <row r="467" spans="1:3" ht="13" x14ac:dyDescent="0.15">
      <c r="A467" s="1">
        <f ca="1">IFERROR(__xludf.DUMMYFUNCTION("""COMPUTED_VALUE"""),43836.6666666666)</f>
        <v>43836.666666666599</v>
      </c>
      <c r="B467" s="2">
        <f ca="1">IFERROR(__xludf.DUMMYFUNCTION("""COMPUTED_VALUE"""),30.1)</f>
        <v>30.1</v>
      </c>
      <c r="C467" s="3">
        <v>33.103926839882597</v>
      </c>
    </row>
    <row r="468" spans="1:3" ht="13" x14ac:dyDescent="0.15">
      <c r="A468" s="1">
        <f ca="1">IFERROR(__xludf.DUMMYFUNCTION("""COMPUTED_VALUE"""),43837.6666666666)</f>
        <v>43837.666666666599</v>
      </c>
      <c r="B468" s="2">
        <f ca="1">IFERROR(__xludf.DUMMYFUNCTION("""COMPUTED_VALUE"""),31.27)</f>
        <v>31.27</v>
      </c>
      <c r="C468" s="3">
        <v>33.1271342653041</v>
      </c>
    </row>
    <row r="469" spans="1:3" ht="13" x14ac:dyDescent="0.15">
      <c r="A469" s="1">
        <f ca="1">IFERROR(__xludf.DUMMYFUNCTION("""COMPUTED_VALUE"""),43838.6666666666)</f>
        <v>43838.666666666599</v>
      </c>
      <c r="B469" s="2">
        <f ca="1">IFERROR(__xludf.DUMMYFUNCTION("""COMPUTED_VALUE"""),32.81)</f>
        <v>32.81</v>
      </c>
      <c r="C469" s="3">
        <v>34.1391199692914</v>
      </c>
    </row>
    <row r="470" spans="1:3" ht="13" x14ac:dyDescent="0.15">
      <c r="A470" s="1">
        <f ca="1">IFERROR(__xludf.DUMMYFUNCTION("""COMPUTED_VALUE"""),43839.6666666666)</f>
        <v>43839.666666666599</v>
      </c>
      <c r="B470" s="2">
        <f ca="1">IFERROR(__xludf.DUMMYFUNCTION("""COMPUTED_VALUE"""),32.09)</f>
        <v>32.090000000000003</v>
      </c>
      <c r="C470" s="3">
        <v>34.485796853953197</v>
      </c>
    </row>
    <row r="471" spans="1:3" ht="13" x14ac:dyDescent="0.15">
      <c r="A471" s="1">
        <f ca="1">IFERROR(__xludf.DUMMYFUNCTION("""COMPUTED_VALUE"""),43840.6666666666)</f>
        <v>43840.666666666599</v>
      </c>
      <c r="B471" s="2">
        <f ca="1">IFERROR(__xludf.DUMMYFUNCTION("""COMPUTED_VALUE"""),31.88)</f>
        <v>31.88</v>
      </c>
      <c r="C471" s="3">
        <v>34.667416702541502</v>
      </c>
    </row>
    <row r="472" spans="1:3" ht="13" x14ac:dyDescent="0.15">
      <c r="A472" s="1">
        <f ca="1">IFERROR(__xludf.DUMMYFUNCTION("""COMPUTED_VALUE"""),43843.6666666666)</f>
        <v>43843.666666666599</v>
      </c>
      <c r="B472" s="2">
        <f ca="1">IFERROR(__xludf.DUMMYFUNCTION("""COMPUTED_VALUE"""),34.99)</f>
        <v>34.99</v>
      </c>
      <c r="C472" s="3">
        <v>37.915923968401998</v>
      </c>
    </row>
    <row r="473" spans="1:3" ht="13" x14ac:dyDescent="0.15">
      <c r="A473" s="1">
        <f ca="1">IFERROR(__xludf.DUMMYFUNCTION("""COMPUTED_VALUE"""),43844.6666666666)</f>
        <v>43844.666666666599</v>
      </c>
      <c r="B473" s="2">
        <f ca="1">IFERROR(__xludf.DUMMYFUNCTION("""COMPUTED_VALUE"""),35.86)</f>
        <v>35.86</v>
      </c>
      <c r="C473" s="3">
        <v>37.190579069398702</v>
      </c>
    </row>
    <row r="474" spans="1:3" ht="13" x14ac:dyDescent="0.15">
      <c r="A474" s="1">
        <f ca="1">IFERROR(__xludf.DUMMYFUNCTION("""COMPUTED_VALUE"""),43845.6666666666)</f>
        <v>43845.666666666599</v>
      </c>
      <c r="B474" s="2">
        <f ca="1">IFERROR(__xludf.DUMMYFUNCTION("""COMPUTED_VALUE"""),34.57)</f>
        <v>34.57</v>
      </c>
      <c r="C474" s="3">
        <v>37.453329862943299</v>
      </c>
    </row>
    <row r="475" spans="1:3" ht="13" x14ac:dyDescent="0.15">
      <c r="A475" s="1">
        <f ca="1">IFERROR(__xludf.DUMMYFUNCTION("""COMPUTED_VALUE"""),43846.6666666666)</f>
        <v>43846.666666666599</v>
      </c>
      <c r="B475" s="2">
        <f ca="1">IFERROR(__xludf.DUMMYFUNCTION("""COMPUTED_VALUE"""),34.23)</f>
        <v>34.229999999999997</v>
      </c>
      <c r="C475" s="3">
        <v>37.074085373345902</v>
      </c>
    </row>
    <row r="476" spans="1:3" ht="13" x14ac:dyDescent="0.15">
      <c r="A476" s="1">
        <f ca="1">IFERROR(__xludf.DUMMYFUNCTION("""COMPUTED_VALUE"""),43847.6666666666)</f>
        <v>43847.666666666599</v>
      </c>
      <c r="B476" s="2">
        <f ca="1">IFERROR(__xludf.DUMMYFUNCTION("""COMPUTED_VALUE"""),34.03)</f>
        <v>34.03</v>
      </c>
      <c r="C476" s="3">
        <v>36.576051980854302</v>
      </c>
    </row>
    <row r="477" spans="1:3" ht="13" x14ac:dyDescent="0.15">
      <c r="A477" s="1">
        <f ca="1">IFERROR(__xludf.DUMMYFUNCTION("""COMPUTED_VALUE"""),43851.6666666666)</f>
        <v>43851.666666666599</v>
      </c>
      <c r="B477" s="2">
        <f ca="1">IFERROR(__xludf.DUMMYFUNCTION("""COMPUTED_VALUE"""),36.48)</f>
        <v>36.479999999999997</v>
      </c>
      <c r="C477" s="3">
        <v>37.228947390302601</v>
      </c>
    </row>
    <row r="478" spans="1:3" ht="13" x14ac:dyDescent="0.15">
      <c r="A478" s="1">
        <f ca="1">IFERROR(__xludf.DUMMYFUNCTION("""COMPUTED_VALUE"""),43852.6666666666)</f>
        <v>43852.666666666599</v>
      </c>
      <c r="B478" s="2">
        <f ca="1">IFERROR(__xludf.DUMMYFUNCTION("""COMPUTED_VALUE"""),37.97)</f>
        <v>37.97</v>
      </c>
      <c r="C478" s="3">
        <v>37.306402142916497</v>
      </c>
    </row>
    <row r="479" spans="1:3" ht="13" x14ac:dyDescent="0.15">
      <c r="A479" s="1">
        <f ca="1">IFERROR(__xludf.DUMMYFUNCTION("""COMPUTED_VALUE"""),43853.6666666666)</f>
        <v>43853.666666666599</v>
      </c>
      <c r="B479" s="2">
        <f ca="1">IFERROR(__xludf.DUMMYFUNCTION("""COMPUTED_VALUE"""),38.15)</f>
        <v>38.15</v>
      </c>
      <c r="C479" s="3">
        <v>36.8699423451705</v>
      </c>
    </row>
    <row r="480" spans="1:3" ht="13" x14ac:dyDescent="0.15">
      <c r="A480" s="1">
        <f ca="1">IFERROR(__xludf.DUMMYFUNCTION("""COMPUTED_VALUE"""),43854.6666666666)</f>
        <v>43854.666666666599</v>
      </c>
      <c r="B480" s="2">
        <f ca="1">IFERROR(__xludf.DUMMYFUNCTION("""COMPUTED_VALUE"""),37.65)</f>
        <v>37.65</v>
      </c>
      <c r="C480" s="3">
        <v>36.443152787734803</v>
      </c>
    </row>
    <row r="481" spans="1:3" ht="13" x14ac:dyDescent="0.15">
      <c r="A481" s="1">
        <f ca="1">IFERROR(__xludf.DUMMYFUNCTION("""COMPUTED_VALUE"""),43857.6666666666)</f>
        <v>43857.666666666599</v>
      </c>
      <c r="B481" s="2">
        <f ca="1">IFERROR(__xludf.DUMMYFUNCTION("""COMPUTED_VALUE"""),37.2)</f>
        <v>37.200000000000003</v>
      </c>
      <c r="C481" s="3">
        <v>39.055110862560397</v>
      </c>
    </row>
    <row r="482" spans="1:3" ht="13" x14ac:dyDescent="0.15">
      <c r="A482" s="1">
        <f ca="1">IFERROR(__xludf.DUMMYFUNCTION("""COMPUTED_VALUE"""),43858.6666666666)</f>
        <v>43858.666666666599</v>
      </c>
      <c r="B482" s="2">
        <f ca="1">IFERROR(__xludf.DUMMYFUNCTION("""COMPUTED_VALUE"""),37.79)</f>
        <v>37.79</v>
      </c>
      <c r="C482" s="3">
        <v>38.526670401690502</v>
      </c>
    </row>
    <row r="483" spans="1:3" ht="13" x14ac:dyDescent="0.15">
      <c r="A483" s="1">
        <f ca="1">IFERROR(__xludf.DUMMYFUNCTION("""COMPUTED_VALUE"""),43859.6666666666)</f>
        <v>43859.666666666599</v>
      </c>
      <c r="B483" s="2">
        <f ca="1">IFERROR(__xludf.DUMMYFUNCTION("""COMPUTED_VALUE"""),38.73)</f>
        <v>38.729999999999997</v>
      </c>
      <c r="C483" s="3">
        <v>39.179821819164701</v>
      </c>
    </row>
    <row r="484" spans="1:3" ht="13" x14ac:dyDescent="0.15">
      <c r="A484" s="1">
        <f ca="1">IFERROR(__xludf.DUMMYFUNCTION("""COMPUTED_VALUE"""),43860.6666666666)</f>
        <v>43860.666666666599</v>
      </c>
      <c r="B484" s="2">
        <f ca="1">IFERROR(__xludf.DUMMYFUNCTION("""COMPUTED_VALUE"""),42.72)</f>
        <v>42.72</v>
      </c>
      <c r="C484" s="3">
        <v>39.3676209854695</v>
      </c>
    </row>
    <row r="485" spans="1:3" ht="13" x14ac:dyDescent="0.15">
      <c r="A485" s="1">
        <f ca="1">IFERROR(__xludf.DUMMYFUNCTION("""COMPUTED_VALUE"""),43861.6666666666)</f>
        <v>43861.666666666599</v>
      </c>
      <c r="B485" s="2">
        <f ca="1">IFERROR(__xludf.DUMMYFUNCTION("""COMPUTED_VALUE"""),43.37)</f>
        <v>43.37</v>
      </c>
      <c r="C485" s="3">
        <v>39.777218463557901</v>
      </c>
    </row>
    <row r="486" spans="1:3" ht="13" x14ac:dyDescent="0.15">
      <c r="A486" s="1">
        <f ca="1">IFERROR(__xludf.DUMMYFUNCTION("""COMPUTED_VALUE"""),43864.6666666666)</f>
        <v>43864.666666666599</v>
      </c>
      <c r="B486" s="2">
        <f ca="1">IFERROR(__xludf.DUMMYFUNCTION("""COMPUTED_VALUE"""),52)</f>
        <v>52</v>
      </c>
      <c r="C486" s="3">
        <v>44.797938662455103</v>
      </c>
    </row>
    <row r="487" spans="1:3" ht="13" x14ac:dyDescent="0.15">
      <c r="A487" s="1">
        <f ca="1">IFERROR(__xludf.DUMMYFUNCTION("""COMPUTED_VALUE"""),43865.6666666666)</f>
        <v>43865.666666666599</v>
      </c>
      <c r="B487" s="2">
        <f ca="1">IFERROR(__xludf.DUMMYFUNCTION("""COMPUTED_VALUE"""),59.14)</f>
        <v>59.14</v>
      </c>
      <c r="C487" s="3">
        <v>44.955219037284103</v>
      </c>
    </row>
    <row r="488" spans="1:3" ht="13" x14ac:dyDescent="0.15">
      <c r="A488" s="1">
        <f ca="1">IFERROR(__xludf.DUMMYFUNCTION("""COMPUTED_VALUE"""),43866.6666666666)</f>
        <v>43866.666666666599</v>
      </c>
      <c r="B488" s="2">
        <f ca="1">IFERROR(__xludf.DUMMYFUNCTION("""COMPUTED_VALUE"""),48.98)</f>
        <v>48.98</v>
      </c>
      <c r="C488" s="3">
        <v>46.196157854598702</v>
      </c>
    </row>
    <row r="489" spans="1:3" ht="13" x14ac:dyDescent="0.15">
      <c r="A489" s="1">
        <f ca="1">IFERROR(__xludf.DUMMYFUNCTION("""COMPUTED_VALUE"""),43867.6666666666)</f>
        <v>43867.666666666599</v>
      </c>
      <c r="B489" s="2">
        <f ca="1">IFERROR(__xludf.DUMMYFUNCTION("""COMPUTED_VALUE"""),49.93)</f>
        <v>49.93</v>
      </c>
      <c r="C489" s="3">
        <v>46.853228382282303</v>
      </c>
    </row>
    <row r="490" spans="1:3" ht="13" x14ac:dyDescent="0.15">
      <c r="A490" s="1">
        <f ca="1">IFERROR(__xludf.DUMMYFUNCTION("""COMPUTED_VALUE"""),43868.6666666666)</f>
        <v>43868.666666666599</v>
      </c>
      <c r="B490" s="2">
        <f ca="1">IFERROR(__xludf.DUMMYFUNCTION("""COMPUTED_VALUE"""),49.87)</f>
        <v>49.87</v>
      </c>
      <c r="C490" s="3">
        <v>47.408857496548698</v>
      </c>
    </row>
    <row r="491" spans="1:3" ht="13" x14ac:dyDescent="0.15">
      <c r="A491" s="1">
        <f ca="1">IFERROR(__xludf.DUMMYFUNCTION("""COMPUTED_VALUE"""),43871.6666666666)</f>
        <v>43871.666666666599</v>
      </c>
      <c r="B491" s="2">
        <f ca="1">IFERROR(__xludf.DUMMYFUNCTION("""COMPUTED_VALUE"""),51.42)</f>
        <v>51.42</v>
      </c>
      <c r="C491" s="3">
        <v>51.928677442142302</v>
      </c>
    </row>
    <row r="492" spans="1:3" ht="13" x14ac:dyDescent="0.15">
      <c r="A492" s="1">
        <f ca="1">IFERROR(__xludf.DUMMYFUNCTION("""COMPUTED_VALUE"""),43872.6666666666)</f>
        <v>43872.666666666599</v>
      </c>
      <c r="B492" s="2">
        <f ca="1">IFERROR(__xludf.DUMMYFUNCTION("""COMPUTED_VALUE"""),51.63)</f>
        <v>51.63</v>
      </c>
      <c r="C492" s="3">
        <v>51.586285479648502</v>
      </c>
    </row>
    <row r="493" spans="1:3" ht="13" x14ac:dyDescent="0.15">
      <c r="A493" s="1">
        <f ca="1">IFERROR(__xludf.DUMMYFUNCTION("""COMPUTED_VALUE"""),43873.6666666666)</f>
        <v>43873.666666666599</v>
      </c>
      <c r="B493" s="2">
        <f ca="1">IFERROR(__xludf.DUMMYFUNCTION("""COMPUTED_VALUE"""),51.15)</f>
        <v>51.15</v>
      </c>
      <c r="C493" s="3">
        <v>52.162623843074897</v>
      </c>
    </row>
    <row r="494" spans="1:3" ht="13" x14ac:dyDescent="0.15">
      <c r="A494" s="1">
        <f ca="1">IFERROR(__xludf.DUMMYFUNCTION("""COMPUTED_VALUE"""),43874.6666666666)</f>
        <v>43874.666666666599</v>
      </c>
      <c r="B494" s="2">
        <f ca="1">IFERROR(__xludf.DUMMYFUNCTION("""COMPUTED_VALUE"""),53.6)</f>
        <v>53.6</v>
      </c>
      <c r="C494" s="3">
        <v>51.997927933639502</v>
      </c>
    </row>
    <row r="495" spans="1:3" ht="13" x14ac:dyDescent="0.15">
      <c r="A495" s="1">
        <f ca="1">IFERROR(__xludf.DUMMYFUNCTION("""COMPUTED_VALUE"""),43875.6666666666)</f>
        <v>43875.666666666599</v>
      </c>
      <c r="B495" s="2">
        <f ca="1">IFERROR(__xludf.DUMMYFUNCTION("""COMPUTED_VALUE"""),53.34)</f>
        <v>53.34</v>
      </c>
      <c r="C495" s="3">
        <v>51.586848011328001</v>
      </c>
    </row>
    <row r="496" spans="1:3" ht="13" x14ac:dyDescent="0.15">
      <c r="A496" s="1">
        <f ca="1">IFERROR(__xludf.DUMMYFUNCTION("""COMPUTED_VALUE"""),43879.6666666666)</f>
        <v>43879.666666666599</v>
      </c>
      <c r="B496" s="2">
        <f ca="1">IFERROR(__xludf.DUMMYFUNCTION("""COMPUTED_VALUE"""),57.23)</f>
        <v>57.23</v>
      </c>
      <c r="C496" s="3">
        <v>50.830400019123303</v>
      </c>
    </row>
    <row r="497" spans="1:3" ht="13" x14ac:dyDescent="0.15">
      <c r="A497" s="1">
        <f ca="1">IFERROR(__xludf.DUMMYFUNCTION("""COMPUTED_VALUE"""),43880.6666666666)</f>
        <v>43880.666666666599</v>
      </c>
      <c r="B497" s="2">
        <f ca="1">IFERROR(__xludf.DUMMYFUNCTION("""COMPUTED_VALUE"""),61.16)</f>
        <v>61.16</v>
      </c>
      <c r="C497" s="3">
        <v>50.029789972399001</v>
      </c>
    </row>
    <row r="498" spans="1:3" ht="13" x14ac:dyDescent="0.15">
      <c r="A498" s="1">
        <f ca="1">IFERROR(__xludf.DUMMYFUNCTION("""COMPUTED_VALUE"""),43881.6666666666)</f>
        <v>43881.666666666599</v>
      </c>
      <c r="B498" s="2">
        <f ca="1">IFERROR(__xludf.DUMMYFUNCTION("""COMPUTED_VALUE"""),59.96)</f>
        <v>59.96</v>
      </c>
      <c r="C498" s="3">
        <v>48.487688473232097</v>
      </c>
    </row>
    <row r="499" spans="1:3" ht="13" x14ac:dyDescent="0.15">
      <c r="A499" s="1">
        <f ca="1">IFERROR(__xludf.DUMMYFUNCTION("""COMPUTED_VALUE"""),43882.6666666666)</f>
        <v>43882.666666666599</v>
      </c>
      <c r="B499" s="2">
        <f ca="1">IFERROR(__xludf.DUMMYFUNCTION("""COMPUTED_VALUE"""),60.07)</f>
        <v>60.07</v>
      </c>
      <c r="C499" s="3">
        <v>46.729033354153302</v>
      </c>
    </row>
    <row r="500" spans="1:3" ht="13" x14ac:dyDescent="0.15">
      <c r="A500" s="1">
        <f ca="1">IFERROR(__xludf.DUMMYFUNCTION("""COMPUTED_VALUE"""),43885.6666666666)</f>
        <v>43885.666666666599</v>
      </c>
      <c r="B500" s="2">
        <f ca="1">IFERROR(__xludf.DUMMYFUNCTION("""COMPUTED_VALUE"""),55.59)</f>
        <v>55.59</v>
      </c>
      <c r="C500" s="3">
        <v>44.0935461051129</v>
      </c>
    </row>
    <row r="501" spans="1:3" ht="13" x14ac:dyDescent="0.15">
      <c r="A501" s="1">
        <f ca="1">IFERROR(__xludf.DUMMYFUNCTION("""COMPUTED_VALUE"""),43886.6666666666)</f>
        <v>43886.666666666599</v>
      </c>
      <c r="B501" s="2">
        <f ca="1">IFERROR(__xludf.DUMMYFUNCTION("""COMPUTED_VALUE"""),53.33)</f>
        <v>53.33</v>
      </c>
      <c r="C501" s="3">
        <v>41.4638832394266</v>
      </c>
    </row>
    <row r="502" spans="1:3" ht="13" x14ac:dyDescent="0.15">
      <c r="A502" s="1">
        <f ca="1">IFERROR(__xludf.DUMMYFUNCTION("""COMPUTED_VALUE"""),43887.6666666666)</f>
        <v>43887.666666666599</v>
      </c>
      <c r="B502" s="2">
        <f ca="1">IFERROR(__xludf.DUMMYFUNCTION("""COMPUTED_VALUE"""),51.92)</f>
        <v>51.92</v>
      </c>
      <c r="C502" s="3">
        <v>39.8863369304839</v>
      </c>
    </row>
    <row r="503" spans="1:3" ht="13" x14ac:dyDescent="0.15">
      <c r="A503" s="1">
        <f ca="1">IFERROR(__xludf.DUMMYFUNCTION("""COMPUTED_VALUE"""),43888.6666666666)</f>
        <v>43888.666666666599</v>
      </c>
      <c r="B503" s="2">
        <f ca="1">IFERROR(__xludf.DUMMYFUNCTION("""COMPUTED_VALUE"""),45.27)</f>
        <v>45.27</v>
      </c>
      <c r="C503" s="3">
        <v>37.749204016073698</v>
      </c>
    </row>
    <row r="504" spans="1:3" ht="13" x14ac:dyDescent="0.15">
      <c r="A504" s="1">
        <f ca="1">IFERROR(__xludf.DUMMYFUNCTION("""COMPUTED_VALUE"""),43889.6666666666)</f>
        <v>43889.666666666599</v>
      </c>
      <c r="B504" s="2">
        <f ca="1">IFERROR(__xludf.DUMMYFUNCTION("""COMPUTED_VALUE"""),44.53)</f>
        <v>44.53</v>
      </c>
      <c r="C504" s="3">
        <v>35.591712360773698</v>
      </c>
    </row>
    <row r="505" spans="1:3" ht="13" x14ac:dyDescent="0.15">
      <c r="A505" s="1">
        <f ca="1">IFERROR(__xludf.DUMMYFUNCTION("""COMPUTED_VALUE"""),43892.6666666666)</f>
        <v>43892.666666666599</v>
      </c>
      <c r="B505" s="2">
        <f ca="1">IFERROR(__xludf.DUMMYFUNCTION("""COMPUTED_VALUE"""),49.57)</f>
        <v>49.57</v>
      </c>
      <c r="C505" s="3">
        <v>33.011955264347698</v>
      </c>
    </row>
    <row r="506" spans="1:3" ht="13" x14ac:dyDescent="0.15">
      <c r="A506" s="1">
        <f ca="1">IFERROR(__xludf.DUMMYFUNCTION("""COMPUTED_VALUE"""),43893.6666666666)</f>
        <v>43893.666666666599</v>
      </c>
      <c r="B506" s="2">
        <f ca="1">IFERROR(__xludf.DUMMYFUNCTION("""COMPUTED_VALUE"""),49.7)</f>
        <v>49.7</v>
      </c>
      <c r="C506" s="3">
        <v>30.819593959726301</v>
      </c>
    </row>
    <row r="507" spans="1:3" ht="13" x14ac:dyDescent="0.15">
      <c r="A507" s="1">
        <f ca="1">IFERROR(__xludf.DUMMYFUNCTION("""COMPUTED_VALUE"""),43894.6666666666)</f>
        <v>43894.666666666599</v>
      </c>
      <c r="B507" s="2">
        <f ca="1">IFERROR(__xludf.DUMMYFUNCTION("""COMPUTED_VALUE"""),49.97)</f>
        <v>49.97</v>
      </c>
      <c r="C507" s="3">
        <v>29.877540975309</v>
      </c>
    </row>
    <row r="508" spans="1:3" ht="13" x14ac:dyDescent="0.15">
      <c r="A508" s="1">
        <f ca="1">IFERROR(__xludf.DUMMYFUNCTION("""COMPUTED_VALUE"""),43895.6666666666)</f>
        <v>43895.666666666599</v>
      </c>
      <c r="B508" s="2">
        <f ca="1">IFERROR(__xludf.DUMMYFUNCTION("""COMPUTED_VALUE"""),48.3)</f>
        <v>48.3</v>
      </c>
      <c r="C508" s="3">
        <v>28.560657249370099</v>
      </c>
    </row>
    <row r="509" spans="1:3" ht="13" x14ac:dyDescent="0.15">
      <c r="A509" s="1">
        <f ca="1">IFERROR(__xludf.DUMMYFUNCTION("""COMPUTED_VALUE"""),43896.6666666666)</f>
        <v>43896.666666666599</v>
      </c>
      <c r="B509" s="2">
        <f ca="1">IFERROR(__xludf.DUMMYFUNCTION("""COMPUTED_VALUE"""),46.9)</f>
        <v>46.9</v>
      </c>
      <c r="C509" s="3">
        <v>27.390704491987599</v>
      </c>
    </row>
    <row r="510" spans="1:3" ht="13" x14ac:dyDescent="0.15">
      <c r="A510" s="1">
        <f ca="1">IFERROR(__xludf.DUMMYFUNCTION("""COMPUTED_VALUE"""),43899.6666666666)</f>
        <v>43899.666666666599</v>
      </c>
      <c r="B510" s="2">
        <f ca="1">IFERROR(__xludf.DUMMYFUNCTION("""COMPUTED_VALUE"""),40.53)</f>
        <v>40.53</v>
      </c>
      <c r="C510" s="3">
        <v>28.552592457890299</v>
      </c>
    </row>
    <row r="511" spans="1:3" ht="13" x14ac:dyDescent="0.15">
      <c r="A511" s="1">
        <f ca="1">IFERROR(__xludf.DUMMYFUNCTION("""COMPUTED_VALUE"""),43900.6666666666)</f>
        <v>43900.666666666599</v>
      </c>
      <c r="B511" s="2">
        <f ca="1">IFERROR(__xludf.DUMMYFUNCTION("""COMPUTED_VALUE"""),43.02)</f>
        <v>43.02</v>
      </c>
      <c r="C511" s="3">
        <v>27.779739130696001</v>
      </c>
    </row>
    <row r="512" spans="1:3" ht="13" x14ac:dyDescent="0.15">
      <c r="A512" s="1">
        <f ca="1">IFERROR(__xludf.DUMMYFUNCTION("""COMPUTED_VALUE"""),43901.6666666666)</f>
        <v>43901.666666666599</v>
      </c>
      <c r="B512" s="2">
        <f ca="1">IFERROR(__xludf.DUMMYFUNCTION("""COMPUTED_VALUE"""),42.28)</f>
        <v>42.28</v>
      </c>
      <c r="C512" s="3">
        <v>28.295774757977501</v>
      </c>
    </row>
    <row r="513" spans="1:3" ht="13" x14ac:dyDescent="0.15">
      <c r="A513" s="1">
        <f ca="1">IFERROR(__xludf.DUMMYFUNCTION("""COMPUTED_VALUE"""),43902.6666666666)</f>
        <v>43902.666666666599</v>
      </c>
      <c r="B513" s="2">
        <f ca="1">IFERROR(__xludf.DUMMYFUNCTION("""COMPUTED_VALUE"""),37.37)</f>
        <v>37.369999999999997</v>
      </c>
      <c r="C513" s="3">
        <v>28.446206057748299</v>
      </c>
    </row>
    <row r="514" spans="1:3" ht="13" x14ac:dyDescent="0.15">
      <c r="A514" s="1">
        <f ca="1">IFERROR(__xludf.DUMMYFUNCTION("""COMPUTED_VALUE"""),43903.6666666666)</f>
        <v>43903.666666666599</v>
      </c>
      <c r="B514" s="2">
        <f ca="1">IFERROR(__xludf.DUMMYFUNCTION("""COMPUTED_VALUE"""),36.44)</f>
        <v>36.44</v>
      </c>
      <c r="C514" s="3">
        <v>28.7239166327163</v>
      </c>
    </row>
    <row r="515" spans="1:3" ht="13" x14ac:dyDescent="0.15">
      <c r="A515" s="1">
        <f ca="1">IFERROR(__xludf.DUMMYFUNCTION("""COMPUTED_VALUE"""),43906.6666666666)</f>
        <v>43906.666666666599</v>
      </c>
      <c r="B515" s="2">
        <f ca="1">IFERROR(__xludf.DUMMYFUNCTION("""COMPUTED_VALUE"""),29.67)</f>
        <v>29.67</v>
      </c>
      <c r="C515" s="3">
        <v>33.843687815916901</v>
      </c>
    </row>
    <row r="516" spans="1:3" ht="13" x14ac:dyDescent="0.15">
      <c r="A516" s="1">
        <f ca="1">IFERROR(__xludf.DUMMYFUNCTION("""COMPUTED_VALUE"""),43907.6666666666)</f>
        <v>43907.666666666599</v>
      </c>
      <c r="B516" s="2">
        <f ca="1">IFERROR(__xludf.DUMMYFUNCTION("""COMPUTED_VALUE"""),28.68)</f>
        <v>28.68</v>
      </c>
      <c r="C516" s="3">
        <v>34.184208198708802</v>
      </c>
    </row>
    <row r="517" spans="1:3" ht="13" x14ac:dyDescent="0.15">
      <c r="A517" s="1">
        <f ca="1">IFERROR(__xludf.DUMMYFUNCTION("""COMPUTED_VALUE"""),43908.6666666666)</f>
        <v>43908.666666666599</v>
      </c>
      <c r="B517" s="2">
        <f ca="1">IFERROR(__xludf.DUMMYFUNCTION("""COMPUTED_VALUE"""),24.08)</f>
        <v>24.08</v>
      </c>
      <c r="C517" s="3">
        <v>35.679454300166199</v>
      </c>
    </row>
    <row r="518" spans="1:3" ht="13" x14ac:dyDescent="0.15">
      <c r="A518" s="1">
        <f ca="1">IFERROR(__xludf.DUMMYFUNCTION("""COMPUTED_VALUE"""),43909.6666666666)</f>
        <v>43909.666666666599</v>
      </c>
      <c r="B518" s="2">
        <f ca="1">IFERROR(__xludf.DUMMYFUNCTION("""COMPUTED_VALUE"""),28.51)</f>
        <v>28.51</v>
      </c>
      <c r="C518" s="3">
        <v>36.661591316540999</v>
      </c>
    </row>
    <row r="519" spans="1:3" ht="13" x14ac:dyDescent="0.15">
      <c r="A519" s="1">
        <f ca="1">IFERROR(__xludf.DUMMYFUNCTION("""COMPUTED_VALUE"""),43910.6666666666)</f>
        <v>43910.666666666599</v>
      </c>
      <c r="B519" s="2">
        <f ca="1">IFERROR(__xludf.DUMMYFUNCTION("""COMPUTED_VALUE"""),28.5)</f>
        <v>28.5</v>
      </c>
      <c r="C519" s="3">
        <v>37.614113503504903</v>
      </c>
    </row>
    <row r="520" spans="1:3" ht="13" x14ac:dyDescent="0.15">
      <c r="A520" s="1">
        <f ca="1">IFERROR(__xludf.DUMMYFUNCTION("""COMPUTED_VALUE"""),43913.6666666666)</f>
        <v>43913.666666666599</v>
      </c>
      <c r="B520" s="2">
        <f ca="1">IFERROR(__xludf.DUMMYFUNCTION("""COMPUTED_VALUE"""),28.95)</f>
        <v>28.95</v>
      </c>
      <c r="C520" s="3">
        <v>43.783934306043797</v>
      </c>
    </row>
    <row r="521" spans="1:3" ht="13" x14ac:dyDescent="0.15">
      <c r="A521" s="1">
        <f ca="1">IFERROR(__xludf.DUMMYFUNCTION("""COMPUTED_VALUE"""),43914.6666666666)</f>
        <v>43914.666666666599</v>
      </c>
      <c r="B521" s="2">
        <f ca="1">IFERROR(__xludf.DUMMYFUNCTION("""COMPUTED_VALUE"""),33.67)</f>
        <v>33.67</v>
      </c>
      <c r="C521" s="3">
        <v>44.158447153916399</v>
      </c>
    </row>
    <row r="522" spans="1:3" ht="13" x14ac:dyDescent="0.15">
      <c r="A522" s="1">
        <f ca="1">IFERROR(__xludf.DUMMYFUNCTION("""COMPUTED_VALUE"""),43915.6666666666)</f>
        <v>43915.666666666599</v>
      </c>
      <c r="B522" s="2">
        <f ca="1">IFERROR(__xludf.DUMMYFUNCTION("""COMPUTED_VALUE"""),35.95)</f>
        <v>35.950000000000003</v>
      </c>
      <c r="C522" s="3">
        <v>45.543196171571701</v>
      </c>
    </row>
    <row r="523" spans="1:3" ht="13" x14ac:dyDescent="0.15">
      <c r="A523" s="1">
        <f ca="1">IFERROR(__xludf.DUMMYFUNCTION("""COMPUTED_VALUE"""),43916.6666666666)</f>
        <v>43916.666666666599</v>
      </c>
      <c r="B523" s="2">
        <f ca="1">IFERROR(__xludf.DUMMYFUNCTION("""COMPUTED_VALUE"""),35.21)</f>
        <v>35.21</v>
      </c>
      <c r="C523" s="3">
        <v>46.283222901416003</v>
      </c>
    </row>
    <row r="524" spans="1:3" ht="13" x14ac:dyDescent="0.15">
      <c r="A524" s="1">
        <f ca="1">IFERROR(__xludf.DUMMYFUNCTION("""COMPUTED_VALUE"""),43917.6666666666)</f>
        <v>43917.666666666599</v>
      </c>
      <c r="B524" s="2">
        <f ca="1">IFERROR(__xludf.DUMMYFUNCTION("""COMPUTED_VALUE"""),34.29)</f>
        <v>34.29</v>
      </c>
      <c r="C524" s="3">
        <v>46.877442125734802</v>
      </c>
    </row>
    <row r="525" spans="1:3" ht="13" x14ac:dyDescent="0.15">
      <c r="A525" s="1">
        <f ca="1">IFERROR(__xludf.DUMMYFUNCTION("""COMPUTED_VALUE"""),43920.6666666666)</f>
        <v>43920.666666666599</v>
      </c>
      <c r="B525" s="2">
        <f ca="1">IFERROR(__xludf.DUMMYFUNCTION("""COMPUTED_VALUE"""),33.48)</f>
        <v>33.479999999999997</v>
      </c>
      <c r="C525" s="3">
        <v>51.456059059758999</v>
      </c>
    </row>
    <row r="526" spans="1:3" ht="13" x14ac:dyDescent="0.15">
      <c r="A526" s="1">
        <f ca="1">IFERROR(__xludf.DUMMYFUNCTION("""COMPUTED_VALUE"""),43921.6666666666)</f>
        <v>43921.666666666599</v>
      </c>
      <c r="B526" s="2">
        <f ca="1">IFERROR(__xludf.DUMMYFUNCTION("""COMPUTED_VALUE"""),34.93)</f>
        <v>34.93</v>
      </c>
      <c r="C526" s="3">
        <v>51.410012969592799</v>
      </c>
    </row>
    <row r="527" spans="1:3" ht="13" x14ac:dyDescent="0.15">
      <c r="A527" s="1">
        <f ca="1">IFERROR(__xludf.DUMMYFUNCTION("""COMPUTED_VALUE"""),43922.6666666666)</f>
        <v>43922.666666666599</v>
      </c>
      <c r="B527" s="2">
        <f ca="1">IFERROR(__xludf.DUMMYFUNCTION("""COMPUTED_VALUE"""),32.1)</f>
        <v>32.1</v>
      </c>
      <c r="C527" s="3">
        <v>52.353457459125799</v>
      </c>
    </row>
    <row r="528" spans="1:3" ht="13" x14ac:dyDescent="0.15">
      <c r="A528" s="1">
        <f ca="1">IFERROR(__xludf.DUMMYFUNCTION("""COMPUTED_VALUE"""),43923.6666666666)</f>
        <v>43923.666666666599</v>
      </c>
      <c r="B528" s="2">
        <f ca="1">IFERROR(__xludf.DUMMYFUNCTION("""COMPUTED_VALUE"""),30.3)</f>
        <v>30.3</v>
      </c>
      <c r="C528" s="3">
        <v>52.650037341105097</v>
      </c>
    </row>
    <row r="529" spans="1:3" ht="13" x14ac:dyDescent="0.15">
      <c r="A529" s="1">
        <f ca="1">IFERROR(__xludf.DUMMYFUNCTION("""COMPUTED_VALUE"""),43924.6666666666)</f>
        <v>43924.666666666599</v>
      </c>
      <c r="B529" s="2">
        <f ca="1">IFERROR(__xludf.DUMMYFUNCTION("""COMPUTED_VALUE"""),32)</f>
        <v>32</v>
      </c>
      <c r="C529" s="3">
        <v>52.815807631639501</v>
      </c>
    </row>
    <row r="530" spans="1:3" ht="13" x14ac:dyDescent="0.15">
      <c r="A530" s="1">
        <f ca="1">IFERROR(__xludf.DUMMYFUNCTION("""COMPUTED_VALUE"""),43927.6666666666)</f>
        <v>43927.666666666599</v>
      </c>
      <c r="B530" s="2">
        <f ca="1">IFERROR(__xludf.DUMMYFUNCTION("""COMPUTED_VALUE"""),34.42)</f>
        <v>34.42</v>
      </c>
      <c r="C530" s="3">
        <v>56.339325183861</v>
      </c>
    </row>
    <row r="531" spans="1:3" ht="13" x14ac:dyDescent="0.15">
      <c r="A531" s="1">
        <f ca="1">IFERROR(__xludf.DUMMYFUNCTION("""COMPUTED_VALUE"""),43928.6666666666)</f>
        <v>43928.666666666599</v>
      </c>
      <c r="B531" s="2">
        <f ca="1">IFERROR(__xludf.DUMMYFUNCTION("""COMPUTED_VALUE"""),36.36)</f>
        <v>36.36</v>
      </c>
      <c r="C531" s="3">
        <v>55.835461717815797</v>
      </c>
    </row>
    <row r="532" spans="1:3" ht="13" x14ac:dyDescent="0.15">
      <c r="A532" s="1">
        <f ca="1">IFERROR(__xludf.DUMMYFUNCTION("""COMPUTED_VALUE"""),43929.6666666666)</f>
        <v>43929.666666666599</v>
      </c>
      <c r="B532" s="2">
        <f ca="1">IFERROR(__xludf.DUMMYFUNCTION("""COMPUTED_VALUE"""),36.59)</f>
        <v>36.590000000000003</v>
      </c>
      <c r="C532" s="3">
        <v>56.386387559220601</v>
      </c>
    </row>
    <row r="533" spans="1:3" ht="13" x14ac:dyDescent="0.15">
      <c r="A533" s="1">
        <f ca="1">IFERROR(__xludf.DUMMYFUNCTION("""COMPUTED_VALUE"""),43930.6666666666)</f>
        <v>43930.666666666599</v>
      </c>
      <c r="B533" s="2">
        <f ca="1">IFERROR(__xludf.DUMMYFUNCTION("""COMPUTED_VALUE"""),38.2)</f>
        <v>38.200000000000003</v>
      </c>
      <c r="C533" s="3">
        <v>56.357238288825201</v>
      </c>
    </row>
    <row r="534" spans="1:3" ht="13" x14ac:dyDescent="0.15">
      <c r="A534" s="1">
        <f ca="1">IFERROR(__xludf.DUMMYFUNCTION("""COMPUTED_VALUE"""),43934.6666666666)</f>
        <v>43934.666666666599</v>
      </c>
      <c r="B534" s="2">
        <f ca="1">IFERROR(__xludf.DUMMYFUNCTION("""COMPUTED_VALUE"""),43.4)</f>
        <v>43.4</v>
      </c>
      <c r="C534" s="3">
        <v>59.3434667767945</v>
      </c>
    </row>
    <row r="535" spans="1:3" ht="13" x14ac:dyDescent="0.15">
      <c r="A535" s="1">
        <f ca="1">IFERROR(__xludf.DUMMYFUNCTION("""COMPUTED_VALUE"""),43935.6666666666)</f>
        <v>43935.666666666599</v>
      </c>
      <c r="B535" s="2">
        <f ca="1">IFERROR(__xludf.DUMMYFUNCTION("""COMPUTED_VALUE"""),47.33)</f>
        <v>47.33</v>
      </c>
      <c r="C535" s="3">
        <v>58.775788198445902</v>
      </c>
    </row>
    <row r="536" spans="1:3" ht="13" x14ac:dyDescent="0.15">
      <c r="A536" s="1">
        <f ca="1">IFERROR(__xludf.DUMMYFUNCTION("""COMPUTED_VALUE"""),43936.6666666666)</f>
        <v>43936.666666666599</v>
      </c>
      <c r="B536" s="2">
        <f ca="1">IFERROR(__xludf.DUMMYFUNCTION("""COMPUTED_VALUE"""),48.66)</f>
        <v>48.66</v>
      </c>
      <c r="C536" s="3">
        <v>59.2860643563221</v>
      </c>
    </row>
    <row r="537" spans="1:3" ht="13" x14ac:dyDescent="0.15">
      <c r="A537" s="1">
        <f ca="1">IFERROR(__xludf.DUMMYFUNCTION("""COMPUTED_VALUE"""),43937.6666666666)</f>
        <v>43937.666666666599</v>
      </c>
      <c r="B537" s="2">
        <f ca="1">IFERROR(__xludf.DUMMYFUNCTION("""COMPUTED_VALUE"""),49.68)</f>
        <v>49.68</v>
      </c>
      <c r="C537" s="3">
        <v>59.226647712437497</v>
      </c>
    </row>
    <row r="538" spans="1:3" ht="13" x14ac:dyDescent="0.15">
      <c r="A538" s="1">
        <f ca="1">IFERROR(__xludf.DUMMYFUNCTION("""COMPUTED_VALUE"""),43938.6666666666)</f>
        <v>43938.666666666599</v>
      </c>
      <c r="B538" s="2">
        <f ca="1">IFERROR(__xludf.DUMMYFUNCTION("""COMPUTED_VALUE"""),50.26)</f>
        <v>50.26</v>
      </c>
      <c r="C538" s="3">
        <v>59.099045018811204</v>
      </c>
    </row>
    <row r="539" spans="1:3" ht="13" x14ac:dyDescent="0.15">
      <c r="A539" s="1">
        <f ca="1">IFERROR(__xludf.DUMMYFUNCTION("""COMPUTED_VALUE"""),43941.6666666666)</f>
        <v>43941.666666666599</v>
      </c>
      <c r="B539" s="2">
        <f ca="1">IFERROR(__xludf.DUMMYFUNCTION("""COMPUTED_VALUE"""),49.76)</f>
        <v>49.76</v>
      </c>
      <c r="C539" s="3">
        <v>61.9385188093691</v>
      </c>
    </row>
    <row r="540" spans="1:3" ht="13" x14ac:dyDescent="0.15">
      <c r="A540" s="1">
        <f ca="1">IFERROR(__xludf.DUMMYFUNCTION("""COMPUTED_VALUE"""),43942.6666666666)</f>
        <v>43942.666666666599</v>
      </c>
      <c r="B540" s="2">
        <f ca="1">IFERROR(__xludf.DUMMYFUNCTION("""COMPUTED_VALUE"""),45.78)</f>
        <v>45.78</v>
      </c>
      <c r="C540" s="3">
        <v>61.206165636625997</v>
      </c>
    </row>
    <row r="541" spans="1:3" ht="13" x14ac:dyDescent="0.15">
      <c r="A541" s="1">
        <f ca="1">IFERROR(__xludf.DUMMYFUNCTION("""COMPUTED_VALUE"""),43943.6666666666)</f>
        <v>43943.666666666599</v>
      </c>
      <c r="B541" s="2">
        <f ca="1">IFERROR(__xludf.DUMMYFUNCTION("""COMPUTED_VALUE"""),48.81)</f>
        <v>48.81</v>
      </c>
      <c r="C541" s="3">
        <v>61.495327566286903</v>
      </c>
    </row>
    <row r="542" spans="1:3" ht="13" x14ac:dyDescent="0.15">
      <c r="A542" s="1">
        <f ca="1">IFERROR(__xludf.DUMMYFUNCTION("""COMPUTED_VALUE"""),43944.6666666666)</f>
        <v>43944.666666666599</v>
      </c>
      <c r="B542" s="2">
        <f ca="1">IFERROR(__xludf.DUMMYFUNCTION("""COMPUTED_VALUE"""),47.04)</f>
        <v>47.04</v>
      </c>
      <c r="C542" s="3">
        <v>61.1529391947875</v>
      </c>
    </row>
    <row r="543" spans="1:3" ht="13" x14ac:dyDescent="0.15">
      <c r="A543" s="1">
        <f ca="1">IFERROR(__xludf.DUMMYFUNCTION("""COMPUTED_VALUE"""),43945.6666666666)</f>
        <v>43945.666666666599</v>
      </c>
      <c r="B543" s="2">
        <f ca="1">IFERROR(__xludf.DUMMYFUNCTION("""COMPUTED_VALUE"""),48.34)</f>
        <v>48.34</v>
      </c>
      <c r="C543" s="3">
        <v>60.6775682183751</v>
      </c>
    </row>
    <row r="544" spans="1:3" ht="13" x14ac:dyDescent="0.15">
      <c r="A544" s="1">
        <f ca="1">IFERROR(__xludf.DUMMYFUNCTION("""COMPUTED_VALUE"""),43948.6666666666)</f>
        <v>43948.666666666599</v>
      </c>
      <c r="B544" s="2">
        <f ca="1">IFERROR(__xludf.DUMMYFUNCTION("""COMPUTED_VALUE"""),53.25)</f>
        <v>53.25</v>
      </c>
      <c r="C544" s="3">
        <v>62.095274592653503</v>
      </c>
    </row>
    <row r="545" spans="1:3" ht="13" x14ac:dyDescent="0.15">
      <c r="A545" s="1">
        <f ca="1">IFERROR(__xludf.DUMMYFUNCTION("""COMPUTED_VALUE"""),43949.6666666666)</f>
        <v>43949.666666666599</v>
      </c>
      <c r="B545" s="2">
        <f ca="1">IFERROR(__xludf.DUMMYFUNCTION("""COMPUTED_VALUE"""),51.27)</f>
        <v>51.27</v>
      </c>
      <c r="C545" s="3">
        <v>60.779539782527799</v>
      </c>
    </row>
    <row r="546" spans="1:3" ht="13" x14ac:dyDescent="0.15">
      <c r="A546" s="1">
        <f ca="1">IFERROR(__xludf.DUMMYFUNCTION("""COMPUTED_VALUE"""),43950.6666666666)</f>
        <v>43950.666666666599</v>
      </c>
      <c r="B546" s="2">
        <f ca="1">IFERROR(__xludf.DUMMYFUNCTION("""COMPUTED_VALUE"""),53.37)</f>
        <v>53.37</v>
      </c>
      <c r="C546" s="3">
        <v>60.445167817438602</v>
      </c>
    </row>
    <row r="547" spans="1:3" ht="13" x14ac:dyDescent="0.15">
      <c r="A547" s="1">
        <f ca="1">IFERROR(__xludf.DUMMYFUNCTION("""COMPUTED_VALUE"""),43951.6666666666)</f>
        <v>43951.666666666599</v>
      </c>
      <c r="B547" s="2">
        <f ca="1">IFERROR(__xludf.DUMMYFUNCTION("""COMPUTED_VALUE"""),52.13)</f>
        <v>52.13</v>
      </c>
      <c r="C547" s="3">
        <v>59.451107134481802</v>
      </c>
    </row>
    <row r="548" spans="1:3" ht="13" x14ac:dyDescent="0.15">
      <c r="A548" s="1">
        <f ca="1">IFERROR(__xludf.DUMMYFUNCTION("""COMPUTED_VALUE"""),43952.6666666666)</f>
        <v>43952.666666666599</v>
      </c>
      <c r="B548" s="2">
        <f ca="1">IFERROR(__xludf.DUMMYFUNCTION("""COMPUTED_VALUE"""),46.75)</f>
        <v>46.75</v>
      </c>
      <c r="C548" s="3">
        <v>58.309666269936898</v>
      </c>
    </row>
    <row r="549" spans="1:3" ht="13" x14ac:dyDescent="0.15">
      <c r="A549" s="1">
        <f ca="1">IFERROR(__xludf.DUMMYFUNCTION("""COMPUTED_VALUE"""),43955.6666666666)</f>
        <v>43955.666666666599</v>
      </c>
      <c r="B549" s="2">
        <f ca="1">IFERROR(__xludf.DUMMYFUNCTION("""COMPUTED_VALUE"""),50.75)</f>
        <v>50.75</v>
      </c>
      <c r="C549" s="3">
        <v>57.797304064162603</v>
      </c>
    </row>
    <row r="550" spans="1:3" ht="13" x14ac:dyDescent="0.15">
      <c r="A550" s="1">
        <f ca="1">IFERROR(__xludf.DUMMYFUNCTION("""COMPUTED_VALUE"""),43956.6666666666)</f>
        <v>43956.666666666599</v>
      </c>
      <c r="B550" s="2">
        <f ca="1">IFERROR(__xludf.DUMMYFUNCTION("""COMPUTED_VALUE"""),51.21)</f>
        <v>51.21</v>
      </c>
      <c r="C550" s="3">
        <v>55.914863326204802</v>
      </c>
    </row>
    <row r="551" spans="1:3" ht="13" x14ac:dyDescent="0.15">
      <c r="A551" s="1">
        <f ca="1">IFERROR(__xludf.DUMMYFUNCTION("""COMPUTED_VALUE"""),43957.6666666666)</f>
        <v>43957.666666666599</v>
      </c>
      <c r="B551" s="2">
        <f ca="1">IFERROR(__xludf.DUMMYFUNCTION("""COMPUTED_VALUE"""),52.17)</f>
        <v>52.17</v>
      </c>
      <c r="C551" s="3">
        <v>55.078566495409397</v>
      </c>
    </row>
    <row r="552" spans="1:3" ht="13" x14ac:dyDescent="0.15">
      <c r="A552" s="1">
        <f ca="1">IFERROR(__xludf.DUMMYFUNCTION("""COMPUTED_VALUE"""),43958.6666666666)</f>
        <v>43958.666666666599</v>
      </c>
      <c r="B552" s="2">
        <f ca="1">IFERROR(__xludf.DUMMYFUNCTION("""COMPUTED_VALUE"""),52)</f>
        <v>52</v>
      </c>
      <c r="C552" s="3">
        <v>53.661895123801997</v>
      </c>
    </row>
    <row r="553" spans="1:3" ht="13" x14ac:dyDescent="0.15">
      <c r="A553" s="1">
        <f ca="1">IFERROR(__xludf.DUMMYFUNCTION("""COMPUTED_VALUE"""),43959.6666666666)</f>
        <v>43959.666666666599</v>
      </c>
      <c r="B553" s="2">
        <f ca="1">IFERROR(__xludf.DUMMYFUNCTION("""COMPUTED_VALUE"""),54.63)</f>
        <v>54.63</v>
      </c>
      <c r="C553" s="3">
        <v>52.190146829830198</v>
      </c>
    </row>
    <row r="554" spans="1:3" ht="13" x14ac:dyDescent="0.15">
      <c r="A554" s="1">
        <f ca="1">IFERROR(__xludf.DUMMYFUNCTION("""COMPUTED_VALUE"""),43962.6666666666)</f>
        <v>43962.666666666599</v>
      </c>
      <c r="B554" s="2">
        <f ca="1">IFERROR(__xludf.DUMMYFUNCTION("""COMPUTED_VALUE"""),54.09)</f>
        <v>54.09</v>
      </c>
      <c r="C554" s="3">
        <v>51.3391514147268</v>
      </c>
    </row>
    <row r="555" spans="1:3" ht="13" x14ac:dyDescent="0.15">
      <c r="A555" s="1">
        <f ca="1">IFERROR(__xludf.DUMMYFUNCTION("""COMPUTED_VALUE"""),43963.6666666666)</f>
        <v>43963.666666666599</v>
      </c>
      <c r="B555" s="2">
        <f ca="1">IFERROR(__xludf.DUMMYFUNCTION("""COMPUTED_VALUE"""),53.96)</f>
        <v>53.96</v>
      </c>
      <c r="C555" s="3">
        <v>49.581435402600697</v>
      </c>
    </row>
    <row r="556" spans="1:3" ht="13" x14ac:dyDescent="0.15">
      <c r="A556" s="1">
        <f ca="1">IFERROR(__xludf.DUMMYFUNCTION("""COMPUTED_VALUE"""),43964.6666666666)</f>
        <v>43964.666666666599</v>
      </c>
      <c r="B556" s="2">
        <f ca="1">IFERROR(__xludf.DUMMYFUNCTION("""COMPUTED_VALUE"""),52.73)</f>
        <v>52.73</v>
      </c>
      <c r="C556" s="3">
        <v>48.991682121388202</v>
      </c>
    </row>
    <row r="557" spans="1:3" ht="13" x14ac:dyDescent="0.15">
      <c r="A557" s="1">
        <f ca="1">IFERROR(__xludf.DUMMYFUNCTION("""COMPUTED_VALUE"""),43965.6666666666)</f>
        <v>43965.666666666599</v>
      </c>
      <c r="B557" s="2">
        <f ca="1">IFERROR(__xludf.DUMMYFUNCTION("""COMPUTED_VALUE"""),53.56)</f>
        <v>53.56</v>
      </c>
      <c r="C557" s="3">
        <v>47.940726640732699</v>
      </c>
    </row>
    <row r="558" spans="1:3" ht="13" x14ac:dyDescent="0.15">
      <c r="A558" s="1">
        <f ca="1">IFERROR(__xludf.DUMMYFUNCTION("""COMPUTED_VALUE"""),43966.6666666666)</f>
        <v>43966.666666666599</v>
      </c>
      <c r="B558" s="2">
        <f ca="1">IFERROR(__xludf.DUMMYFUNCTION("""COMPUTED_VALUE"""),53.28)</f>
        <v>53.28</v>
      </c>
      <c r="C558" s="3">
        <v>46.948266692921102</v>
      </c>
    </row>
    <row r="559" spans="1:3" ht="13" x14ac:dyDescent="0.15">
      <c r="A559" s="1">
        <f ca="1">IFERROR(__xludf.DUMMYFUNCTION("""COMPUTED_VALUE"""),43969.6666666666)</f>
        <v>43969.666666666599</v>
      </c>
      <c r="B559" s="2">
        <f ca="1">IFERROR(__xludf.DUMMYFUNCTION("""COMPUTED_VALUE"""),54.24)</f>
        <v>54.24</v>
      </c>
      <c r="C559" s="3">
        <v>48.119545878454403</v>
      </c>
    </row>
    <row r="560" spans="1:3" ht="13" x14ac:dyDescent="0.15">
      <c r="A560" s="1">
        <f ca="1">IFERROR(__xludf.DUMMYFUNCTION("""COMPUTED_VALUE"""),43970.6666666666)</f>
        <v>43970.666666666599</v>
      </c>
      <c r="B560" s="2">
        <f ca="1">IFERROR(__xludf.DUMMYFUNCTION("""COMPUTED_VALUE"""),53.87)</f>
        <v>53.87</v>
      </c>
      <c r="C560" s="3">
        <v>47.186536124697497</v>
      </c>
    </row>
    <row r="561" spans="1:3" ht="13" x14ac:dyDescent="0.15">
      <c r="A561" s="1">
        <f ca="1">IFERROR(__xludf.DUMMYFUNCTION("""COMPUTED_VALUE"""),43971.6666666666)</f>
        <v>43971.666666666599</v>
      </c>
      <c r="B561" s="2">
        <f ca="1">IFERROR(__xludf.DUMMYFUNCTION("""COMPUTED_VALUE"""),54.37)</f>
        <v>54.37</v>
      </c>
      <c r="C561" s="3">
        <v>47.470013983211501</v>
      </c>
    </row>
    <row r="562" spans="1:3" ht="13" x14ac:dyDescent="0.15">
      <c r="A562" s="1">
        <f ca="1">IFERROR(__xludf.DUMMYFUNCTION("""COMPUTED_VALUE"""),43972.6666666666)</f>
        <v>43972.666666666599</v>
      </c>
      <c r="B562" s="2">
        <f ca="1">IFERROR(__xludf.DUMMYFUNCTION("""COMPUTED_VALUE"""),55.17)</f>
        <v>55.17</v>
      </c>
      <c r="C562" s="3">
        <v>47.322827755607499</v>
      </c>
    </row>
    <row r="563" spans="1:3" ht="13" x14ac:dyDescent="0.15">
      <c r="A563" s="1">
        <f ca="1">IFERROR(__xludf.DUMMYFUNCTION("""COMPUTED_VALUE"""),43973.6666666666)</f>
        <v>43973.666666666599</v>
      </c>
      <c r="B563" s="2">
        <f ca="1">IFERROR(__xludf.DUMMYFUNCTION("""COMPUTED_VALUE"""),54.46)</f>
        <v>54.46</v>
      </c>
      <c r="C563" s="3">
        <v>47.246080213856303</v>
      </c>
    </row>
    <row r="564" spans="1:3" ht="13" x14ac:dyDescent="0.15">
      <c r="A564" s="1">
        <f ca="1">IFERROR(__xludf.DUMMYFUNCTION("""COMPUTED_VALUE"""),43977.6666666666)</f>
        <v>43977.666666666599</v>
      </c>
      <c r="B564" s="2">
        <f ca="1">IFERROR(__xludf.DUMMYFUNCTION("""COMPUTED_VALUE"""),54.59)</f>
        <v>54.59</v>
      </c>
      <c r="C564" s="3">
        <v>50.9017428059894</v>
      </c>
    </row>
    <row r="565" spans="1:3" ht="13" x14ac:dyDescent="0.15">
      <c r="A565" s="1">
        <f ca="1">IFERROR(__xludf.DUMMYFUNCTION("""COMPUTED_VALUE"""),43978.6666666666)</f>
        <v>43978.666666666599</v>
      </c>
      <c r="B565" s="2">
        <f ca="1">IFERROR(__xludf.DUMMYFUNCTION("""COMPUTED_VALUE"""),54.68)</f>
        <v>54.68</v>
      </c>
      <c r="C565" s="3">
        <v>51.895581952375501</v>
      </c>
    </row>
    <row r="566" spans="1:3" ht="13" x14ac:dyDescent="0.15">
      <c r="A566" s="1">
        <f ca="1">IFERROR(__xludf.DUMMYFUNCTION("""COMPUTED_VALUE"""),43979.6666666666)</f>
        <v>43979.666666666599</v>
      </c>
      <c r="B566" s="2">
        <f ca="1">IFERROR(__xludf.DUMMYFUNCTION("""COMPUTED_VALUE"""),53.72)</f>
        <v>53.72</v>
      </c>
      <c r="C566" s="3">
        <v>52.4004031496058</v>
      </c>
    </row>
    <row r="567" spans="1:3" ht="13" x14ac:dyDescent="0.15">
      <c r="A567" s="1">
        <f ca="1">IFERROR(__xludf.DUMMYFUNCTION("""COMPUTED_VALUE"""),43980.6666666666)</f>
        <v>43980.666666666599</v>
      </c>
      <c r="B567" s="2">
        <f ca="1">IFERROR(__xludf.DUMMYFUNCTION("""COMPUTED_VALUE"""),55.67)</f>
        <v>55.67</v>
      </c>
      <c r="C567" s="3">
        <v>52.881353651858397</v>
      </c>
    </row>
    <row r="568" spans="1:3" ht="13" x14ac:dyDescent="0.15">
      <c r="A568" s="1">
        <f ca="1">IFERROR(__xludf.DUMMYFUNCTION("""COMPUTED_VALUE"""),43983.6666666666)</f>
        <v>43983.666666666599</v>
      </c>
      <c r="B568" s="2">
        <f ca="1">IFERROR(__xludf.DUMMYFUNCTION("""COMPUTED_VALUE"""),59.87)</f>
        <v>59.87</v>
      </c>
      <c r="C568" s="3">
        <v>57.739901486328101</v>
      </c>
    </row>
    <row r="569" spans="1:3" ht="13" x14ac:dyDescent="0.15">
      <c r="A569" s="1">
        <f ca="1">IFERROR(__xludf.DUMMYFUNCTION("""COMPUTED_VALUE"""),43984.6666666666)</f>
        <v>43984.666666666599</v>
      </c>
      <c r="B569" s="2">
        <f ca="1">IFERROR(__xludf.DUMMYFUNCTION("""COMPUTED_VALUE"""),58.77)</f>
        <v>58.77</v>
      </c>
      <c r="C569" s="3">
        <v>57.730570147446699</v>
      </c>
    </row>
    <row r="570" spans="1:3" ht="13" x14ac:dyDescent="0.15">
      <c r="A570" s="1">
        <f ca="1">IFERROR(__xludf.DUMMYFUNCTION("""COMPUTED_VALUE"""),43985.6666666666)</f>
        <v>43985.666666666599</v>
      </c>
      <c r="B570" s="2">
        <f ca="1">IFERROR(__xludf.DUMMYFUNCTION("""COMPUTED_VALUE"""),58.86)</f>
        <v>58.86</v>
      </c>
      <c r="C570" s="3">
        <v>58.765293916731203</v>
      </c>
    </row>
    <row r="571" spans="1:3" ht="13" x14ac:dyDescent="0.15">
      <c r="A571" s="1">
        <f ca="1">IFERROR(__xludf.DUMMYFUNCTION("""COMPUTED_VALUE"""),43986.6666666666)</f>
        <v>43986.666666666599</v>
      </c>
      <c r="B571" s="2">
        <f ca="1">IFERROR(__xludf.DUMMYFUNCTION("""COMPUTED_VALUE"""),57.63)</f>
        <v>57.63</v>
      </c>
      <c r="C571" s="3">
        <v>59.192162958399202</v>
      </c>
    </row>
    <row r="572" spans="1:3" ht="13" x14ac:dyDescent="0.15">
      <c r="A572" s="1">
        <f ca="1">IFERROR(__xludf.DUMMYFUNCTION("""COMPUTED_VALUE"""),43987.6666666666)</f>
        <v>43987.666666666599</v>
      </c>
      <c r="B572" s="2">
        <f ca="1">IFERROR(__xludf.DUMMYFUNCTION("""COMPUTED_VALUE"""),59.04)</f>
        <v>59.04</v>
      </c>
      <c r="C572" s="3">
        <v>59.512377016461897</v>
      </c>
    </row>
    <row r="573" spans="1:3" ht="13" x14ac:dyDescent="0.15">
      <c r="A573" s="1">
        <f ca="1">IFERROR(__xludf.DUMMYFUNCTION("""COMPUTED_VALUE"""),43990.6666666666)</f>
        <v>43990.666666666599</v>
      </c>
      <c r="B573" s="2">
        <f ca="1">IFERROR(__xludf.DUMMYFUNCTION("""COMPUTED_VALUE"""),63.33)</f>
        <v>63.33</v>
      </c>
      <c r="C573" s="3">
        <v>63.517309268329697</v>
      </c>
    </row>
    <row r="574" spans="1:3" ht="13" x14ac:dyDescent="0.15">
      <c r="A574" s="1">
        <f ca="1">IFERROR(__xludf.DUMMYFUNCTION("""COMPUTED_VALUE"""),43991.6666666666)</f>
        <v>43991.666666666599</v>
      </c>
      <c r="B574" s="2">
        <f ca="1">IFERROR(__xludf.DUMMYFUNCTION("""COMPUTED_VALUE"""),62.71)</f>
        <v>62.71</v>
      </c>
      <c r="C574" s="3">
        <v>63.148052951121997</v>
      </c>
    </row>
    <row r="575" spans="1:3" ht="13" x14ac:dyDescent="0.15">
      <c r="A575" s="1">
        <f ca="1">IFERROR(__xludf.DUMMYFUNCTION("""COMPUTED_VALUE"""),43992.6666666666)</f>
        <v>43992.666666666599</v>
      </c>
      <c r="B575" s="2">
        <f ca="1">IFERROR(__xludf.DUMMYFUNCTION("""COMPUTED_VALUE"""),68.34)</f>
        <v>68.34</v>
      </c>
      <c r="C575" s="3">
        <v>63.811104765883798</v>
      </c>
    </row>
    <row r="576" spans="1:3" ht="13" x14ac:dyDescent="0.15">
      <c r="A576" s="1">
        <f ca="1">IFERROR(__xludf.DUMMYFUNCTION("""COMPUTED_VALUE"""),43993.6666666666)</f>
        <v>43993.666666666599</v>
      </c>
      <c r="B576" s="2">
        <f ca="1">IFERROR(__xludf.DUMMYFUNCTION("""COMPUTED_VALUE"""),64.86)</f>
        <v>64.86</v>
      </c>
      <c r="C576" s="3">
        <v>63.870169861378997</v>
      </c>
    </row>
    <row r="577" spans="1:3" ht="13" x14ac:dyDescent="0.15">
      <c r="A577" s="1">
        <f ca="1">IFERROR(__xludf.DUMMYFUNCTION("""COMPUTED_VALUE"""),43994.6666666666)</f>
        <v>43994.666666666599</v>
      </c>
      <c r="B577" s="2">
        <f ca="1">IFERROR(__xludf.DUMMYFUNCTION("""COMPUTED_VALUE"""),62.35)</f>
        <v>62.35</v>
      </c>
      <c r="C577" s="3">
        <v>63.841435661383102</v>
      </c>
    </row>
    <row r="578" spans="1:3" ht="13" x14ac:dyDescent="0.15">
      <c r="A578" s="1">
        <f ca="1">IFERROR(__xludf.DUMMYFUNCTION("""COMPUTED_VALUE"""),43997.6666666666)</f>
        <v>43997.666666666599</v>
      </c>
      <c r="B578" s="2">
        <f ca="1">IFERROR(__xludf.DUMMYFUNCTION("""COMPUTED_VALUE"""),66.06)</f>
        <v>66.06</v>
      </c>
      <c r="C578" s="3">
        <v>67.044110623319298</v>
      </c>
    </row>
    <row r="579" spans="1:3" ht="13" x14ac:dyDescent="0.15">
      <c r="A579" s="1">
        <f ca="1">IFERROR(__xludf.DUMMYFUNCTION("""COMPUTED_VALUE"""),43998.6666666666)</f>
        <v>43998.666666666599</v>
      </c>
      <c r="B579" s="2">
        <f ca="1">IFERROR(__xludf.DUMMYFUNCTION("""COMPUTED_VALUE"""),65.48)</f>
        <v>65.48</v>
      </c>
      <c r="C579" s="3">
        <v>66.524055525994598</v>
      </c>
    </row>
    <row r="580" spans="1:3" ht="13" x14ac:dyDescent="0.15">
      <c r="A580" s="1">
        <f ca="1">IFERROR(__xludf.DUMMYFUNCTION("""COMPUTED_VALUE"""),43999.6666666666)</f>
        <v>43999.666666666599</v>
      </c>
      <c r="B580" s="2">
        <f ca="1">IFERROR(__xludf.DUMMYFUNCTION("""COMPUTED_VALUE"""),66.12)</f>
        <v>66.12</v>
      </c>
      <c r="C580" s="3">
        <v>67.106782035956797</v>
      </c>
    </row>
    <row r="581" spans="1:3" ht="13" x14ac:dyDescent="0.15">
      <c r="A581" s="1">
        <f ca="1">IFERROR(__xludf.DUMMYFUNCTION("""COMPUTED_VALUE"""),44000.6666666666)</f>
        <v>44000.666666666599</v>
      </c>
      <c r="B581" s="2">
        <f ca="1">IFERROR(__xludf.DUMMYFUNCTION("""COMPUTED_VALUE"""),66.93)</f>
        <v>66.930000000000007</v>
      </c>
      <c r="C581" s="3">
        <v>67.159646985200794</v>
      </c>
    </row>
    <row r="582" spans="1:3" ht="13" x14ac:dyDescent="0.15">
      <c r="A582" s="1">
        <f ca="1">IFERROR(__xludf.DUMMYFUNCTION("""COMPUTED_VALUE"""),44001.6666666666)</f>
        <v>44001.666666666599</v>
      </c>
      <c r="B582" s="2">
        <f ca="1">IFERROR(__xludf.DUMMYFUNCTION("""COMPUTED_VALUE"""),66.73)</f>
        <v>66.73</v>
      </c>
      <c r="C582" s="3">
        <v>67.199923840056698</v>
      </c>
    </row>
    <row r="583" spans="1:3" ht="13" x14ac:dyDescent="0.15">
      <c r="A583" s="1">
        <f ca="1">IFERROR(__xludf.DUMMYFUNCTION("""COMPUTED_VALUE"""),44004.6666666666)</f>
        <v>44004.666666666599</v>
      </c>
      <c r="B583" s="2">
        <f ca="1">IFERROR(__xludf.DUMMYFUNCTION("""COMPUTED_VALUE"""),66.29)</f>
        <v>66.290000000000006</v>
      </c>
      <c r="C583" s="3">
        <v>71.034052630959295</v>
      </c>
    </row>
    <row r="584" spans="1:3" ht="13" x14ac:dyDescent="0.15">
      <c r="A584" s="1">
        <f ca="1">IFERROR(__xludf.DUMMYFUNCTION("""COMPUTED_VALUE"""),44005.6666666666)</f>
        <v>44005.666666666599</v>
      </c>
      <c r="B584" s="2">
        <f ca="1">IFERROR(__xludf.DUMMYFUNCTION("""COMPUTED_VALUE"""),66.79)</f>
        <v>66.790000000000006</v>
      </c>
      <c r="C584" s="3">
        <v>70.845419830468899</v>
      </c>
    </row>
    <row r="585" spans="1:3" ht="13" x14ac:dyDescent="0.15">
      <c r="A585" s="1">
        <f ca="1">IFERROR(__xludf.DUMMYFUNCTION("""COMPUTED_VALUE"""),44006.6666666666)</f>
        <v>44006.666666666599</v>
      </c>
      <c r="B585" s="2">
        <f ca="1">IFERROR(__xludf.DUMMYFUNCTION("""COMPUTED_VALUE"""),64.06)</f>
        <v>64.06</v>
      </c>
      <c r="C585" s="3">
        <v>71.804797275943699</v>
      </c>
    </row>
    <row r="586" spans="1:3" ht="13" x14ac:dyDescent="0.15">
      <c r="A586" s="1">
        <f ca="1">IFERROR(__xludf.DUMMYFUNCTION("""COMPUTED_VALUE"""),44007.6666666666)</f>
        <v>44007.666666666599</v>
      </c>
      <c r="B586" s="2">
        <f ca="1">IFERROR(__xludf.DUMMYFUNCTION("""COMPUTED_VALUE"""),65.73)</f>
        <v>65.73</v>
      </c>
      <c r="C586" s="3">
        <v>72.268076846727098</v>
      </c>
    </row>
    <row r="587" spans="1:3" ht="13" x14ac:dyDescent="0.15">
      <c r="A587" s="1">
        <f ca="1">IFERROR(__xludf.DUMMYFUNCTION("""COMPUTED_VALUE"""),44008.6666666666)</f>
        <v>44008.666666666599</v>
      </c>
      <c r="B587" s="2">
        <f ca="1">IFERROR(__xludf.DUMMYFUNCTION("""COMPUTED_VALUE"""),63.98)</f>
        <v>63.98</v>
      </c>
      <c r="C587" s="3">
        <v>72.740050269712796</v>
      </c>
    </row>
    <row r="588" spans="1:3" ht="13" x14ac:dyDescent="0.15">
      <c r="A588" s="1">
        <f ca="1">IFERROR(__xludf.DUMMYFUNCTION("""COMPUTED_VALUE"""),44011.6666666666)</f>
        <v>44011.666666666599</v>
      </c>
      <c r="B588" s="2">
        <f ca="1">IFERROR(__xludf.DUMMYFUNCTION("""COMPUTED_VALUE"""),67.29)</f>
        <v>67.290000000000006</v>
      </c>
      <c r="C588" s="3">
        <v>77.865838058185005</v>
      </c>
    </row>
    <row r="589" spans="1:3" ht="13" x14ac:dyDescent="0.15">
      <c r="A589" s="1">
        <f ca="1">IFERROR(__xludf.DUMMYFUNCTION("""COMPUTED_VALUE"""),44012.6666666666)</f>
        <v>44012.666666666599</v>
      </c>
      <c r="B589" s="2">
        <f ca="1">IFERROR(__xludf.DUMMYFUNCTION("""COMPUTED_VALUE"""),71.99)</f>
        <v>71.989999999999995</v>
      </c>
      <c r="C589" s="3">
        <v>78.063854245897602</v>
      </c>
    </row>
    <row r="590" spans="1:3" ht="13" x14ac:dyDescent="0.15">
      <c r="A590" s="1">
        <f ca="1">IFERROR(__xludf.DUMMYFUNCTION("""COMPUTED_VALUE"""),44013.6666666666)</f>
        <v>44013.666666666599</v>
      </c>
      <c r="B590" s="2">
        <f ca="1">IFERROR(__xludf.DUMMYFUNCTION("""COMPUTED_VALUE"""),74.64)</f>
        <v>74.64</v>
      </c>
      <c r="C590" s="3">
        <v>79.368496705341997</v>
      </c>
    </row>
    <row r="591" spans="1:3" ht="13" x14ac:dyDescent="0.15">
      <c r="A591" s="1">
        <f ca="1">IFERROR(__xludf.DUMMYFUNCTION("""COMPUTED_VALUE"""),44014.6666666666)</f>
        <v>44014.666666666599</v>
      </c>
      <c r="B591" s="2">
        <f ca="1">IFERROR(__xludf.DUMMYFUNCTION("""COMPUTED_VALUE"""),80.58)</f>
        <v>80.58</v>
      </c>
      <c r="C591" s="3">
        <v>80.125974296109803</v>
      </c>
    </row>
    <row r="592" spans="1:3" ht="13" x14ac:dyDescent="0.15">
      <c r="A592" s="1">
        <f ca="1">IFERROR(__xludf.DUMMYFUNCTION("""COMPUTED_VALUE"""),44018.6666666666)</f>
        <v>44018.666666666599</v>
      </c>
      <c r="B592" s="2">
        <f ca="1">IFERROR(__xludf.DUMMYFUNCTION("""COMPUTED_VALUE"""),91.44)</f>
        <v>91.44</v>
      </c>
      <c r="C592" s="3">
        <v>86.263098605545096</v>
      </c>
    </row>
    <row r="593" spans="1:3" ht="13" x14ac:dyDescent="0.15">
      <c r="A593" s="1">
        <f ca="1">IFERROR(__xludf.DUMMYFUNCTION("""COMPUTED_VALUE"""),44019.6666666666)</f>
        <v>44019.666666666599</v>
      </c>
      <c r="B593" s="2">
        <f ca="1">IFERROR(__xludf.DUMMYFUNCTION("""COMPUTED_VALUE"""),92.66)</f>
        <v>92.66</v>
      </c>
      <c r="C593" s="3">
        <v>86.424169973114303</v>
      </c>
    </row>
    <row r="594" spans="1:3" ht="13" x14ac:dyDescent="0.15">
      <c r="A594" s="1">
        <f ca="1">IFERROR(__xludf.DUMMYFUNCTION("""COMPUTED_VALUE"""),44020.6666666666)</f>
        <v>44020.666666666599</v>
      </c>
      <c r="B594" s="2">
        <f ca="1">IFERROR(__xludf.DUMMYFUNCTION("""COMPUTED_VALUE"""),91.06)</f>
        <v>91.06</v>
      </c>
      <c r="C594" s="3">
        <v>87.626286546771098</v>
      </c>
    </row>
    <row r="595" spans="1:3" ht="13" x14ac:dyDescent="0.15">
      <c r="A595" s="1">
        <f ca="1">IFERROR(__xludf.DUMMYFUNCTION("""COMPUTED_VALUE"""),44021.6666666666)</f>
        <v>44021.666666666599</v>
      </c>
      <c r="B595" s="2">
        <f ca="1">IFERROR(__xludf.DUMMYFUNCTION("""COMPUTED_VALUE"""),92.95)</f>
        <v>92.95</v>
      </c>
      <c r="C595" s="3">
        <v>88.221156259834601</v>
      </c>
    </row>
    <row r="596" spans="1:3" ht="13" x14ac:dyDescent="0.15">
      <c r="A596" s="1">
        <f ca="1">IFERROR(__xludf.DUMMYFUNCTION("""COMPUTED_VALUE"""),44022.6666666666)</f>
        <v>44022.666666666599</v>
      </c>
      <c r="B596" s="2">
        <f ca="1">IFERROR(__xludf.DUMMYFUNCTION("""COMPUTED_VALUE"""),102.98)</f>
        <v>102.98</v>
      </c>
      <c r="C596" s="3">
        <v>88.713161729574296</v>
      </c>
    </row>
    <row r="597" spans="1:3" ht="13" x14ac:dyDescent="0.15">
      <c r="A597" s="1">
        <f ca="1">IFERROR(__xludf.DUMMYFUNCTION("""COMPUTED_VALUE"""),44025.6666666666)</f>
        <v>44025.666666666599</v>
      </c>
      <c r="B597" s="2">
        <f ca="1">IFERROR(__xludf.DUMMYFUNCTION("""COMPUTED_VALUE"""),99.8)</f>
        <v>99.8</v>
      </c>
      <c r="C597" s="3">
        <v>93.281245711089497</v>
      </c>
    </row>
    <row r="598" spans="1:3" ht="13" x14ac:dyDescent="0.15">
      <c r="A598" s="1">
        <f ca="1">IFERROR(__xludf.DUMMYFUNCTION("""COMPUTED_VALUE"""),44026.6666666666)</f>
        <v>44026.666666666599</v>
      </c>
      <c r="B598" s="2">
        <f ca="1">IFERROR(__xludf.DUMMYFUNCTION("""COMPUTED_VALUE"""),101.12)</f>
        <v>101.12</v>
      </c>
      <c r="C598" s="3">
        <v>93.121693362875604</v>
      </c>
    </row>
    <row r="599" spans="1:3" ht="13" x14ac:dyDescent="0.15">
      <c r="A599" s="1">
        <f ca="1">IFERROR(__xludf.DUMMYFUNCTION("""COMPUTED_VALUE"""),44027.6666666666)</f>
        <v>44027.666666666599</v>
      </c>
      <c r="B599" s="2">
        <f ca="1">IFERROR(__xludf.DUMMYFUNCTION("""COMPUTED_VALUE"""),103.07)</f>
        <v>103.07</v>
      </c>
      <c r="C599" s="3">
        <v>94.007352474060099</v>
      </c>
    </row>
    <row r="600" spans="1:3" ht="13" x14ac:dyDescent="0.15">
      <c r="A600" s="1">
        <f ca="1">IFERROR(__xludf.DUMMYFUNCTION("""COMPUTED_VALUE"""),44028.6666666666)</f>
        <v>44028.666666666599</v>
      </c>
      <c r="B600" s="2">
        <f ca="1">IFERROR(__xludf.DUMMYFUNCTION("""COMPUTED_VALUE"""),100.04)</f>
        <v>100.04</v>
      </c>
      <c r="C600" s="3">
        <v>94.302429062800499</v>
      </c>
    </row>
    <row r="601" spans="1:3" ht="13" x14ac:dyDescent="0.15">
      <c r="A601" s="1">
        <f ca="1">IFERROR(__xludf.DUMMYFUNCTION("""COMPUTED_VALUE"""),44029.6666666666)</f>
        <v>44029.666666666599</v>
      </c>
      <c r="B601" s="2">
        <f ca="1">IFERROR(__xludf.DUMMYFUNCTION("""COMPUTED_VALUE"""),100.06)</f>
        <v>100.06</v>
      </c>
      <c r="C601" s="3">
        <v>94.523206573849606</v>
      </c>
    </row>
    <row r="602" spans="1:3" ht="13" x14ac:dyDescent="0.15">
      <c r="A602" s="1">
        <f ca="1">IFERROR(__xludf.DUMMYFUNCTION("""COMPUTED_VALUE"""),44032.6666666666)</f>
        <v>44032.666666666599</v>
      </c>
      <c r="B602" s="2">
        <f ca="1">IFERROR(__xludf.DUMMYFUNCTION("""COMPUTED_VALUE"""),109.53)</f>
        <v>109.53</v>
      </c>
      <c r="C602" s="3">
        <v>98.550764469068596</v>
      </c>
    </row>
    <row r="603" spans="1:3" ht="13" x14ac:dyDescent="0.15">
      <c r="A603" s="1">
        <f ca="1">IFERROR(__xludf.DUMMYFUNCTION("""COMPUTED_VALUE"""),44033.6666666666)</f>
        <v>44033.666666666599</v>
      </c>
      <c r="B603" s="2">
        <f ca="1">IFERROR(__xludf.DUMMYFUNCTION("""COMPUTED_VALUE"""),104.56)</f>
        <v>104.56</v>
      </c>
      <c r="C603" s="3">
        <v>98.327860180259904</v>
      </c>
    </row>
    <row r="604" spans="1:3" ht="13" x14ac:dyDescent="0.15">
      <c r="A604" s="1">
        <f ca="1">IFERROR(__xludf.DUMMYFUNCTION("""COMPUTED_VALUE"""),44034.6666666666)</f>
        <v>44034.666666666599</v>
      </c>
      <c r="B604" s="2">
        <f ca="1">IFERROR(__xludf.DUMMYFUNCTION("""COMPUTED_VALUE"""),106.16)</f>
        <v>106.16</v>
      </c>
      <c r="C604" s="3">
        <v>99.216431663663897</v>
      </c>
    </row>
    <row r="605" spans="1:3" ht="13" x14ac:dyDescent="0.15">
      <c r="A605" s="1">
        <f ca="1">IFERROR(__xludf.DUMMYFUNCTION("""COMPUTED_VALUE"""),44035.6666666666)</f>
        <v>44035.666666666599</v>
      </c>
      <c r="B605" s="2">
        <f ca="1">IFERROR(__xludf.DUMMYFUNCTION("""COMPUTED_VALUE"""),100.87)</f>
        <v>100.87</v>
      </c>
      <c r="C605" s="3">
        <v>99.581982261798302</v>
      </c>
    </row>
    <row r="606" spans="1:3" ht="13" x14ac:dyDescent="0.15">
      <c r="A606" s="1">
        <f ca="1">IFERROR(__xludf.DUMMYFUNCTION("""COMPUTED_VALUE"""),44036.6666666666)</f>
        <v>44036.666666666599</v>
      </c>
      <c r="B606" s="2">
        <f ca="1">IFERROR(__xludf.DUMMYFUNCTION("""COMPUTED_VALUE"""),94.47)</f>
        <v>94.47</v>
      </c>
      <c r="C606" s="3">
        <v>99.943132517556805</v>
      </c>
    </row>
    <row r="607" spans="1:3" ht="13" x14ac:dyDescent="0.15">
      <c r="A607" s="1">
        <f ca="1">IFERROR(__xludf.DUMMYFUNCTION("""COMPUTED_VALUE"""),44039.6666666666)</f>
        <v>44039.666666666599</v>
      </c>
      <c r="B607" s="2">
        <f ca="1">IFERROR(__xludf.DUMMYFUNCTION("""COMPUTED_VALUE"""),102.64)</f>
        <v>102.64</v>
      </c>
      <c r="C607" s="3">
        <v>104.744228423286</v>
      </c>
    </row>
    <row r="608" spans="1:3" ht="13" x14ac:dyDescent="0.15">
      <c r="A608" s="1">
        <f ca="1">IFERROR(__xludf.DUMMYFUNCTION("""COMPUTED_VALUE"""),44040.6666666666)</f>
        <v>44040.666666666599</v>
      </c>
      <c r="B608" s="2">
        <f ca="1">IFERROR(__xludf.DUMMYFUNCTION("""COMPUTED_VALUE"""),98.43)</f>
        <v>98.43</v>
      </c>
      <c r="C608" s="3">
        <v>104.870440699339</v>
      </c>
    </row>
    <row r="609" spans="1:3" ht="13" x14ac:dyDescent="0.15">
      <c r="A609" s="1">
        <f ca="1">IFERROR(__xludf.DUMMYFUNCTION("""COMPUTED_VALUE"""),44041.6666666666)</f>
        <v>44041.666666666599</v>
      </c>
      <c r="B609" s="2">
        <f ca="1">IFERROR(__xludf.DUMMYFUNCTION("""COMPUTED_VALUE"""),99.94)</f>
        <v>99.94</v>
      </c>
      <c r="C609" s="3">
        <v>106.136105726342</v>
      </c>
    </row>
    <row r="610" spans="1:3" ht="13" x14ac:dyDescent="0.15">
      <c r="A610" s="1">
        <f ca="1">IFERROR(__xludf.DUMMYFUNCTION("""COMPUTED_VALUE"""),44042.6666666666)</f>
        <v>44042.666666666599</v>
      </c>
      <c r="B610" s="2">
        <f ca="1">IFERROR(__xludf.DUMMYFUNCTION("""COMPUTED_VALUE"""),99.17)</f>
        <v>99.17</v>
      </c>
      <c r="C610" s="3">
        <v>106.89406777376701</v>
      </c>
    </row>
    <row r="611" spans="1:3" ht="13" x14ac:dyDescent="0.15">
      <c r="A611" s="1">
        <f ca="1">IFERROR(__xludf.DUMMYFUNCTION("""COMPUTED_VALUE"""),44043.6666666666)</f>
        <v>44043.666666666599</v>
      </c>
      <c r="B611" s="2">
        <f ca="1">IFERROR(__xludf.DUMMYFUNCTION("""COMPUTED_VALUE"""),95.38)</f>
        <v>95.38</v>
      </c>
      <c r="C611" s="3">
        <v>107.646009105017</v>
      </c>
    </row>
    <row r="612" spans="1:3" ht="13" x14ac:dyDescent="0.15">
      <c r="A612" s="1">
        <f ca="1">IFERROR(__xludf.DUMMYFUNCTION("""COMPUTED_VALUE"""),44046.6666666666)</f>
        <v>44046.666666666599</v>
      </c>
      <c r="B612" s="2">
        <f ca="1">IFERROR(__xludf.DUMMYFUNCTION("""COMPUTED_VALUE"""),99)</f>
        <v>99</v>
      </c>
      <c r="C612" s="3">
        <v>113.492127458998</v>
      </c>
    </row>
    <row r="613" spans="1:3" ht="13" x14ac:dyDescent="0.15">
      <c r="A613" s="1">
        <f ca="1">IFERROR(__xludf.DUMMYFUNCTION("""COMPUTED_VALUE"""),44047.6666666666)</f>
        <v>44047.666666666599</v>
      </c>
      <c r="B613" s="2">
        <f ca="1">IFERROR(__xludf.DUMMYFUNCTION("""COMPUTED_VALUE"""),99.13)</f>
        <v>99.13</v>
      </c>
      <c r="C613" s="3">
        <v>113.88017951096801</v>
      </c>
    </row>
    <row r="614" spans="1:3" ht="13" x14ac:dyDescent="0.15">
      <c r="A614" s="1">
        <f ca="1">IFERROR(__xludf.DUMMYFUNCTION("""COMPUTED_VALUE"""),44048.6666666666)</f>
        <v>44048.666666666599</v>
      </c>
      <c r="B614" s="2">
        <f ca="1">IFERROR(__xludf.DUMMYFUNCTION("""COMPUTED_VALUE"""),99)</f>
        <v>99</v>
      </c>
      <c r="C614" s="3">
        <v>115.344970997017</v>
      </c>
    </row>
    <row r="615" spans="1:3" ht="13" x14ac:dyDescent="0.15">
      <c r="A615" s="1">
        <f ca="1">IFERROR(__xludf.DUMMYFUNCTION("""COMPUTED_VALUE"""),44049.6666666666)</f>
        <v>44049.666666666599</v>
      </c>
      <c r="B615" s="2">
        <f ca="1">IFERROR(__xludf.DUMMYFUNCTION("""COMPUTED_VALUE"""),99.31)</f>
        <v>99.31</v>
      </c>
      <c r="C615" s="3">
        <v>116.230055541716</v>
      </c>
    </row>
    <row r="616" spans="1:3" ht="13" x14ac:dyDescent="0.15">
      <c r="A616" s="1">
        <f ca="1">IFERROR(__xludf.DUMMYFUNCTION("""COMPUTED_VALUE"""),44050.6666666666)</f>
        <v>44050.666666666599</v>
      </c>
      <c r="B616" s="2">
        <f ca="1">IFERROR(__xludf.DUMMYFUNCTION("""COMPUTED_VALUE"""),96.85)</f>
        <v>96.85</v>
      </c>
      <c r="C616" s="3">
        <v>117.029901067446</v>
      </c>
    </row>
    <row r="617" spans="1:3" ht="13" x14ac:dyDescent="0.15">
      <c r="A617" s="1">
        <f ca="1">IFERROR(__xludf.DUMMYFUNCTION("""COMPUTED_VALUE"""),44053.6666666666)</f>
        <v>44053.666666666599</v>
      </c>
      <c r="B617" s="2">
        <f ca="1">IFERROR(__xludf.DUMMYFUNCTION("""COMPUTED_VALUE"""),94.57)</f>
        <v>94.57</v>
      </c>
      <c r="C617" s="3">
        <v>122.508551093791</v>
      </c>
    </row>
    <row r="618" spans="1:3" ht="13" x14ac:dyDescent="0.15">
      <c r="A618" s="1">
        <f ca="1">IFERROR(__xludf.DUMMYFUNCTION("""COMPUTED_VALUE"""),44054.6666666666)</f>
        <v>44054.666666666599</v>
      </c>
      <c r="B618" s="2">
        <f ca="1">IFERROR(__xludf.DUMMYFUNCTION("""COMPUTED_VALUE"""),91.63)</f>
        <v>91.63</v>
      </c>
      <c r="C618" s="3">
        <v>122.60486493891401</v>
      </c>
    </row>
    <row r="619" spans="1:3" ht="13" x14ac:dyDescent="0.15">
      <c r="A619" s="1">
        <f ca="1">IFERROR(__xludf.DUMMYFUNCTION("""COMPUTED_VALUE"""),44055.6666666666)</f>
        <v>44055.666666666599</v>
      </c>
      <c r="B619" s="2">
        <f ca="1">IFERROR(__xludf.DUMMYFUNCTION("""COMPUTED_VALUE"""),103.65)</f>
        <v>103.65</v>
      </c>
      <c r="C619" s="3">
        <v>123.70054226740299</v>
      </c>
    </row>
    <row r="620" spans="1:3" ht="13" x14ac:dyDescent="0.15">
      <c r="A620" s="1">
        <f ca="1">IFERROR(__xludf.DUMMYFUNCTION("""COMPUTED_VALUE"""),44056.6666666666)</f>
        <v>44056.666666666599</v>
      </c>
      <c r="B620" s="2">
        <f ca="1">IFERROR(__xludf.DUMMYFUNCTION("""COMPUTED_VALUE"""),108.07)</f>
        <v>108.07</v>
      </c>
      <c r="C620" s="3">
        <v>124.14733042452001</v>
      </c>
    </row>
    <row r="621" spans="1:3" ht="13" x14ac:dyDescent="0.15">
      <c r="A621" s="1">
        <f ca="1">IFERROR(__xludf.DUMMYFUNCTION("""COMPUTED_VALUE"""),44057.6666666666)</f>
        <v>44057.666666666599</v>
      </c>
      <c r="B621" s="2">
        <f ca="1">IFERROR(__xludf.DUMMYFUNCTION("""COMPUTED_VALUE"""),110.05)</f>
        <v>110.05</v>
      </c>
      <c r="C621" s="3">
        <v>124.45019227333</v>
      </c>
    </row>
    <row r="622" spans="1:3" ht="13" x14ac:dyDescent="0.15">
      <c r="A622" s="1">
        <f ca="1">IFERROR(__xludf.DUMMYFUNCTION("""COMPUTED_VALUE"""),44060.6666666666)</f>
        <v>44060.666666666599</v>
      </c>
      <c r="B622" s="2">
        <f ca="1">IFERROR(__xludf.DUMMYFUNCTION("""COMPUTED_VALUE"""),122.38)</f>
        <v>122.38</v>
      </c>
      <c r="C622" s="3">
        <v>128.21868220681699</v>
      </c>
    </row>
    <row r="623" spans="1:3" ht="13" x14ac:dyDescent="0.15">
      <c r="A623" s="1">
        <f ca="1">IFERROR(__xludf.DUMMYFUNCTION("""COMPUTED_VALUE"""),44061.6666666666)</f>
        <v>44061.666666666599</v>
      </c>
      <c r="B623" s="2">
        <f ca="1">IFERROR(__xludf.DUMMYFUNCTION("""COMPUTED_VALUE"""),125.81)</f>
        <v>125.81</v>
      </c>
      <c r="C623" s="3">
        <v>127.72274070952101</v>
      </c>
    </row>
    <row r="624" spans="1:3" ht="13" x14ac:dyDescent="0.15">
      <c r="A624" s="1">
        <f ca="1">IFERROR(__xludf.DUMMYFUNCTION("""COMPUTED_VALUE"""),44062.6666666666)</f>
        <v>44062.666666666599</v>
      </c>
      <c r="B624" s="2">
        <f ca="1">IFERROR(__xludf.DUMMYFUNCTION("""COMPUTED_VALUE"""),125.24)</f>
        <v>125.24</v>
      </c>
      <c r="C624" s="3">
        <v>128.24217977849</v>
      </c>
    </row>
    <row r="625" spans="1:3" ht="13" x14ac:dyDescent="0.15">
      <c r="A625" s="1">
        <f ca="1">IFERROR(__xludf.DUMMYFUNCTION("""COMPUTED_VALUE"""),44063.6666666666)</f>
        <v>44063.666666666599</v>
      </c>
      <c r="B625" s="2">
        <f ca="1">IFERROR(__xludf.DUMMYFUNCTION("""COMPUTED_VALUE"""),133.46)</f>
        <v>133.46</v>
      </c>
      <c r="C625" s="3">
        <v>128.14498795407701</v>
      </c>
    </row>
    <row r="626" spans="1:3" ht="13" x14ac:dyDescent="0.15">
      <c r="A626" s="1">
        <f ca="1">IFERROR(__xludf.DUMMYFUNCTION("""COMPUTED_VALUE"""),44064.6666666666)</f>
        <v>44064.666666666599</v>
      </c>
      <c r="B626" s="2">
        <f ca="1">IFERROR(__xludf.DUMMYFUNCTION("""COMPUTED_VALUE"""),136.67)</f>
        <v>136.66999999999999</v>
      </c>
      <c r="C626" s="3">
        <v>127.951637231387</v>
      </c>
    </row>
    <row r="627" spans="1:3" ht="13" x14ac:dyDescent="0.15">
      <c r="A627" s="1">
        <f ca="1">IFERROR(__xludf.DUMMYFUNCTION("""COMPUTED_VALUE"""),44067.6666666666)</f>
        <v>44067.666666666599</v>
      </c>
      <c r="B627" s="2">
        <f ca="1">IFERROR(__xludf.DUMMYFUNCTION("""COMPUTED_VALUE"""),134.28)</f>
        <v>134.28</v>
      </c>
      <c r="C627" s="3">
        <v>130.65202048014601</v>
      </c>
    </row>
    <row r="628" spans="1:3" ht="13" x14ac:dyDescent="0.15">
      <c r="A628" s="1">
        <f ca="1">IFERROR(__xludf.DUMMYFUNCTION("""COMPUTED_VALUE"""),44068.6666666666)</f>
        <v>44068.666666666599</v>
      </c>
      <c r="B628" s="2">
        <f ca="1">IFERROR(__xludf.DUMMYFUNCTION("""COMPUTED_VALUE"""),134.89)</f>
        <v>134.88999999999999</v>
      </c>
      <c r="C628" s="3">
        <v>129.97476882037299</v>
      </c>
    </row>
    <row r="629" spans="1:3" ht="13" x14ac:dyDescent="0.15">
      <c r="A629" s="1">
        <f ca="1">IFERROR(__xludf.DUMMYFUNCTION("""COMPUTED_VALUE"""),44069.6666666666)</f>
        <v>44069.666666666599</v>
      </c>
      <c r="B629" s="2">
        <f ca="1">IFERROR(__xludf.DUMMYFUNCTION("""COMPUTED_VALUE"""),143.54)</f>
        <v>143.54</v>
      </c>
      <c r="C629" s="3">
        <v>130.41122874994301</v>
      </c>
    </row>
    <row r="630" spans="1:3" ht="13" x14ac:dyDescent="0.15">
      <c r="A630" s="1">
        <f ca="1">IFERROR(__xludf.DUMMYFUNCTION("""COMPUTED_VALUE"""),44070.6666666666)</f>
        <v>44070.666666666599</v>
      </c>
      <c r="B630" s="2">
        <f ca="1">IFERROR(__xludf.DUMMYFUNCTION("""COMPUTED_VALUE"""),149.25)</f>
        <v>149.25</v>
      </c>
      <c r="C630" s="3">
        <v>130.33162979263699</v>
      </c>
    </row>
    <row r="631" spans="1:3" ht="13" x14ac:dyDescent="0.15">
      <c r="A631" s="1">
        <f ca="1">IFERROR(__xludf.DUMMYFUNCTION("""COMPUTED_VALUE"""),44071.6666666666)</f>
        <v>44071.666666666599</v>
      </c>
      <c r="B631" s="2">
        <f ca="1">IFERROR(__xludf.DUMMYFUNCTION("""COMPUTED_VALUE"""),147.56)</f>
        <v>147.56</v>
      </c>
      <c r="C631" s="3">
        <v>130.25557558687601</v>
      </c>
    </row>
    <row r="632" spans="1:3" ht="13" x14ac:dyDescent="0.15">
      <c r="A632" s="1">
        <f ca="1">IFERROR(__xludf.DUMMYFUNCTION("""COMPUTED_VALUE"""),44074.6666666666)</f>
        <v>44074.666666666599</v>
      </c>
      <c r="B632" s="2">
        <f ca="1">IFERROR(__xludf.DUMMYFUNCTION("""COMPUTED_VALUE"""),166.11)</f>
        <v>166.11</v>
      </c>
      <c r="C632" s="3">
        <v>133.85072576814801</v>
      </c>
    </row>
    <row r="633" spans="1:3" ht="13" x14ac:dyDescent="0.15">
      <c r="A633" s="1">
        <f ca="1">IFERROR(__xludf.DUMMYFUNCTION("""COMPUTED_VALUE"""),44075.6666666666)</f>
        <v>44075.666666666599</v>
      </c>
      <c r="B633" s="2">
        <f ca="1">IFERROR(__xludf.DUMMYFUNCTION("""COMPUTED_VALUE"""),158.35)</f>
        <v>158.35</v>
      </c>
      <c r="C633" s="3">
        <v>133.619562492932</v>
      </c>
    </row>
    <row r="634" spans="1:3" ht="13" x14ac:dyDescent="0.15">
      <c r="A634" s="1">
        <f ca="1">IFERROR(__xludf.DUMMYFUNCTION("""COMPUTED_VALUE"""),44076.6666666666)</f>
        <v>44076.666666666599</v>
      </c>
      <c r="B634" s="2">
        <f ca="1">IFERROR(__xludf.DUMMYFUNCTION("""COMPUTED_VALUE"""),149.12)</f>
        <v>149.12</v>
      </c>
      <c r="C634" s="3">
        <v>134.55298816556601</v>
      </c>
    </row>
    <row r="635" spans="1:3" ht="13" x14ac:dyDescent="0.15">
      <c r="A635" s="1">
        <f ca="1">IFERROR(__xludf.DUMMYFUNCTION("""COMPUTED_VALUE"""),44077.6666666666)</f>
        <v>44077.666666666599</v>
      </c>
      <c r="B635" s="2">
        <f ca="1">IFERROR(__xludf.DUMMYFUNCTION("""COMPUTED_VALUE"""),135.67)</f>
        <v>135.66999999999999</v>
      </c>
      <c r="C635" s="3">
        <v>135.00427487721501</v>
      </c>
    </row>
    <row r="636" spans="1:3" ht="13" x14ac:dyDescent="0.15">
      <c r="A636" s="1">
        <f ca="1">IFERROR(__xludf.DUMMYFUNCTION("""COMPUTED_VALUE"""),44078.6666666666)</f>
        <v>44078.666666666599</v>
      </c>
      <c r="B636" s="2">
        <f ca="1">IFERROR(__xludf.DUMMYFUNCTION("""COMPUTED_VALUE"""),139.44)</f>
        <v>139.44</v>
      </c>
      <c r="C636" s="3">
        <v>135.47461379553999</v>
      </c>
    </row>
    <row r="637" spans="1:3" ht="13" x14ac:dyDescent="0.15">
      <c r="A637" s="1">
        <f ca="1">IFERROR(__xludf.DUMMYFUNCTION("""COMPUTED_VALUE"""),44082.6666666666)</f>
        <v>44082.666666666599</v>
      </c>
      <c r="B637" s="2">
        <f ca="1">IFERROR(__xludf.DUMMYFUNCTION("""COMPUTED_VALUE"""),110.07)</f>
        <v>110.07</v>
      </c>
      <c r="C637" s="3">
        <v>140.79052022654599</v>
      </c>
    </row>
    <row r="638" spans="1:3" ht="13" x14ac:dyDescent="0.15">
      <c r="A638" s="1">
        <f ca="1">IFERROR(__xludf.DUMMYFUNCTION("""COMPUTED_VALUE"""),44083.6666666666)</f>
        <v>44083.666666666599</v>
      </c>
      <c r="B638" s="2">
        <f ca="1">IFERROR(__xludf.DUMMYFUNCTION("""COMPUTED_VALUE"""),122.09)</f>
        <v>122.09</v>
      </c>
      <c r="C638" s="3">
        <v>142.05930603580401</v>
      </c>
    </row>
    <row r="639" spans="1:3" ht="13" x14ac:dyDescent="0.15">
      <c r="A639" s="1">
        <f ca="1">IFERROR(__xludf.DUMMYFUNCTION("""COMPUTED_VALUE"""),44084.6666666666)</f>
        <v>44084.666666666599</v>
      </c>
      <c r="B639" s="2">
        <f ca="1">IFERROR(__xludf.DUMMYFUNCTION("""COMPUTED_VALUE"""),123.78)</f>
        <v>123.78</v>
      </c>
      <c r="C639" s="3">
        <v>142.75164072734901</v>
      </c>
    </row>
    <row r="640" spans="1:3" ht="13" x14ac:dyDescent="0.15">
      <c r="A640" s="1">
        <f ca="1">IFERROR(__xludf.DUMMYFUNCTION("""COMPUTED_VALUE"""),44085.6666666666)</f>
        <v>44085.666666666599</v>
      </c>
      <c r="B640" s="2">
        <f ca="1">IFERROR(__xludf.DUMMYFUNCTION("""COMPUTED_VALUE"""),124.24)</f>
        <v>124.24</v>
      </c>
      <c r="C640" s="3">
        <v>143.35579901830599</v>
      </c>
    </row>
    <row r="641" spans="1:3" ht="13" x14ac:dyDescent="0.15">
      <c r="A641" s="1">
        <f ca="1">IFERROR(__xludf.DUMMYFUNCTION("""COMPUTED_VALUE"""),44088.6666666666)</f>
        <v>44088.666666666599</v>
      </c>
      <c r="B641" s="2">
        <f ca="1">IFERROR(__xludf.DUMMYFUNCTION("""COMPUTED_VALUE"""),139.87)</f>
        <v>139.87</v>
      </c>
      <c r="C641" s="3">
        <v>148.16252978001501</v>
      </c>
    </row>
    <row r="642" spans="1:3" ht="13" x14ac:dyDescent="0.15">
      <c r="A642" s="1">
        <f ca="1">IFERROR(__xludf.DUMMYFUNCTION("""COMPUTED_VALUE"""),44089.6666666666)</f>
        <v>44089.666666666599</v>
      </c>
      <c r="B642" s="2">
        <f ca="1">IFERROR(__xludf.DUMMYFUNCTION("""COMPUTED_VALUE"""),149.92)</f>
        <v>149.91999999999999</v>
      </c>
      <c r="C642" s="3">
        <v>147.983613220656</v>
      </c>
    </row>
    <row r="643" spans="1:3" ht="13" x14ac:dyDescent="0.15">
      <c r="A643" s="1">
        <f ca="1">IFERROR(__xludf.DUMMYFUNCTION("""COMPUTED_VALUE"""),44090.6666666666)</f>
        <v>44090.666666666599</v>
      </c>
      <c r="B643" s="2">
        <f ca="1">IFERROR(__xludf.DUMMYFUNCTION("""COMPUTED_VALUE"""),147.25)</f>
        <v>147.25</v>
      </c>
      <c r="C643" s="3">
        <v>148.767322930538</v>
      </c>
    </row>
    <row r="644" spans="1:3" ht="13" x14ac:dyDescent="0.15">
      <c r="A644" s="1">
        <f ca="1">IFERROR(__xludf.DUMMYFUNCTION("""COMPUTED_VALUE"""),44091.6666666666)</f>
        <v>44091.666666666599</v>
      </c>
      <c r="B644" s="2">
        <f ca="1">IFERROR(__xludf.DUMMYFUNCTION("""COMPUTED_VALUE"""),141.14)</f>
        <v>141.13999999999999</v>
      </c>
      <c r="C644" s="3">
        <v>148.85937881890399</v>
      </c>
    </row>
    <row r="645" spans="1:3" ht="13" x14ac:dyDescent="0.15">
      <c r="A645" s="1">
        <f ca="1">IFERROR(__xludf.DUMMYFUNCTION("""COMPUTED_VALUE"""),44092.6666666666)</f>
        <v>44092.666666666599</v>
      </c>
      <c r="B645" s="2">
        <f ca="1">IFERROR(__xludf.DUMMYFUNCTION("""COMPUTED_VALUE"""),147.38)</f>
        <v>147.38</v>
      </c>
      <c r="C645" s="3">
        <v>148.75941571604099</v>
      </c>
    </row>
    <row r="646" spans="1:3" ht="13" x14ac:dyDescent="0.15">
      <c r="A646" s="1">
        <f ca="1">IFERROR(__xludf.DUMMYFUNCTION("""COMPUTED_VALUE"""),44095.6666666666)</f>
        <v>44095.666666666599</v>
      </c>
      <c r="B646" s="2">
        <f ca="1">IFERROR(__xludf.DUMMYFUNCTION("""COMPUTED_VALUE"""),149.8)</f>
        <v>149.80000000000001</v>
      </c>
      <c r="C646" s="3">
        <v>150.99192703433999</v>
      </c>
    </row>
    <row r="647" spans="1:3" ht="13" x14ac:dyDescent="0.15">
      <c r="A647" s="1">
        <f ca="1">IFERROR(__xludf.DUMMYFUNCTION("""COMPUTED_VALUE"""),44096.6666666666)</f>
        <v>44096.666666666599</v>
      </c>
      <c r="B647" s="2">
        <f ca="1">IFERROR(__xludf.DUMMYFUNCTION("""COMPUTED_VALUE"""),141.41)</f>
        <v>141.41</v>
      </c>
      <c r="C647" s="3">
        <v>149.867753527329</v>
      </c>
    </row>
    <row r="648" spans="1:3" ht="13" x14ac:dyDescent="0.15">
      <c r="A648" s="1">
        <f ca="1">IFERROR(__xludf.DUMMYFUNCTION("""COMPUTED_VALUE"""),44097.6666666666)</f>
        <v>44097.666666666599</v>
      </c>
      <c r="B648" s="2">
        <f ca="1">IFERROR(__xludf.DUMMYFUNCTION("""COMPUTED_VALUE"""),126.79)</f>
        <v>126.79</v>
      </c>
      <c r="C648" s="3">
        <v>149.70072800624601</v>
      </c>
    </row>
    <row r="649" spans="1:3" ht="13" x14ac:dyDescent="0.15">
      <c r="A649" s="1">
        <f ca="1">IFERROR(__xludf.DUMMYFUNCTION("""COMPUTED_VALUE"""),44098.6666666666)</f>
        <v>44098.666666666599</v>
      </c>
      <c r="B649" s="2">
        <f ca="1">IFERROR(__xludf.DUMMYFUNCTION("""COMPUTED_VALUE"""),129.26)</f>
        <v>129.26</v>
      </c>
      <c r="C649" s="3">
        <v>148.861029047946</v>
      </c>
    </row>
    <row r="650" spans="1:3" ht="13" x14ac:dyDescent="0.15">
      <c r="A650" s="1">
        <f ca="1">IFERROR(__xludf.DUMMYFUNCTION("""COMPUTED_VALUE"""),44099.6666666666)</f>
        <v>44099.666666666599</v>
      </c>
      <c r="B650" s="2">
        <f ca="1">IFERROR(__xludf.DUMMYFUNCTION("""COMPUTED_VALUE"""),135.78)</f>
        <v>135.78</v>
      </c>
      <c r="C650" s="3">
        <v>147.87290136694301</v>
      </c>
    </row>
    <row r="651" spans="1:3" ht="13" x14ac:dyDescent="0.15">
      <c r="A651" s="1">
        <f ca="1">IFERROR(__xludf.DUMMYFUNCTION("""COMPUTED_VALUE"""),44102.6666666666)</f>
        <v>44102.666666666599</v>
      </c>
      <c r="B651" s="2">
        <f ca="1">IFERROR(__xludf.DUMMYFUNCTION("""COMPUTED_VALUE"""),140.4)</f>
        <v>140.4</v>
      </c>
      <c r="C651" s="3">
        <v>147.93672508969101</v>
      </c>
    </row>
    <row r="652" spans="1:3" ht="13" x14ac:dyDescent="0.15">
      <c r="A652" s="1">
        <f ca="1">IFERROR(__xludf.DUMMYFUNCTION("""COMPUTED_VALUE"""),44103.6666666666)</f>
        <v>44103.666666666599</v>
      </c>
      <c r="B652" s="2">
        <f ca="1">IFERROR(__xludf.DUMMYFUNCTION("""COMPUTED_VALUE"""),139.69)</f>
        <v>139.69</v>
      </c>
      <c r="C652" s="3">
        <v>146.32452041667699</v>
      </c>
    </row>
    <row r="653" spans="1:3" ht="13" x14ac:dyDescent="0.15">
      <c r="A653" s="1">
        <f ca="1">IFERROR(__xludf.DUMMYFUNCTION("""COMPUTED_VALUE"""),44104.6666666666)</f>
        <v>44104.666666666599</v>
      </c>
      <c r="B653" s="2">
        <f ca="1">IFERROR(__xludf.DUMMYFUNCTION("""COMPUTED_VALUE"""),143)</f>
        <v>143</v>
      </c>
      <c r="C653" s="3">
        <v>145.81536056090101</v>
      </c>
    </row>
    <row r="654" spans="1:3" ht="13" x14ac:dyDescent="0.15">
      <c r="A654" s="1">
        <f ca="1">IFERROR(__xludf.DUMMYFUNCTION("""COMPUTED_VALUE"""),44105.6666666666)</f>
        <v>44105.666666666599</v>
      </c>
      <c r="B654" s="2">
        <f ca="1">IFERROR(__xludf.DUMMYFUNCTION("""COMPUTED_VALUE"""),149.39)</f>
        <v>149.38999999999999</v>
      </c>
      <c r="C654" s="3">
        <v>144.79162491613599</v>
      </c>
    </row>
    <row r="655" spans="1:3" ht="13" x14ac:dyDescent="0.15">
      <c r="A655" s="1">
        <f ca="1">IFERROR(__xludf.DUMMYFUNCTION("""COMPUTED_VALUE"""),44106.6666666666)</f>
        <v>44106.666666666599</v>
      </c>
      <c r="B655" s="2">
        <f ca="1">IFERROR(__xludf.DUMMYFUNCTION("""COMPUTED_VALUE"""),138.36)</f>
        <v>138.36000000000001</v>
      </c>
      <c r="C655" s="3">
        <v>143.78594128481001</v>
      </c>
    </row>
    <row r="656" spans="1:3" ht="13" x14ac:dyDescent="0.15">
      <c r="A656" s="1">
        <f ca="1">IFERROR(__xludf.DUMMYFUNCTION("""COMPUTED_VALUE"""),44109.6666666666)</f>
        <v>44109.666666666599</v>
      </c>
      <c r="B656" s="2">
        <f ca="1">IFERROR(__xludf.DUMMYFUNCTION("""COMPUTED_VALUE"""),141.89)</f>
        <v>141.88999999999999</v>
      </c>
      <c r="C656" s="3">
        <v>144.81757427397</v>
      </c>
    </row>
    <row r="657" spans="1:3" ht="13" x14ac:dyDescent="0.15">
      <c r="A657" s="1">
        <f ca="1">IFERROR(__xludf.DUMMYFUNCTION("""COMPUTED_VALUE"""),44110.6666666666)</f>
        <v>44110.666666666599</v>
      </c>
      <c r="B657" s="2">
        <f ca="1">IFERROR(__xludf.DUMMYFUNCTION("""COMPUTED_VALUE"""),137.99)</f>
        <v>137.99</v>
      </c>
      <c r="C657" s="3">
        <v>143.85397594900601</v>
      </c>
    </row>
    <row r="658" spans="1:3" ht="13" x14ac:dyDescent="0.15">
      <c r="A658" s="1">
        <f ca="1">IFERROR(__xludf.DUMMYFUNCTION("""COMPUTED_VALUE"""),44111.6666666666)</f>
        <v>44111.666666666599</v>
      </c>
      <c r="B658" s="2">
        <f ca="1">IFERROR(__xludf.DUMMYFUNCTION("""COMPUTED_VALUE"""),141.77)</f>
        <v>141.77000000000001</v>
      </c>
      <c r="C658" s="3">
        <v>144.13890906601699</v>
      </c>
    </row>
    <row r="659" spans="1:3" ht="13" x14ac:dyDescent="0.15">
      <c r="A659" s="1">
        <f ca="1">IFERROR(__xludf.DUMMYFUNCTION("""COMPUTED_VALUE"""),44112.6666666666)</f>
        <v>44112.666666666599</v>
      </c>
      <c r="B659" s="2">
        <f ca="1">IFERROR(__xludf.DUMMYFUNCTION("""COMPUTED_VALUE"""),141.97)</f>
        <v>141.97</v>
      </c>
      <c r="C659" s="3">
        <v>144.038447507928</v>
      </c>
    </row>
    <row r="660" spans="1:3" ht="13" x14ac:dyDescent="0.15">
      <c r="A660" s="1">
        <f ca="1">IFERROR(__xludf.DUMMYFUNCTION("""COMPUTED_VALUE"""),44113.6666666666)</f>
        <v>44113.666666666599</v>
      </c>
      <c r="B660" s="2">
        <f ca="1">IFERROR(__xludf.DUMMYFUNCTION("""COMPUTED_VALUE"""),144.67)</f>
        <v>144.66999999999999</v>
      </c>
      <c r="C660" s="3">
        <v>144.06556201360601</v>
      </c>
    </row>
    <row r="661" spans="1:3" ht="13" x14ac:dyDescent="0.15">
      <c r="A661" s="1">
        <f ca="1">IFERROR(__xludf.DUMMYFUNCTION("""COMPUTED_VALUE"""),44116.6666666666)</f>
        <v>44116.666666666599</v>
      </c>
      <c r="B661" s="2">
        <f ca="1">IFERROR(__xludf.DUMMYFUNCTION("""COMPUTED_VALUE"""),147.43)</f>
        <v>147.43</v>
      </c>
      <c r="C661" s="3">
        <v>148.616837336781</v>
      </c>
    </row>
    <row r="662" spans="1:3" ht="13" x14ac:dyDescent="0.15">
      <c r="A662" s="1">
        <f ca="1">IFERROR(__xludf.DUMMYFUNCTION("""COMPUTED_VALUE"""),44117.6666666666)</f>
        <v>44117.666666666599</v>
      </c>
      <c r="B662" s="2">
        <f ca="1">IFERROR(__xludf.DUMMYFUNCTION("""COMPUTED_VALUE"""),148.88)</f>
        <v>148.88</v>
      </c>
      <c r="C662" s="3">
        <v>148.879443686879</v>
      </c>
    </row>
    <row r="663" spans="1:3" ht="13" x14ac:dyDescent="0.15">
      <c r="A663" s="1">
        <f ca="1">IFERROR(__xludf.DUMMYFUNCTION("""COMPUTED_VALUE"""),44118.6666666666)</f>
        <v>44118.666666666599</v>
      </c>
      <c r="B663" s="2">
        <f ca="1">IFERROR(__xludf.DUMMYFUNCTION("""COMPUTED_VALUE"""),153.77)</f>
        <v>153.77000000000001</v>
      </c>
      <c r="C663" s="3">
        <v>150.371356246348</v>
      </c>
    </row>
    <row r="664" spans="1:3" ht="13" x14ac:dyDescent="0.15">
      <c r="A664" s="1">
        <f ca="1">IFERROR(__xludf.DUMMYFUNCTION("""COMPUTED_VALUE"""),44119.6666666666)</f>
        <v>44119.666666666599</v>
      </c>
      <c r="B664" s="2">
        <f ca="1">IFERROR(__xludf.DUMMYFUNCTION("""COMPUTED_VALUE"""),149.63)</f>
        <v>149.63</v>
      </c>
      <c r="C664" s="3">
        <v>151.43151622034901</v>
      </c>
    </row>
    <row r="665" spans="1:3" ht="13" x14ac:dyDescent="0.15">
      <c r="A665" s="1">
        <f ca="1">IFERROR(__xludf.DUMMYFUNCTION("""COMPUTED_VALUE"""),44120.6666666666)</f>
        <v>44120.666666666599</v>
      </c>
      <c r="B665" s="2">
        <f ca="1">IFERROR(__xludf.DUMMYFUNCTION("""COMPUTED_VALUE"""),146.56)</f>
        <v>146.56</v>
      </c>
      <c r="C665" s="3">
        <v>152.54696408217001</v>
      </c>
    </row>
    <row r="666" spans="1:3" ht="13" x14ac:dyDescent="0.15">
      <c r="A666" s="1">
        <f ca="1">IFERROR(__xludf.DUMMYFUNCTION("""COMPUTED_VALUE"""),44123.6666666666)</f>
        <v>44123.666666666599</v>
      </c>
      <c r="B666" s="2">
        <f ca="1">IFERROR(__xludf.DUMMYFUNCTION("""COMPUTED_VALUE"""),143.61)</f>
        <v>143.61000000000001</v>
      </c>
      <c r="C666" s="3">
        <v>159.702189830262</v>
      </c>
    </row>
    <row r="667" spans="1:3" ht="13" x14ac:dyDescent="0.15">
      <c r="A667" s="1">
        <f ca="1">IFERROR(__xludf.DUMMYFUNCTION("""COMPUTED_VALUE"""),44124.6666666666)</f>
        <v>44124.666666666599</v>
      </c>
      <c r="B667" s="2">
        <f ca="1">IFERROR(__xludf.DUMMYFUNCTION("""COMPUTED_VALUE"""),140.65)</f>
        <v>140.65</v>
      </c>
      <c r="C667" s="3">
        <v>160.55140115056301</v>
      </c>
    </row>
    <row r="668" spans="1:3" ht="13" x14ac:dyDescent="0.15">
      <c r="A668" s="1">
        <f ca="1">IFERROR(__xludf.DUMMYFUNCTION("""COMPUTED_VALUE"""),44125.6666666666)</f>
        <v>44125.666666666599</v>
      </c>
      <c r="B668" s="2">
        <f ca="1">IFERROR(__xludf.DUMMYFUNCTION("""COMPUTED_VALUE"""),140.88)</f>
        <v>140.88</v>
      </c>
      <c r="C668" s="3">
        <v>162.46775020657901</v>
      </c>
    </row>
    <row r="669" spans="1:3" ht="13" x14ac:dyDescent="0.15">
      <c r="A669" s="1">
        <f ca="1">IFERROR(__xludf.DUMMYFUNCTION("""COMPUTED_VALUE"""),44126.6666666666)</f>
        <v>44126.666666666599</v>
      </c>
      <c r="B669" s="2">
        <f ca="1">IFERROR(__xludf.DUMMYFUNCTION("""COMPUTED_VALUE"""),141.93)</f>
        <v>141.93</v>
      </c>
      <c r="C669" s="3">
        <v>163.78343349314099</v>
      </c>
    </row>
    <row r="670" spans="1:3" ht="13" x14ac:dyDescent="0.15">
      <c r="A670" s="1">
        <f ca="1">IFERROR(__xludf.DUMMYFUNCTION("""COMPUTED_VALUE"""),44127.6666666666)</f>
        <v>44127.666666666599</v>
      </c>
      <c r="B670" s="2">
        <f ca="1">IFERROR(__xludf.DUMMYFUNCTION("""COMPUTED_VALUE"""),140.21)</f>
        <v>140.21</v>
      </c>
      <c r="C670" s="3">
        <v>164.98311544386999</v>
      </c>
    </row>
    <row r="671" spans="1:3" ht="13" x14ac:dyDescent="0.15">
      <c r="A671" s="1">
        <f ca="1">IFERROR(__xludf.DUMMYFUNCTION("""COMPUTED_VALUE"""),44130.6666666666)</f>
        <v>44130.666666666599</v>
      </c>
      <c r="B671" s="2">
        <f ca="1">IFERROR(__xludf.DUMMYFUNCTION("""COMPUTED_VALUE"""),140.09)</f>
        <v>140.09</v>
      </c>
      <c r="C671" s="3">
        <v>171.40499800661701</v>
      </c>
    </row>
    <row r="672" spans="1:3" ht="13" x14ac:dyDescent="0.15">
      <c r="A672" s="1">
        <f ca="1">IFERROR(__xludf.DUMMYFUNCTION("""COMPUTED_VALUE"""),44131.6666666666)</f>
        <v>44131.666666666599</v>
      </c>
      <c r="B672" s="2">
        <f ca="1">IFERROR(__xludf.DUMMYFUNCTION("""COMPUTED_VALUE"""),141.56)</f>
        <v>141.56</v>
      </c>
      <c r="C672" s="3">
        <v>171.715649066026</v>
      </c>
    </row>
    <row r="673" spans="1:3" ht="13" x14ac:dyDescent="0.15">
      <c r="A673" s="1">
        <f ca="1">IFERROR(__xludf.DUMMYFUNCTION("""COMPUTED_VALUE"""),44132.6666666666)</f>
        <v>44132.666666666599</v>
      </c>
      <c r="B673" s="2">
        <f ca="1">IFERROR(__xludf.DUMMYFUNCTION("""COMPUTED_VALUE"""),135.34)</f>
        <v>135.34</v>
      </c>
      <c r="C673" s="3">
        <v>172.97290127584299</v>
      </c>
    </row>
    <row r="674" spans="1:3" ht="13" x14ac:dyDescent="0.15">
      <c r="A674" s="1">
        <f ca="1">IFERROR(__xludf.DUMMYFUNCTION("""COMPUTED_VALUE"""),44133.6666666666)</f>
        <v>44133.666666666599</v>
      </c>
      <c r="B674" s="2">
        <f ca="1">IFERROR(__xludf.DUMMYFUNCTION("""COMPUTED_VALUE"""),136.94)</f>
        <v>136.94</v>
      </c>
      <c r="C674" s="3">
        <v>173.52945784021401</v>
      </c>
    </row>
    <row r="675" spans="1:3" ht="13" x14ac:dyDescent="0.15">
      <c r="A675" s="1">
        <f ca="1">IFERROR(__xludf.DUMMYFUNCTION("""COMPUTED_VALUE"""),44134.6666666666)</f>
        <v>44134.666666666599</v>
      </c>
      <c r="B675" s="2">
        <f ca="1">IFERROR(__xludf.DUMMYFUNCTION("""COMPUTED_VALUE"""),129.35)</f>
        <v>129.35</v>
      </c>
      <c r="C675" s="3">
        <v>173.89276238439999</v>
      </c>
    </row>
    <row r="676" spans="1:3" ht="13" x14ac:dyDescent="0.15">
      <c r="A676" s="1">
        <f ca="1">IFERROR(__xludf.DUMMYFUNCTION("""COMPUTED_VALUE"""),44137.6666666666)</f>
        <v>44137.666666666599</v>
      </c>
      <c r="B676" s="2">
        <f ca="1">IFERROR(__xludf.DUMMYFUNCTION("""COMPUTED_VALUE"""),133.5)</f>
        <v>133.5</v>
      </c>
      <c r="C676" s="3">
        <v>177.58991388173601</v>
      </c>
    </row>
    <row r="677" spans="1:3" ht="13" x14ac:dyDescent="0.15">
      <c r="A677" s="1">
        <f ca="1">IFERROR(__xludf.DUMMYFUNCTION("""COMPUTED_VALUE"""),44138.6666666666)</f>
        <v>44138.666666666599</v>
      </c>
      <c r="B677" s="2">
        <f ca="1">IFERROR(__xludf.DUMMYFUNCTION("""COMPUTED_VALUE"""),141.3)</f>
        <v>141.30000000000001</v>
      </c>
      <c r="C677" s="3">
        <v>177.00484801874401</v>
      </c>
    </row>
    <row r="678" spans="1:3" ht="13" x14ac:dyDescent="0.15">
      <c r="A678" s="1">
        <f ca="1">IFERROR(__xludf.DUMMYFUNCTION("""COMPUTED_VALUE"""),44139.6666666666)</f>
        <v>44139.666666666599</v>
      </c>
      <c r="B678" s="2">
        <f ca="1">IFERROR(__xludf.DUMMYFUNCTION("""COMPUTED_VALUE"""),140.33)</f>
        <v>140.33000000000001</v>
      </c>
      <c r="C678" s="3">
        <v>177.413225604057</v>
      </c>
    </row>
    <row r="679" spans="1:3" ht="13" x14ac:dyDescent="0.15">
      <c r="A679" s="1">
        <f ca="1">IFERROR(__xludf.DUMMYFUNCTION("""COMPUTED_VALUE"""),44140.6666666666)</f>
        <v>44140.666666666599</v>
      </c>
      <c r="B679" s="2">
        <f ca="1">IFERROR(__xludf.DUMMYFUNCTION("""COMPUTED_VALUE"""),146.03)</f>
        <v>146.03</v>
      </c>
      <c r="C679" s="3">
        <v>177.189687756702</v>
      </c>
    </row>
    <row r="680" spans="1:3" ht="13" x14ac:dyDescent="0.15">
      <c r="A680" s="1">
        <f ca="1">IFERROR(__xludf.DUMMYFUNCTION("""COMPUTED_VALUE"""),44141.6666666666)</f>
        <v>44141.666666666599</v>
      </c>
      <c r="B680" s="2">
        <f ca="1">IFERROR(__xludf.DUMMYFUNCTION("""COMPUTED_VALUE"""),143.32)</f>
        <v>143.32</v>
      </c>
      <c r="C680" s="3">
        <v>176.86113682671899</v>
      </c>
    </row>
    <row r="681" spans="1:3" ht="13" x14ac:dyDescent="0.15">
      <c r="A681" s="1">
        <f ca="1">IFERROR(__xludf.DUMMYFUNCTION("""COMPUTED_VALUE"""),44144.6666666666)</f>
        <v>44144.666666666599</v>
      </c>
      <c r="B681" s="2">
        <f ca="1">IFERROR(__xludf.DUMMYFUNCTION("""COMPUTED_VALUE"""),140.42)</f>
        <v>140.41999999999999</v>
      </c>
      <c r="C681" s="3">
        <v>179.159041349071</v>
      </c>
    </row>
    <row r="682" spans="1:3" ht="13" x14ac:dyDescent="0.15">
      <c r="A682" s="1">
        <f ca="1">IFERROR(__xludf.DUMMYFUNCTION("""COMPUTED_VALUE"""),44145.6666666666)</f>
        <v>44145.666666666599</v>
      </c>
      <c r="B682" s="2">
        <f ca="1">IFERROR(__xludf.DUMMYFUNCTION("""COMPUTED_VALUE"""),136.79)</f>
        <v>136.79</v>
      </c>
      <c r="C682" s="3">
        <v>178.36345426800199</v>
      </c>
    </row>
    <row r="683" spans="1:3" ht="13" x14ac:dyDescent="0.15">
      <c r="A683" s="1">
        <f ca="1">IFERROR(__xludf.DUMMYFUNCTION("""COMPUTED_VALUE"""),44146.6666666666)</f>
        <v>44146.666666666599</v>
      </c>
      <c r="B683" s="2">
        <f ca="1">IFERROR(__xludf.DUMMYFUNCTION("""COMPUTED_VALUE"""),139.04)</f>
        <v>139.04</v>
      </c>
      <c r="C683" s="3">
        <v>178.69443827587801</v>
      </c>
    </row>
    <row r="684" spans="1:3" ht="13" x14ac:dyDescent="0.15">
      <c r="A684" s="1">
        <f ca="1">IFERROR(__xludf.DUMMYFUNCTION("""COMPUTED_VALUE"""),44147.6666666666)</f>
        <v>44147.666666666599</v>
      </c>
      <c r="B684" s="2">
        <f ca="1">IFERROR(__xludf.DUMMYFUNCTION("""COMPUTED_VALUE"""),137.25)</f>
        <v>137.25</v>
      </c>
      <c r="C684" s="3">
        <v>178.52356736996001</v>
      </c>
    </row>
    <row r="685" spans="1:3" ht="13" x14ac:dyDescent="0.15">
      <c r="A685" s="1">
        <f ca="1">IFERROR(__xludf.DUMMYFUNCTION("""COMPUTED_VALUE"""),44148.6666666666)</f>
        <v>44148.666666666599</v>
      </c>
      <c r="B685" s="2">
        <f ca="1">IFERROR(__xludf.DUMMYFUNCTION("""COMPUTED_VALUE"""),136.17)</f>
        <v>136.16999999999999</v>
      </c>
      <c r="C685" s="3">
        <v>178.370685749807</v>
      </c>
    </row>
    <row r="686" spans="1:3" ht="13" x14ac:dyDescent="0.15">
      <c r="A686" s="1">
        <f ca="1">IFERROR(__xludf.DUMMYFUNCTION("""COMPUTED_VALUE"""),44151.6666666666)</f>
        <v>44151.666666666599</v>
      </c>
      <c r="B686" s="2">
        <f ca="1">IFERROR(__xludf.DUMMYFUNCTION("""COMPUTED_VALUE"""),136.03)</f>
        <v>136.03</v>
      </c>
      <c r="C686" s="3">
        <v>181.80908282027599</v>
      </c>
    </row>
    <row r="687" spans="1:3" ht="13" x14ac:dyDescent="0.15">
      <c r="A687" s="1">
        <f ca="1">IFERROR(__xludf.DUMMYFUNCTION("""COMPUTED_VALUE"""),44152.6666666666)</f>
        <v>44152.666666666599</v>
      </c>
      <c r="B687" s="2">
        <f ca="1">IFERROR(__xludf.DUMMYFUNCTION("""COMPUTED_VALUE"""),147.2)</f>
        <v>147.19999999999999</v>
      </c>
      <c r="C687" s="3">
        <v>181.54159041276</v>
      </c>
    </row>
    <row r="688" spans="1:3" ht="13" x14ac:dyDescent="0.15">
      <c r="A688" s="1">
        <f ca="1">IFERROR(__xludf.DUMMYFUNCTION("""COMPUTED_VALUE"""),44153.6666666666)</f>
        <v>44153.666666666599</v>
      </c>
      <c r="B688" s="2">
        <f ca="1">IFERROR(__xludf.DUMMYFUNCTION("""COMPUTED_VALUE"""),162.21)</f>
        <v>162.21</v>
      </c>
      <c r="C688" s="3">
        <v>182.440691432585</v>
      </c>
    </row>
    <row r="689" spans="1:3" ht="13" x14ac:dyDescent="0.15">
      <c r="A689" s="1">
        <f ca="1">IFERROR(__xludf.DUMMYFUNCTION("""COMPUTED_VALUE"""),44154.6666666666)</f>
        <v>44154.666666666599</v>
      </c>
      <c r="B689" s="2">
        <f ca="1">IFERROR(__xludf.DUMMYFUNCTION("""COMPUTED_VALUE"""),166.42)</f>
        <v>166.42</v>
      </c>
      <c r="C689" s="3">
        <v>182.85550271328</v>
      </c>
    </row>
    <row r="690" spans="1:3" ht="13" x14ac:dyDescent="0.15">
      <c r="A690" s="1">
        <f ca="1">IFERROR(__xludf.DUMMYFUNCTION("""COMPUTED_VALUE"""),44155.6666666666)</f>
        <v>44155.666666666599</v>
      </c>
      <c r="B690" s="2">
        <f ca="1">IFERROR(__xludf.DUMMYFUNCTION("""COMPUTED_VALUE"""),163.2)</f>
        <v>163.19999999999999</v>
      </c>
      <c r="C690" s="3">
        <v>183.282967034309</v>
      </c>
    </row>
    <row r="691" spans="1:3" ht="13" x14ac:dyDescent="0.15">
      <c r="A691" s="1">
        <f ca="1">IFERROR(__xludf.DUMMYFUNCTION("""COMPUTED_VALUE"""),44158.6666666666)</f>
        <v>44158.666666666599</v>
      </c>
      <c r="B691" s="2">
        <f ca="1">IFERROR(__xludf.DUMMYFUNCTION("""COMPUTED_VALUE"""),173.95)</f>
        <v>173.95</v>
      </c>
      <c r="C691" s="3">
        <v>188.209367203689</v>
      </c>
    </row>
    <row r="692" spans="1:3" ht="13" x14ac:dyDescent="0.15">
      <c r="A692" s="1">
        <f ca="1">IFERROR(__xludf.DUMMYFUNCTION("""COMPUTED_VALUE"""),44159.6666666666)</f>
        <v>44159.666666666599</v>
      </c>
      <c r="B692" s="2">
        <f ca="1">IFERROR(__xludf.DUMMYFUNCTION("""COMPUTED_VALUE"""),185.13)</f>
        <v>185.13</v>
      </c>
      <c r="C692" s="3">
        <v>188.287222526807</v>
      </c>
    </row>
    <row r="693" spans="1:3" ht="13" x14ac:dyDescent="0.15">
      <c r="A693" s="1">
        <f ca="1">IFERROR(__xludf.DUMMYFUNCTION("""COMPUTED_VALUE"""),44160.6666666666)</f>
        <v>44160.666666666599</v>
      </c>
      <c r="B693" s="2">
        <f ca="1">IFERROR(__xludf.DUMMYFUNCTION("""COMPUTED_VALUE"""),191.33)</f>
        <v>191.33</v>
      </c>
      <c r="C693" s="3">
        <v>189.429010071627</v>
      </c>
    </row>
    <row r="694" spans="1:3" ht="13" x14ac:dyDescent="0.15">
      <c r="A694" s="1">
        <f ca="1">IFERROR(__xludf.DUMMYFUNCTION("""COMPUTED_VALUE"""),44162.5416666666)</f>
        <v>44162.541666666599</v>
      </c>
      <c r="B694" s="2">
        <f ca="1">IFERROR(__xludf.DUMMYFUNCTION("""COMPUTED_VALUE"""),195.25)</f>
        <v>195.25</v>
      </c>
      <c r="C694" s="3">
        <v>190.40502281249599</v>
      </c>
    </row>
    <row r="695" spans="1:3" ht="13" x14ac:dyDescent="0.15">
      <c r="A695" s="1">
        <f ca="1">IFERROR(__xludf.DUMMYFUNCTION("""COMPUTED_VALUE"""),44165.6666666666)</f>
        <v>44165.666666666599</v>
      </c>
      <c r="B695" s="2">
        <f ca="1">IFERROR(__xludf.DUMMYFUNCTION("""COMPUTED_VALUE"""),189.2)</f>
        <v>189.2</v>
      </c>
      <c r="C695" s="3">
        <v>194.58895203032</v>
      </c>
    </row>
    <row r="696" spans="1:3" ht="13" x14ac:dyDescent="0.15">
      <c r="A696" s="1">
        <f ca="1">IFERROR(__xludf.DUMMYFUNCTION("""COMPUTED_VALUE"""),44166.6666666666)</f>
        <v>44166.666666666599</v>
      </c>
      <c r="B696" s="2">
        <f ca="1">IFERROR(__xludf.DUMMYFUNCTION("""COMPUTED_VALUE"""),194.92)</f>
        <v>194.92</v>
      </c>
      <c r="C696" s="3">
        <v>194.17878435011301</v>
      </c>
    </row>
    <row r="697" spans="1:3" ht="13" x14ac:dyDescent="0.15">
      <c r="A697" s="1">
        <f ca="1">IFERROR(__xludf.DUMMYFUNCTION("""COMPUTED_VALUE"""),44167.6666666666)</f>
        <v>44167.666666666599</v>
      </c>
      <c r="B697" s="2">
        <f ca="1">IFERROR(__xludf.DUMMYFUNCTION("""COMPUTED_VALUE"""),189.61)</f>
        <v>189.61</v>
      </c>
      <c r="C697" s="3">
        <v>194.72828569369199</v>
      </c>
    </row>
    <row r="698" spans="1:3" ht="13" x14ac:dyDescent="0.15">
      <c r="A698" s="1">
        <f ca="1">IFERROR(__xludf.DUMMYFUNCTION("""COMPUTED_VALUE"""),44168.6666666666)</f>
        <v>44168.666666666599</v>
      </c>
      <c r="B698" s="2">
        <f ca="1">IFERROR(__xludf.DUMMYFUNCTION("""COMPUTED_VALUE"""),197.79)</f>
        <v>197.79</v>
      </c>
      <c r="C698" s="3">
        <v>194.58969816321101</v>
      </c>
    </row>
    <row r="699" spans="1:3" ht="13" x14ac:dyDescent="0.15">
      <c r="A699" s="1">
        <f ca="1">IFERROR(__xludf.DUMMYFUNCTION("""COMPUTED_VALUE"""),44169.6666666666)</f>
        <v>44169.666666666599</v>
      </c>
      <c r="B699" s="2">
        <f ca="1">IFERROR(__xludf.DUMMYFUNCTION("""COMPUTED_VALUE"""),199.68)</f>
        <v>199.68</v>
      </c>
      <c r="C699" s="3">
        <v>194.26972510983299</v>
      </c>
    </row>
    <row r="700" spans="1:3" ht="13" x14ac:dyDescent="0.15">
      <c r="A700" s="1">
        <f ca="1">IFERROR(__xludf.DUMMYFUNCTION("""COMPUTED_VALUE"""),44172.6666666666)</f>
        <v>44172.666666666599</v>
      </c>
      <c r="B700" s="2">
        <f ca="1">IFERROR(__xludf.DUMMYFUNCTION("""COMPUTED_VALUE"""),213.92)</f>
        <v>213.92</v>
      </c>
      <c r="C700" s="3">
        <v>195.98015230244201</v>
      </c>
    </row>
    <row r="701" spans="1:3" ht="13" x14ac:dyDescent="0.15">
      <c r="A701" s="1">
        <f ca="1">IFERROR(__xludf.DUMMYFUNCTION("""COMPUTED_VALUE"""),44173.6666666666)</f>
        <v>44173.666666666599</v>
      </c>
      <c r="B701" s="2">
        <f ca="1">IFERROR(__xludf.DUMMYFUNCTION("""COMPUTED_VALUE"""),216.63)</f>
        <v>216.63</v>
      </c>
      <c r="C701" s="3">
        <v>194.75208252014701</v>
      </c>
    </row>
    <row r="702" spans="1:3" ht="13" x14ac:dyDescent="0.15">
      <c r="A702" s="1">
        <f ca="1">IFERROR(__xludf.DUMMYFUNCTION("""COMPUTED_VALUE"""),44174.6666666666)</f>
        <v>44174.666666666599</v>
      </c>
      <c r="B702" s="2">
        <f ca="1">IFERROR(__xludf.DUMMYFUNCTION("""COMPUTED_VALUE"""),201.49)</f>
        <v>201.49</v>
      </c>
      <c r="C702" s="3">
        <v>194.527136206731</v>
      </c>
    </row>
    <row r="703" spans="1:3" ht="13" x14ac:dyDescent="0.15">
      <c r="A703" s="1">
        <f ca="1">IFERROR(__xludf.DUMMYFUNCTION("""COMPUTED_VALUE"""),44175.6666666666)</f>
        <v>44175.666666666599</v>
      </c>
      <c r="B703" s="2">
        <f ca="1">IFERROR(__xludf.DUMMYFUNCTION("""COMPUTED_VALUE"""),209.02)</f>
        <v>209.02</v>
      </c>
      <c r="C703" s="3">
        <v>193.680825374661</v>
      </c>
    </row>
    <row r="704" spans="1:3" ht="13" x14ac:dyDescent="0.15">
      <c r="A704" s="1">
        <f ca="1">IFERROR(__xludf.DUMMYFUNCTION("""COMPUTED_VALUE"""),44176.6666666666)</f>
        <v>44176.666666666599</v>
      </c>
      <c r="B704" s="2">
        <f ca="1">IFERROR(__xludf.DUMMYFUNCTION("""COMPUTED_VALUE"""),203.33)</f>
        <v>203.33</v>
      </c>
      <c r="C704" s="3">
        <v>192.741608351889</v>
      </c>
    </row>
    <row r="705" spans="1:3" ht="13" x14ac:dyDescent="0.15">
      <c r="A705" s="1">
        <f ca="1">IFERROR(__xludf.DUMMYFUNCTION("""COMPUTED_VALUE"""),44179.6666666666)</f>
        <v>44179.666666666599</v>
      </c>
      <c r="B705" s="2">
        <f ca="1">IFERROR(__xludf.DUMMYFUNCTION("""COMPUTED_VALUE"""),213.28)</f>
        <v>213.28</v>
      </c>
      <c r="C705" s="3">
        <v>193.30695310322301</v>
      </c>
    </row>
    <row r="706" spans="1:3" ht="13" x14ac:dyDescent="0.15">
      <c r="A706" s="1">
        <f ca="1">IFERROR(__xludf.DUMMYFUNCTION("""COMPUTED_VALUE"""),44180.6666666666)</f>
        <v>44180.666666666599</v>
      </c>
      <c r="B706" s="2">
        <f ca="1">IFERROR(__xludf.DUMMYFUNCTION("""COMPUTED_VALUE"""),211.08)</f>
        <v>211.08</v>
      </c>
      <c r="C706" s="3">
        <v>191.97970502514201</v>
      </c>
    </row>
    <row r="707" spans="1:3" ht="13" x14ac:dyDescent="0.15">
      <c r="A707" s="1">
        <f ca="1">IFERROR(__xludf.DUMMYFUNCTION("""COMPUTED_VALUE"""),44181.6666666666)</f>
        <v>44181.666666666599</v>
      </c>
      <c r="B707" s="2">
        <f ca="1">IFERROR(__xludf.DUMMYFUNCTION("""COMPUTED_VALUE"""),207.59)</f>
        <v>207.59</v>
      </c>
      <c r="C707" s="3">
        <v>191.810076326461</v>
      </c>
    </row>
    <row r="708" spans="1:3" ht="13" x14ac:dyDescent="0.15">
      <c r="A708" s="1">
        <f ca="1">IFERROR(__xludf.DUMMYFUNCTION("""COMPUTED_VALUE"""),44182.6666666666)</f>
        <v>44182.666666666599</v>
      </c>
      <c r="B708" s="2">
        <f ca="1">IFERROR(__xludf.DUMMYFUNCTION("""COMPUTED_VALUE"""),218.63)</f>
        <v>218.63</v>
      </c>
      <c r="C708" s="3">
        <v>191.175409187181</v>
      </c>
    </row>
    <row r="709" spans="1:3" ht="13" x14ac:dyDescent="0.15">
      <c r="A709" s="1">
        <f ca="1">IFERROR(__xludf.DUMMYFUNCTION("""COMPUTED_VALUE"""),44183.6666666666)</f>
        <v>44183.666666666599</v>
      </c>
      <c r="B709" s="2">
        <f ca="1">IFERROR(__xludf.DUMMYFUNCTION("""COMPUTED_VALUE"""),231.67)</f>
        <v>231.67</v>
      </c>
      <c r="C709" s="3">
        <v>190.601755755472</v>
      </c>
    </row>
    <row r="710" spans="1:3" ht="13" x14ac:dyDescent="0.15">
      <c r="A710" s="1">
        <f ca="1">IFERROR(__xludf.DUMMYFUNCTION("""COMPUTED_VALUE"""),44186.6666666666)</f>
        <v>44186.666666666599</v>
      </c>
      <c r="B710" s="2">
        <f ca="1">IFERROR(__xludf.DUMMYFUNCTION("""COMPUTED_VALUE"""),216.62)</f>
        <v>216.62</v>
      </c>
      <c r="C710" s="3">
        <v>193.101510045521</v>
      </c>
    </row>
    <row r="711" spans="1:3" ht="13" x14ac:dyDescent="0.15">
      <c r="A711" s="1">
        <f ca="1">IFERROR(__xludf.DUMMYFUNCTION("""COMPUTED_VALUE"""),44187.6666666666)</f>
        <v>44187.666666666599</v>
      </c>
      <c r="B711" s="2">
        <f ca="1">IFERROR(__xludf.DUMMYFUNCTION("""COMPUTED_VALUE"""),213.45)</f>
        <v>213.45</v>
      </c>
      <c r="C711" s="3">
        <v>192.650824785981</v>
      </c>
    </row>
    <row r="712" spans="1:3" ht="13" x14ac:dyDescent="0.15">
      <c r="A712" s="1">
        <f ca="1">IFERROR(__xludf.DUMMYFUNCTION("""COMPUTED_VALUE"""),44188.6666666666)</f>
        <v>44188.666666666599</v>
      </c>
      <c r="B712" s="2">
        <f ca="1">IFERROR(__xludf.DUMMYFUNCTION("""COMPUTED_VALUE"""),215.33)</f>
        <v>215.33</v>
      </c>
      <c r="C712" s="3">
        <v>193.441815041225</v>
      </c>
    </row>
    <row r="713" spans="1:3" ht="13" x14ac:dyDescent="0.15">
      <c r="A713" s="1">
        <f ca="1">IFERROR(__xludf.DUMMYFUNCTION("""COMPUTED_VALUE"""),44189.5416666666)</f>
        <v>44189.541666666599</v>
      </c>
      <c r="B713" s="2">
        <f ca="1">IFERROR(__xludf.DUMMYFUNCTION("""COMPUTED_VALUE"""),220.59)</f>
        <v>220.59</v>
      </c>
      <c r="C713" s="3">
        <v>193.828956239365</v>
      </c>
    </row>
    <row r="714" spans="1:3" ht="13" x14ac:dyDescent="0.15">
      <c r="A714" s="1">
        <f ca="1">IFERROR(__xludf.DUMMYFUNCTION("""COMPUTED_VALUE"""),44193.6666666666)</f>
        <v>44193.666666666599</v>
      </c>
      <c r="B714" s="2">
        <f ca="1">IFERROR(__xludf.DUMMYFUNCTION("""COMPUTED_VALUE"""),221.23)</f>
        <v>221.23</v>
      </c>
      <c r="C714" s="3">
        <v>199.95348050689199</v>
      </c>
    </row>
    <row r="715" spans="1:3" ht="13" x14ac:dyDescent="0.15">
      <c r="A715" s="1">
        <f ca="1">IFERROR(__xludf.DUMMYFUNCTION("""COMPUTED_VALUE"""),44194.6666666666)</f>
        <v>44194.666666666599</v>
      </c>
      <c r="B715" s="2">
        <f ca="1">IFERROR(__xludf.DUMMYFUNCTION("""COMPUTED_VALUE"""),222)</f>
        <v>222</v>
      </c>
      <c r="C715" s="3">
        <v>200.45404884309201</v>
      </c>
    </row>
    <row r="716" spans="1:3" ht="13" x14ac:dyDescent="0.15">
      <c r="A716" s="1">
        <f ca="1">IFERROR(__xludf.DUMMYFUNCTION("""COMPUTED_VALUE"""),44195.6666666666)</f>
        <v>44195.666666666599</v>
      </c>
      <c r="B716" s="2">
        <f ca="1">IFERROR(__xludf.DUMMYFUNCTION("""COMPUTED_VALUE"""),231.59)</f>
        <v>231.59</v>
      </c>
      <c r="C716" s="3">
        <v>202.1100658167</v>
      </c>
    </row>
    <row r="717" spans="1:3" ht="13" x14ac:dyDescent="0.15">
      <c r="A717" s="1">
        <f ca="1">IFERROR(__xludf.DUMMYFUNCTION("""COMPUTED_VALUE"""),44196.6666666666)</f>
        <v>44196.666666666599</v>
      </c>
      <c r="B717" s="2">
        <f ca="1">IFERROR(__xludf.DUMMYFUNCTION("""COMPUTED_VALUE"""),235.22)</f>
        <v>235.22</v>
      </c>
      <c r="C717" s="3">
        <v>203.25621781089501</v>
      </c>
    </row>
    <row r="718" spans="1:3" ht="13" x14ac:dyDescent="0.15">
      <c r="A718" s="1">
        <f ca="1">IFERROR(__xludf.DUMMYFUNCTION("""COMPUTED_VALUE"""),44200.6666666666)</f>
        <v>44200.666666666599</v>
      </c>
      <c r="B718" s="2">
        <f ca="1">IFERROR(__xludf.DUMMYFUNCTION("""COMPUTED_VALUE"""),243.26)</f>
        <v>243.26</v>
      </c>
      <c r="C718" s="3">
        <v>211.07566736180399</v>
      </c>
    </row>
    <row r="719" spans="1:3" ht="13" x14ac:dyDescent="0.15">
      <c r="A719" s="1">
        <f ca="1">IFERROR(__xludf.DUMMYFUNCTION("""COMPUTED_VALUE"""),44201.6666666666)</f>
        <v>44201.666666666599</v>
      </c>
      <c r="B719" s="2">
        <f ca="1">IFERROR(__xludf.DUMMYFUNCTION("""COMPUTED_VALUE"""),245.04)</f>
        <v>245.04</v>
      </c>
      <c r="C719" s="3">
        <v>211.628183978409</v>
      </c>
    </row>
    <row r="720" spans="1:3" ht="13" x14ac:dyDescent="0.15">
      <c r="A720" s="1">
        <f ca="1">IFERROR(__xludf.DUMMYFUNCTION("""COMPUTED_VALUE"""),44202.6666666666)</f>
        <v>44202.666666666599</v>
      </c>
      <c r="B720" s="2">
        <f ca="1">IFERROR(__xludf.DUMMYFUNCTION("""COMPUTED_VALUE"""),251.99)</f>
        <v>251.99</v>
      </c>
      <c r="C720" s="3">
        <v>213.18739983623999</v>
      </c>
    </row>
    <row r="721" spans="1:3" ht="13" x14ac:dyDescent="0.15">
      <c r="A721" s="1">
        <f ca="1">IFERROR(__xludf.DUMMYFUNCTION("""COMPUTED_VALUE"""),44203.6666666666)</f>
        <v>44203.666666666599</v>
      </c>
      <c r="B721" s="2">
        <f ca="1">IFERROR(__xludf.DUMMYFUNCTION("""COMPUTED_VALUE"""),272.01)</f>
        <v>272.01</v>
      </c>
      <c r="C721" s="3">
        <v>214.09529676946201</v>
      </c>
    </row>
    <row r="722" spans="1:3" ht="13" x14ac:dyDescent="0.15">
      <c r="A722" s="1">
        <f ca="1">IFERROR(__xludf.DUMMYFUNCTION("""COMPUTED_VALUE"""),44204.6666666666)</f>
        <v>44204.666666666599</v>
      </c>
      <c r="B722" s="2">
        <f ca="1">IFERROR(__xludf.DUMMYFUNCTION("""COMPUTED_VALUE"""),293.34)</f>
        <v>293.33999999999997</v>
      </c>
      <c r="C722" s="3">
        <v>214.84783937055801</v>
      </c>
    </row>
    <row r="723" spans="1:3" ht="13" x14ac:dyDescent="0.15">
      <c r="A723" s="1">
        <f ca="1">IFERROR(__xludf.DUMMYFUNCTION("""COMPUTED_VALUE"""),44207.6666666666)</f>
        <v>44207.666666666599</v>
      </c>
      <c r="B723" s="2">
        <f ca="1">IFERROR(__xludf.DUMMYFUNCTION("""COMPUTED_VALUE"""),270.4)</f>
        <v>270.39999999999998</v>
      </c>
      <c r="C723" s="3">
        <v>219.821847565474</v>
      </c>
    </row>
    <row r="724" spans="1:3" ht="13" x14ac:dyDescent="0.15">
      <c r="A724" s="1">
        <f ca="1">IFERROR(__xludf.DUMMYFUNCTION("""COMPUTED_VALUE"""),44208.6666666666)</f>
        <v>44208.666666666599</v>
      </c>
      <c r="B724" s="2">
        <f ca="1">IFERROR(__xludf.DUMMYFUNCTION("""COMPUTED_VALUE"""),283.15)</f>
        <v>283.14999999999998</v>
      </c>
      <c r="C724" s="3">
        <v>219.660833804757</v>
      </c>
    </row>
    <row r="725" spans="1:3" ht="13" x14ac:dyDescent="0.15">
      <c r="A725" s="1">
        <f ca="1">IFERROR(__xludf.DUMMYFUNCTION("""COMPUTED_VALUE"""),44209.6666666666)</f>
        <v>44209.666666666599</v>
      </c>
      <c r="B725" s="2">
        <f ca="1">IFERROR(__xludf.DUMMYFUNCTION("""COMPUTED_VALUE"""),284.8)</f>
        <v>284.8</v>
      </c>
      <c r="C725" s="3">
        <v>220.475471319881</v>
      </c>
    </row>
    <row r="726" spans="1:3" ht="13" x14ac:dyDescent="0.15">
      <c r="A726" s="1">
        <f ca="1">IFERROR(__xludf.DUMMYFUNCTION("""COMPUTED_VALUE"""),44210.6666666666)</f>
        <v>44210.666666666599</v>
      </c>
      <c r="B726" s="2">
        <f ca="1">IFERROR(__xludf.DUMMYFUNCTION("""COMPUTED_VALUE"""),281.67)</f>
        <v>281.67</v>
      </c>
      <c r="C726" s="3">
        <v>220.632029292938</v>
      </c>
    </row>
    <row r="727" spans="1:3" ht="13" x14ac:dyDescent="0.15">
      <c r="A727" s="1">
        <f ca="1">IFERROR(__xludf.DUMMYFUNCTION("""COMPUTED_VALUE"""),44211.6666666666)</f>
        <v>44211.666666666599</v>
      </c>
      <c r="B727" s="2">
        <f ca="1">IFERROR(__xludf.DUMMYFUNCTION("""COMPUTED_VALUE"""),275.39)</f>
        <v>275.39</v>
      </c>
      <c r="C727" s="3">
        <v>220.33393410864801</v>
      </c>
    </row>
    <row r="728" spans="1:3" ht="13" x14ac:dyDescent="0.15">
      <c r="A728" s="1">
        <f ca="1">IFERROR(__xludf.DUMMYFUNCTION("""COMPUTED_VALUE"""),44215.6666666666)</f>
        <v>44215.666666666599</v>
      </c>
      <c r="B728" s="2">
        <f ca="1">IFERROR(__xludf.DUMMYFUNCTION("""COMPUTED_VALUE"""),281.52)</f>
        <v>281.52</v>
      </c>
      <c r="C728" s="3">
        <v>221.55657297008901</v>
      </c>
    </row>
    <row r="729" spans="1:3" ht="13" x14ac:dyDescent="0.15">
      <c r="A729" s="1">
        <f ca="1">IFERROR(__xludf.DUMMYFUNCTION("""COMPUTED_VALUE"""),44216.6666666666)</f>
        <v>44216.666666666599</v>
      </c>
      <c r="B729" s="2">
        <f ca="1">IFERROR(__xludf.DUMMYFUNCTION("""COMPUTED_VALUE"""),283.48)</f>
        <v>283.48</v>
      </c>
      <c r="C729" s="3">
        <v>221.716101728674</v>
      </c>
    </row>
    <row r="730" spans="1:3" ht="13" x14ac:dyDescent="0.15">
      <c r="A730" s="1">
        <f ca="1">IFERROR(__xludf.DUMMYFUNCTION("""COMPUTED_VALUE"""),44217.6666666666)</f>
        <v>44217.666666666599</v>
      </c>
      <c r="B730" s="2">
        <f ca="1">IFERROR(__xludf.DUMMYFUNCTION("""COMPUTED_VALUE"""),281.66)</f>
        <v>281.66000000000003</v>
      </c>
      <c r="C730" s="3">
        <v>221.33921812114301</v>
      </c>
    </row>
    <row r="731" spans="1:3" ht="13" x14ac:dyDescent="0.15">
      <c r="A731" s="1">
        <f ca="1">IFERROR(__xludf.DUMMYFUNCTION("""COMPUTED_VALUE"""),44218.6666666666)</f>
        <v>44218.666666666599</v>
      </c>
      <c r="B731" s="2">
        <f ca="1">IFERROR(__xludf.DUMMYFUNCTION("""COMPUTED_VALUE"""),282.21)</f>
        <v>282.20999999999998</v>
      </c>
      <c r="C731" s="3">
        <v>220.951685025307</v>
      </c>
    </row>
    <row r="732" spans="1:3" ht="13" x14ac:dyDescent="0.15">
      <c r="A732" s="1">
        <f ca="1">IFERROR(__xludf.DUMMYFUNCTION("""COMPUTED_VALUE"""),44221.6666666666)</f>
        <v>44221.666666666599</v>
      </c>
      <c r="B732" s="2">
        <f ca="1">IFERROR(__xludf.DUMMYFUNCTION("""COMPUTED_VALUE"""),293.6)</f>
        <v>293.60000000000002</v>
      </c>
      <c r="C732" s="3">
        <v>223.59120650574701</v>
      </c>
    </row>
    <row r="733" spans="1:3" ht="13" x14ac:dyDescent="0.15">
      <c r="A733" s="1">
        <f ca="1">IFERROR(__xludf.DUMMYFUNCTION("""COMPUTED_VALUE"""),44222.6666666666)</f>
        <v>44222.666666666599</v>
      </c>
      <c r="B733" s="2">
        <f ca="1">IFERROR(__xludf.DUMMYFUNCTION("""COMPUTED_VALUE"""),294.36)</f>
        <v>294.36</v>
      </c>
      <c r="C733" s="3">
        <v>223.05511719876</v>
      </c>
    </row>
    <row r="734" spans="1:3" ht="13" x14ac:dyDescent="0.15">
      <c r="A734" s="1">
        <f ca="1">IFERROR(__xludf.DUMMYFUNCTION("""COMPUTED_VALUE"""),44223.6666666666)</f>
        <v>44223.666666666599</v>
      </c>
      <c r="B734" s="2">
        <f ca="1">IFERROR(__xludf.DUMMYFUNCTION("""COMPUTED_VALUE"""),288.05)</f>
        <v>288.05</v>
      </c>
      <c r="C734" s="3">
        <v>223.69974927369901</v>
      </c>
    </row>
    <row r="735" spans="1:3" ht="13" x14ac:dyDescent="0.15">
      <c r="A735" s="1">
        <f ca="1">IFERROR(__xludf.DUMMYFUNCTION("""COMPUTED_VALUE"""),44224.6666666666)</f>
        <v>44224.666666666599</v>
      </c>
      <c r="B735" s="2">
        <f ca="1">IFERROR(__xludf.DUMMYFUNCTION("""COMPUTED_VALUE"""),278.48)</f>
        <v>278.48</v>
      </c>
      <c r="C735" s="3">
        <v>223.882974207628</v>
      </c>
    </row>
    <row r="736" spans="1:3" ht="13" x14ac:dyDescent="0.15">
      <c r="A736" s="1">
        <f ca="1">IFERROR(__xludf.DUMMYFUNCTION("""COMPUTED_VALUE"""),44225.6666666666)</f>
        <v>44225.666666666599</v>
      </c>
      <c r="B736" s="2">
        <f ca="1">IFERROR(__xludf.DUMMYFUNCTION("""COMPUTED_VALUE"""),264.51)</f>
        <v>264.51</v>
      </c>
      <c r="C736" s="3">
        <v>224.10969413320001</v>
      </c>
    </row>
    <row r="737" spans="1:3" ht="13" x14ac:dyDescent="0.15">
      <c r="A737" s="1">
        <f ca="1">IFERROR(__xludf.DUMMYFUNCTION("""COMPUTED_VALUE"""),44228.6666666666)</f>
        <v>44228.666666666599</v>
      </c>
      <c r="B737" s="2">
        <f ca="1">IFERROR(__xludf.DUMMYFUNCTION("""COMPUTED_VALUE"""),279.94)</f>
        <v>279.94</v>
      </c>
      <c r="C737" s="3">
        <v>228.67944685081</v>
      </c>
    </row>
    <row r="738" spans="1:3" ht="13" x14ac:dyDescent="0.15">
      <c r="A738" s="1">
        <f ca="1">IFERROR(__xludf.DUMMYFUNCTION("""COMPUTED_VALUE"""),44229.6666666666)</f>
        <v>44229.666666666599</v>
      </c>
      <c r="B738" s="2">
        <f ca="1">IFERROR(__xludf.DUMMYFUNCTION("""COMPUTED_VALUE"""),290.93)</f>
        <v>290.93</v>
      </c>
      <c r="C738" s="3">
        <v>228.73206642171201</v>
      </c>
    </row>
    <row r="739" spans="1:3" ht="13" x14ac:dyDescent="0.15">
      <c r="A739" s="1">
        <f ca="1">IFERROR(__xludf.DUMMYFUNCTION("""COMPUTED_VALUE"""),44230.6666666666)</f>
        <v>44230.666666666599</v>
      </c>
      <c r="B739" s="2">
        <f ca="1">IFERROR(__xludf.DUMMYFUNCTION("""COMPUTED_VALUE"""),284.9)</f>
        <v>284.89999999999998</v>
      </c>
      <c r="C739" s="3">
        <v>229.896342863027</v>
      </c>
    </row>
    <row r="740" spans="1:3" ht="13" x14ac:dyDescent="0.15">
      <c r="A740" s="1">
        <f ca="1">IFERROR(__xludf.DUMMYFUNCTION("""COMPUTED_VALUE"""),44231.6666666666)</f>
        <v>44231.666666666599</v>
      </c>
      <c r="B740" s="2">
        <f ca="1">IFERROR(__xludf.DUMMYFUNCTION("""COMPUTED_VALUE"""),283.33)</f>
        <v>283.33</v>
      </c>
      <c r="C740" s="3">
        <v>230.50680825279201</v>
      </c>
    </row>
    <row r="741" spans="1:3" ht="13" x14ac:dyDescent="0.15">
      <c r="A741" s="1">
        <f ca="1">IFERROR(__xludf.DUMMYFUNCTION("""COMPUTED_VALUE"""),44232.6666666666)</f>
        <v>44232.666666666599</v>
      </c>
      <c r="B741" s="2">
        <f ca="1">IFERROR(__xludf.DUMMYFUNCTION("""COMPUTED_VALUE"""),284.08)</f>
        <v>284.08</v>
      </c>
      <c r="C741" s="3">
        <v>231.04714792738201</v>
      </c>
    </row>
    <row r="742" spans="1:3" ht="13" x14ac:dyDescent="0.15">
      <c r="A742" s="1">
        <f ca="1">IFERROR(__xludf.DUMMYFUNCTION("""COMPUTED_VALUE"""),44235.6666666666)</f>
        <v>44235.666666666599</v>
      </c>
      <c r="B742" s="2">
        <f ca="1">IFERROR(__xludf.DUMMYFUNCTION("""COMPUTED_VALUE"""),287.81)</f>
        <v>287.81</v>
      </c>
      <c r="C742" s="3">
        <v>235.708746371058</v>
      </c>
    </row>
    <row r="743" spans="1:3" ht="13" x14ac:dyDescent="0.15">
      <c r="A743" s="1">
        <f ca="1">IFERROR(__xludf.DUMMYFUNCTION("""COMPUTED_VALUE"""),44236.6666666666)</f>
        <v>44236.666666666599</v>
      </c>
      <c r="B743" s="2">
        <f ca="1">IFERROR(__xludf.DUMMYFUNCTION("""COMPUTED_VALUE"""),283.15)</f>
        <v>283.14999999999998</v>
      </c>
      <c r="C743" s="3">
        <v>235.471748305566</v>
      </c>
    </row>
    <row r="744" spans="1:3" ht="13" x14ac:dyDescent="0.15">
      <c r="A744" s="1">
        <f ca="1">IFERROR(__xludf.DUMMYFUNCTION("""COMPUTED_VALUE"""),44237.6666666666)</f>
        <v>44237.666666666599</v>
      </c>
      <c r="B744" s="2">
        <f ca="1">IFERROR(__xludf.DUMMYFUNCTION("""COMPUTED_VALUE"""),268.27)</f>
        <v>268.27</v>
      </c>
      <c r="C744" s="3">
        <v>236.17825884416001</v>
      </c>
    </row>
    <row r="745" spans="1:3" ht="13" x14ac:dyDescent="0.15">
      <c r="A745" s="1">
        <f ca="1">IFERROR(__xludf.DUMMYFUNCTION("""COMPUTED_VALUE"""),44238.6666666666)</f>
        <v>44238.666666666599</v>
      </c>
      <c r="B745" s="2">
        <f ca="1">IFERROR(__xludf.DUMMYFUNCTION("""COMPUTED_VALUE"""),270.55)</f>
        <v>270.55</v>
      </c>
      <c r="C745" s="3">
        <v>236.16480653657899</v>
      </c>
    </row>
    <row r="746" spans="1:3" ht="13" x14ac:dyDescent="0.15">
      <c r="A746" s="1">
        <f ca="1">IFERROR(__xludf.DUMMYFUNCTION("""COMPUTED_VALUE"""),44239.6666666666)</f>
        <v>44239.666666666599</v>
      </c>
      <c r="B746" s="2">
        <f ca="1">IFERROR(__xludf.DUMMYFUNCTION("""COMPUTED_VALUE"""),272.04)</f>
        <v>272.04000000000002</v>
      </c>
      <c r="C746" s="3">
        <v>235.92169593388701</v>
      </c>
    </row>
    <row r="747" spans="1:3" ht="13" x14ac:dyDescent="0.15">
      <c r="A747" s="1">
        <f ca="1">IFERROR(__xludf.DUMMYFUNCTION("""COMPUTED_VALUE"""),44243.6666666666)</f>
        <v>44243.666666666599</v>
      </c>
      <c r="B747" s="2">
        <f ca="1">IFERROR(__xludf.DUMMYFUNCTION("""COMPUTED_VALUE"""),265.41)</f>
        <v>265.41000000000003</v>
      </c>
      <c r="C747" s="3">
        <v>235.90155351746901</v>
      </c>
    </row>
    <row r="748" spans="1:3" ht="13" x14ac:dyDescent="0.15">
      <c r="A748" s="1">
        <f ca="1">IFERROR(__xludf.DUMMYFUNCTION("""COMPUTED_VALUE"""),44244.6666666666)</f>
        <v>44244.666666666599</v>
      </c>
      <c r="B748" s="2">
        <f ca="1">IFERROR(__xludf.DUMMYFUNCTION("""COMPUTED_VALUE"""),266.05)</f>
        <v>266.05</v>
      </c>
      <c r="C748" s="3">
        <v>235.273302140841</v>
      </c>
    </row>
    <row r="749" spans="1:3" ht="13" x14ac:dyDescent="0.15">
      <c r="A749" s="1">
        <f ca="1">IFERROR(__xludf.DUMMYFUNCTION("""COMPUTED_VALUE"""),44245.6666666666)</f>
        <v>44245.666666666599</v>
      </c>
      <c r="B749" s="2">
        <f ca="1">IFERROR(__xludf.DUMMYFUNCTION("""COMPUTED_VALUE"""),262.46)</f>
        <v>262.45999999999998</v>
      </c>
      <c r="C749" s="3">
        <v>233.887695486371</v>
      </c>
    </row>
    <row r="750" spans="1:3" ht="13" x14ac:dyDescent="0.15">
      <c r="A750" s="1">
        <f ca="1">IFERROR(__xludf.DUMMYFUNCTION("""COMPUTED_VALUE"""),44246.6666666666)</f>
        <v>44246.666666666599</v>
      </c>
      <c r="B750" s="2">
        <f ca="1">IFERROR(__xludf.DUMMYFUNCTION("""COMPUTED_VALUE"""),260.43)</f>
        <v>260.43</v>
      </c>
      <c r="C750" s="3">
        <v>232.26446410904799</v>
      </c>
    </row>
    <row r="751" spans="1:3" ht="13" x14ac:dyDescent="0.15">
      <c r="A751" s="1">
        <f ca="1">IFERROR(__xludf.DUMMYFUNCTION("""COMPUTED_VALUE"""),44249.6666666666)</f>
        <v>44249.666666666599</v>
      </c>
      <c r="B751" s="2">
        <f ca="1">IFERROR(__xludf.DUMMYFUNCTION("""COMPUTED_VALUE"""),238.17)</f>
        <v>238.17</v>
      </c>
      <c r="C751" s="3">
        <v>229.8640371914</v>
      </c>
    </row>
    <row r="752" spans="1:3" ht="13" x14ac:dyDescent="0.15">
      <c r="A752" s="1">
        <f ca="1">IFERROR(__xludf.DUMMYFUNCTION("""COMPUTED_VALUE"""),44250.6666666666)</f>
        <v>44250.666666666599</v>
      </c>
      <c r="B752" s="2">
        <f ca="1">IFERROR(__xludf.DUMMYFUNCTION("""COMPUTED_VALUE"""),232.95)</f>
        <v>232.95</v>
      </c>
      <c r="C752" s="3">
        <v>227.243944432826</v>
      </c>
    </row>
    <row r="753" spans="1:3" ht="13" x14ac:dyDescent="0.15">
      <c r="A753" s="1">
        <f ca="1">IFERROR(__xludf.DUMMYFUNCTION("""COMPUTED_VALUE"""),44251.6666666666)</f>
        <v>44251.666666666599</v>
      </c>
      <c r="B753" s="2">
        <f ca="1">IFERROR(__xludf.DUMMYFUNCTION("""COMPUTED_VALUE"""),247.34)</f>
        <v>247.34</v>
      </c>
      <c r="C753" s="3">
        <v>225.637639862849</v>
      </c>
    </row>
    <row r="754" spans="1:3" ht="13" x14ac:dyDescent="0.15">
      <c r="A754" s="1">
        <f ca="1">IFERROR(__xludf.DUMMYFUNCTION("""COMPUTED_VALUE"""),44252.6666666666)</f>
        <v>44252.666666666599</v>
      </c>
      <c r="B754" s="2">
        <f ca="1">IFERROR(__xludf.DUMMYFUNCTION("""COMPUTED_VALUE"""),227.41)</f>
        <v>227.41</v>
      </c>
      <c r="C754" s="3">
        <v>223.432340797856</v>
      </c>
    </row>
    <row r="755" spans="1:3" ht="13" x14ac:dyDescent="0.15">
      <c r="A755" s="1">
        <f ca="1">IFERROR(__xludf.DUMMYFUNCTION("""COMPUTED_VALUE"""),44253.6666666666)</f>
        <v>44253.666666666599</v>
      </c>
      <c r="B755" s="2">
        <f ca="1">IFERROR(__xludf.DUMMYFUNCTION("""COMPUTED_VALUE"""),225.17)</f>
        <v>225.17</v>
      </c>
      <c r="C755" s="3">
        <v>221.16709586386901</v>
      </c>
    </row>
    <row r="756" spans="1:3" ht="13" x14ac:dyDescent="0.15">
      <c r="A756" s="1">
        <f ca="1">IFERROR(__xludf.DUMMYFUNCTION("""COMPUTED_VALUE"""),44256.6666666666)</f>
        <v>44256.666666666599</v>
      </c>
      <c r="B756" s="2">
        <f ca="1">IFERROR(__xludf.DUMMYFUNCTION("""COMPUTED_VALUE"""),239.48)</f>
        <v>239.48</v>
      </c>
      <c r="C756" s="3">
        <v>218.038125339781</v>
      </c>
    </row>
    <row r="757" spans="1:3" ht="13" x14ac:dyDescent="0.15">
      <c r="A757" s="1">
        <f ca="1">IFERROR(__xludf.DUMMYFUNCTION("""COMPUTED_VALUE"""),44257.6666666666)</f>
        <v>44257.666666666599</v>
      </c>
      <c r="B757" s="2">
        <f ca="1">IFERROR(__xludf.DUMMYFUNCTION("""COMPUTED_VALUE"""),228.81)</f>
        <v>228.81</v>
      </c>
      <c r="C757" s="3">
        <v>215.595422612692</v>
      </c>
    </row>
    <row r="758" spans="1:3" ht="13" x14ac:dyDescent="0.15">
      <c r="A758" s="1">
        <f ca="1">IFERROR(__xludf.DUMMYFUNCTION("""COMPUTED_VALUE"""),44258.6666666666)</f>
        <v>44258.666666666599</v>
      </c>
      <c r="B758" s="2">
        <f ca="1">IFERROR(__xludf.DUMMYFUNCTION("""COMPUTED_VALUE"""),217.73)</f>
        <v>217.73</v>
      </c>
      <c r="C758" s="3">
        <v>214.375280963081</v>
      </c>
    </row>
    <row r="759" spans="1:3" ht="13" x14ac:dyDescent="0.15">
      <c r="A759" s="1">
        <f ca="1">IFERROR(__xludf.DUMMYFUNCTION("""COMPUTED_VALUE"""),44259.6666666666)</f>
        <v>44259.666666666599</v>
      </c>
      <c r="B759" s="2">
        <f ca="1">IFERROR(__xludf.DUMMYFUNCTION("""COMPUTED_VALUE"""),207.15)</f>
        <v>207.15</v>
      </c>
      <c r="C759" s="3">
        <v>212.75702060507501</v>
      </c>
    </row>
    <row r="760" spans="1:3" ht="13" x14ac:dyDescent="0.15">
      <c r="A760" s="1">
        <f ca="1">IFERROR(__xludf.DUMMYFUNCTION("""COMPUTED_VALUE"""),44260.6666666666)</f>
        <v>44260.666666666599</v>
      </c>
      <c r="B760" s="2">
        <f ca="1">IFERROR(__xludf.DUMMYFUNCTION("""COMPUTED_VALUE"""),199.32)</f>
        <v>199.32</v>
      </c>
      <c r="C760" s="3">
        <v>211.26732315677501</v>
      </c>
    </row>
    <row r="761" spans="1:3" ht="13" x14ac:dyDescent="0.15">
      <c r="A761" s="1">
        <f ca="1">IFERROR(__xludf.DUMMYFUNCTION("""COMPUTED_VALUE"""),44263.6666666666)</f>
        <v>44263.666666666599</v>
      </c>
      <c r="B761" s="2">
        <f ca="1">IFERROR(__xludf.DUMMYFUNCTION("""COMPUTED_VALUE"""),187.67)</f>
        <v>187.67</v>
      </c>
      <c r="C761" s="3">
        <v>211.41315158615399</v>
      </c>
    </row>
    <row r="762" spans="1:3" ht="13" x14ac:dyDescent="0.15">
      <c r="A762" s="1">
        <f ca="1">IFERROR(__xludf.DUMMYFUNCTION("""COMPUTED_VALUE"""),44264.6666666666)</f>
        <v>44264.666666666599</v>
      </c>
      <c r="B762" s="2">
        <f ca="1">IFERROR(__xludf.DUMMYFUNCTION("""COMPUTED_VALUE"""),224.53)</f>
        <v>224.53</v>
      </c>
      <c r="C762" s="3">
        <v>210.30090440102401</v>
      </c>
    </row>
    <row r="763" spans="1:3" ht="13" x14ac:dyDescent="0.15">
      <c r="A763" s="1">
        <f ca="1">IFERROR(__xludf.DUMMYFUNCTION("""COMPUTED_VALUE"""),44265.6666666666)</f>
        <v>44265.666666666599</v>
      </c>
      <c r="B763" s="2">
        <f ca="1">IFERROR(__xludf.DUMMYFUNCTION("""COMPUTED_VALUE"""),222.69)</f>
        <v>222.69</v>
      </c>
      <c r="C763" s="3">
        <v>210.48605229196701</v>
      </c>
    </row>
    <row r="764" spans="1:3" ht="13" x14ac:dyDescent="0.15">
      <c r="A764" s="1">
        <f ca="1">IFERROR(__xludf.DUMMYFUNCTION("""COMPUTED_VALUE"""),44266.6666666666)</f>
        <v>44266.666666666599</v>
      </c>
      <c r="B764" s="2">
        <f ca="1">IFERROR(__xludf.DUMMYFUNCTION("""COMPUTED_VALUE"""),233.2)</f>
        <v>233.2</v>
      </c>
      <c r="C764" s="3">
        <v>210.31899006606099</v>
      </c>
    </row>
    <row r="765" spans="1:3" ht="13" x14ac:dyDescent="0.15">
      <c r="A765" s="1">
        <f ca="1">IFERROR(__xludf.DUMMYFUNCTION("""COMPUTED_VALUE"""),44267.6666666666)</f>
        <v>44267.666666666599</v>
      </c>
      <c r="B765" s="2">
        <f ca="1">IFERROR(__xludf.DUMMYFUNCTION("""COMPUTED_VALUE"""),231.24)</f>
        <v>231.24</v>
      </c>
      <c r="C765" s="3">
        <v>210.29703923136299</v>
      </c>
    </row>
    <row r="766" spans="1:3" ht="13" x14ac:dyDescent="0.15">
      <c r="A766" s="1">
        <f ca="1">IFERROR(__xludf.DUMMYFUNCTION("""COMPUTED_VALUE"""),44270.6666666666)</f>
        <v>44270.666666666599</v>
      </c>
      <c r="B766" s="2">
        <f ca="1">IFERROR(__xludf.DUMMYFUNCTION("""COMPUTED_VALUE"""),235.98)</f>
        <v>235.98</v>
      </c>
      <c r="C766" s="3">
        <v>214.66046092583801</v>
      </c>
    </row>
    <row r="767" spans="1:3" ht="13" x14ac:dyDescent="0.15">
      <c r="A767" s="1">
        <f ca="1">IFERROR(__xludf.DUMMYFUNCTION("""COMPUTED_VALUE"""),44271.6666666666)</f>
        <v>44271.666666666599</v>
      </c>
      <c r="B767" s="2">
        <f ca="1">IFERROR(__xludf.DUMMYFUNCTION("""COMPUTED_VALUE"""),225.63)</f>
        <v>225.63</v>
      </c>
      <c r="C767" s="3">
        <v>214.80488280843301</v>
      </c>
    </row>
    <row r="768" spans="1:3" ht="13" x14ac:dyDescent="0.15">
      <c r="A768" s="1">
        <f ca="1">IFERROR(__xludf.DUMMYFUNCTION("""COMPUTED_VALUE"""),44272.6666666666)</f>
        <v>44272.666666666599</v>
      </c>
      <c r="B768" s="2">
        <f ca="1">IFERROR(__xludf.DUMMYFUNCTION("""COMPUTED_VALUE"""),233.94)</f>
        <v>233.94</v>
      </c>
      <c r="C768" s="3">
        <v>216.13441736192101</v>
      </c>
    </row>
    <row r="769" spans="1:3" ht="13" x14ac:dyDescent="0.15">
      <c r="A769" s="1">
        <f ca="1">IFERROR(__xludf.DUMMYFUNCTION("""COMPUTED_VALUE"""),44273.6666666666)</f>
        <v>44273.666666666599</v>
      </c>
      <c r="B769" s="2">
        <f ca="1">IFERROR(__xludf.DUMMYFUNCTION("""COMPUTED_VALUE"""),217.72)</f>
        <v>217.72</v>
      </c>
      <c r="C769" s="3">
        <v>216.98150746195199</v>
      </c>
    </row>
    <row r="770" spans="1:3" ht="13" x14ac:dyDescent="0.15">
      <c r="A770" s="1">
        <f ca="1">IFERROR(__xludf.DUMMYFUNCTION("""COMPUTED_VALUE"""),44274.6666666666)</f>
        <v>44274.666666666599</v>
      </c>
      <c r="B770" s="2">
        <f ca="1">IFERROR(__xludf.DUMMYFUNCTION("""COMPUTED_VALUE"""),218.29)</f>
        <v>218.29</v>
      </c>
      <c r="C770" s="3">
        <v>217.82917597418501</v>
      </c>
    </row>
    <row r="771" spans="1:3" ht="13" x14ac:dyDescent="0.15">
      <c r="A771" s="1">
        <f ca="1">IFERROR(__xludf.DUMMYFUNCTION("""COMPUTED_VALUE"""),44277.6666666666)</f>
        <v>44277.666666666599</v>
      </c>
      <c r="B771" s="2">
        <f ca="1">IFERROR(__xludf.DUMMYFUNCTION("""COMPUTED_VALUE"""),223.33)</f>
        <v>223.33</v>
      </c>
      <c r="C771" s="3">
        <v>223.85060097644899</v>
      </c>
    </row>
    <row r="772" spans="1:3" ht="13" x14ac:dyDescent="0.15">
      <c r="A772" s="1">
        <f ca="1">IFERROR(__xludf.DUMMYFUNCTION("""COMPUTED_VALUE"""),44278.6666666666)</f>
        <v>44278.666666666599</v>
      </c>
      <c r="B772" s="2">
        <f ca="1">IFERROR(__xludf.DUMMYFUNCTION("""COMPUTED_VALUE"""),220.72)</f>
        <v>220.72</v>
      </c>
      <c r="C772" s="3">
        <v>224.22309407409199</v>
      </c>
    </row>
    <row r="773" spans="1:3" ht="13" x14ac:dyDescent="0.15">
      <c r="A773" s="1">
        <f ca="1">IFERROR(__xludf.DUMMYFUNCTION("""COMPUTED_VALUE"""),44279.6666666666)</f>
        <v>44279.666666666599</v>
      </c>
      <c r="B773" s="2">
        <f ca="1">IFERROR(__xludf.DUMMYFUNCTION("""COMPUTED_VALUE"""),210.09)</f>
        <v>210.09</v>
      </c>
      <c r="C773" s="3">
        <v>225.624410943475</v>
      </c>
    </row>
    <row r="774" spans="1:3" ht="13" x14ac:dyDescent="0.15">
      <c r="A774" s="1">
        <f ca="1">IFERROR(__xludf.DUMMYFUNCTION("""COMPUTED_VALUE"""),44280.6666666666)</f>
        <v>44280.666666666599</v>
      </c>
      <c r="B774" s="2">
        <f ca="1">IFERROR(__xludf.DUMMYFUNCTION("""COMPUTED_VALUE"""),213.46)</f>
        <v>213.46</v>
      </c>
      <c r="C774" s="3">
        <v>226.39602954823599</v>
      </c>
    </row>
    <row r="775" spans="1:3" ht="13" x14ac:dyDescent="0.15">
      <c r="A775" s="1">
        <f ca="1">IFERROR(__xludf.DUMMYFUNCTION("""COMPUTED_VALUE"""),44281.6666666666)</f>
        <v>44281.666666666599</v>
      </c>
      <c r="B775" s="2">
        <f ca="1">IFERROR(__xludf.DUMMYFUNCTION("""COMPUTED_VALUE"""),206.24)</f>
        <v>206.24</v>
      </c>
      <c r="C775" s="3">
        <v>227.03313603882</v>
      </c>
    </row>
    <row r="776" spans="1:3" ht="13" x14ac:dyDescent="0.15">
      <c r="A776" s="1">
        <f ca="1">IFERROR(__xludf.DUMMYFUNCTION("""COMPUTED_VALUE"""),44284.6666666666)</f>
        <v>44284.666666666599</v>
      </c>
      <c r="B776" s="2">
        <f ca="1">IFERROR(__xludf.DUMMYFUNCTION("""COMPUTED_VALUE"""),203.76)</f>
        <v>203.76</v>
      </c>
      <c r="C776" s="3">
        <v>231.770828503198</v>
      </c>
    </row>
    <row r="777" spans="1:3" ht="13" x14ac:dyDescent="0.15">
      <c r="A777" s="1">
        <f ca="1">IFERROR(__xludf.DUMMYFUNCTION("""COMPUTED_VALUE"""),44285.6666666666)</f>
        <v>44285.666666666599</v>
      </c>
      <c r="B777" s="2">
        <f ca="1">IFERROR(__xludf.DUMMYFUNCTION("""COMPUTED_VALUE"""),211.87)</f>
        <v>211.87</v>
      </c>
      <c r="C777" s="3">
        <v>231.55933204554901</v>
      </c>
    </row>
    <row r="778" spans="1:3" ht="13" x14ac:dyDescent="0.15">
      <c r="A778" s="1">
        <f ca="1">IFERROR(__xludf.DUMMYFUNCTION("""COMPUTED_VALUE"""),44286.6666666666)</f>
        <v>44286.666666666599</v>
      </c>
      <c r="B778" s="2">
        <f ca="1">IFERROR(__xludf.DUMMYFUNCTION("""COMPUTED_VALUE"""),222.64)</f>
        <v>222.64</v>
      </c>
      <c r="C778" s="3">
        <v>232.33140266911499</v>
      </c>
    </row>
    <row r="779" spans="1:3" ht="13" x14ac:dyDescent="0.15">
      <c r="A779" s="1">
        <f ca="1">IFERROR(__xludf.DUMMYFUNCTION("""COMPUTED_VALUE"""),44287.6666666666)</f>
        <v>44287.666666666599</v>
      </c>
      <c r="B779" s="2">
        <f ca="1">IFERROR(__xludf.DUMMYFUNCTION("""COMPUTED_VALUE"""),220.58)</f>
        <v>220.58</v>
      </c>
      <c r="C779" s="3">
        <v>232.448210129307</v>
      </c>
    </row>
    <row r="780" spans="1:3" ht="13" x14ac:dyDescent="0.15">
      <c r="A780" s="1">
        <f ca="1">IFERROR(__xludf.DUMMYFUNCTION("""COMPUTED_VALUE"""),44291.6666666666)</f>
        <v>44291.666666666599</v>
      </c>
      <c r="B780" s="2">
        <f ca="1">IFERROR(__xludf.DUMMYFUNCTION("""COMPUTED_VALUE"""),230.35)</f>
        <v>230.35</v>
      </c>
      <c r="C780" s="3">
        <v>235.30303819392799</v>
      </c>
    </row>
    <row r="781" spans="1:3" ht="13" x14ac:dyDescent="0.15">
      <c r="A781" s="1">
        <f ca="1">IFERROR(__xludf.DUMMYFUNCTION("""COMPUTED_VALUE"""),44292.6666666666)</f>
        <v>44292.666666666599</v>
      </c>
      <c r="B781" s="2">
        <f ca="1">IFERROR(__xludf.DUMMYFUNCTION("""COMPUTED_VALUE"""),230.54)</f>
        <v>230.54</v>
      </c>
      <c r="C781" s="3">
        <v>234.55874329096201</v>
      </c>
    </row>
    <row r="782" spans="1:3" ht="13" x14ac:dyDescent="0.15">
      <c r="A782" s="1">
        <f ca="1">IFERROR(__xludf.DUMMYFUNCTION("""COMPUTED_VALUE"""),44293.6666666666)</f>
        <v>44293.666666666599</v>
      </c>
      <c r="B782" s="2">
        <f ca="1">IFERROR(__xludf.DUMMYFUNCTION("""COMPUTED_VALUE"""),223.66)</f>
        <v>223.66</v>
      </c>
      <c r="C782" s="3">
        <v>234.85725431469299</v>
      </c>
    </row>
    <row r="783" spans="1:3" ht="13" x14ac:dyDescent="0.15">
      <c r="A783" s="1">
        <f ca="1">IFERROR(__xludf.DUMMYFUNCTION("""COMPUTED_VALUE"""),44294.6666666666)</f>
        <v>44294.666666666599</v>
      </c>
      <c r="B783" s="2">
        <f ca="1">IFERROR(__xludf.DUMMYFUNCTION("""COMPUTED_VALUE"""),227.93)</f>
        <v>227.93</v>
      </c>
      <c r="C783" s="3">
        <v>234.56496261047701</v>
      </c>
    </row>
    <row r="784" spans="1:3" ht="13" x14ac:dyDescent="0.15">
      <c r="A784" s="1">
        <f ca="1">IFERROR(__xludf.DUMMYFUNCTION("""COMPUTED_VALUE"""),44295.6666666666)</f>
        <v>44295.666666666599</v>
      </c>
      <c r="B784" s="2">
        <f ca="1">IFERROR(__xludf.DUMMYFUNCTION("""COMPUTED_VALUE"""),225.67)</f>
        <v>225.67</v>
      </c>
      <c r="C784" s="3">
        <v>234.19817757578599</v>
      </c>
    </row>
    <row r="785" spans="1:3" ht="13" x14ac:dyDescent="0.15">
      <c r="A785" s="1">
        <f ca="1">IFERROR(__xludf.DUMMYFUNCTION("""COMPUTED_VALUE"""),44298.6666666666)</f>
        <v>44298.666666666599</v>
      </c>
      <c r="B785" s="2">
        <f ca="1">IFERROR(__xludf.DUMMYFUNCTION("""COMPUTED_VALUE"""),233.99)</f>
        <v>233.99</v>
      </c>
      <c r="C785" s="3">
        <v>236.42953457868299</v>
      </c>
    </row>
    <row r="786" spans="1:3" ht="13" x14ac:dyDescent="0.15">
      <c r="A786" s="1">
        <f ca="1">IFERROR(__xludf.DUMMYFUNCTION("""COMPUTED_VALUE"""),44299.6666666666)</f>
        <v>44299.666666666599</v>
      </c>
      <c r="B786" s="2">
        <f ca="1">IFERROR(__xludf.DUMMYFUNCTION("""COMPUTED_VALUE"""),254.11)</f>
        <v>254.11</v>
      </c>
      <c r="C786" s="3">
        <v>235.57582924639399</v>
      </c>
    </row>
    <row r="787" spans="1:3" ht="13" x14ac:dyDescent="0.15">
      <c r="A787" s="1">
        <f ca="1">IFERROR(__xludf.DUMMYFUNCTION("""COMPUTED_VALUE"""),44300.6666666666)</f>
        <v>44300.666666666599</v>
      </c>
      <c r="B787" s="2">
        <f ca="1">IFERROR(__xludf.DUMMYFUNCTION("""COMPUTED_VALUE"""),244.08)</f>
        <v>244.08</v>
      </c>
      <c r="C787" s="3">
        <v>235.80282494772399</v>
      </c>
    </row>
    <row r="788" spans="1:3" ht="13" x14ac:dyDescent="0.15">
      <c r="A788" s="1">
        <f ca="1">IFERROR(__xludf.DUMMYFUNCTION("""COMPUTED_VALUE"""),44301.6666666666)</f>
        <v>44301.666666666599</v>
      </c>
      <c r="B788" s="2">
        <f ca="1">IFERROR(__xludf.DUMMYFUNCTION("""COMPUTED_VALUE"""),246.28)</f>
        <v>246.28</v>
      </c>
      <c r="C788" s="3">
        <v>235.465266006658</v>
      </c>
    </row>
    <row r="789" spans="1:3" ht="13" x14ac:dyDescent="0.15">
      <c r="A789" s="1">
        <f ca="1">IFERROR(__xludf.DUMMYFUNCTION("""COMPUTED_VALUE"""),44302.6666666666)</f>
        <v>44302.666666666599</v>
      </c>
      <c r="B789" s="2">
        <f ca="1">IFERROR(__xludf.DUMMYFUNCTION("""COMPUTED_VALUE"""),246.59)</f>
        <v>246.59</v>
      </c>
      <c r="C789" s="3">
        <v>235.06684396719299</v>
      </c>
    </row>
    <row r="790" spans="1:3" ht="13" x14ac:dyDescent="0.15">
      <c r="A790" s="1">
        <f ca="1">IFERROR(__xludf.DUMMYFUNCTION("""COMPUTED_VALUE"""),44305.6666666666)</f>
        <v>44305.666666666599</v>
      </c>
      <c r="B790" s="2">
        <f ca="1">IFERROR(__xludf.DUMMYFUNCTION("""COMPUTED_VALUE"""),238.21)</f>
        <v>238.21</v>
      </c>
      <c r="C790" s="3">
        <v>237.15487401533599</v>
      </c>
    </row>
    <row r="791" spans="1:3" ht="13" x14ac:dyDescent="0.15">
      <c r="A791" s="1">
        <f ca="1">IFERROR(__xludf.DUMMYFUNCTION("""COMPUTED_VALUE"""),44306.6666666666)</f>
        <v>44306.666666666599</v>
      </c>
      <c r="B791" s="2">
        <f ca="1">IFERROR(__xludf.DUMMYFUNCTION("""COMPUTED_VALUE"""),239.66)</f>
        <v>239.66</v>
      </c>
      <c r="C791" s="3">
        <v>236.196030802309</v>
      </c>
    </row>
    <row r="792" spans="1:3" ht="13" x14ac:dyDescent="0.15">
      <c r="A792" s="1">
        <f ca="1">IFERROR(__xludf.DUMMYFUNCTION("""COMPUTED_VALUE"""),44307.6666666666)</f>
        <v>44307.666666666599</v>
      </c>
      <c r="B792" s="2">
        <f ca="1">IFERROR(__xludf.DUMMYFUNCTION("""COMPUTED_VALUE"""),248.04)</f>
        <v>248.04</v>
      </c>
      <c r="C792" s="3">
        <v>236.271345795955</v>
      </c>
    </row>
    <row r="793" spans="1:3" ht="13" x14ac:dyDescent="0.15">
      <c r="A793" s="1">
        <f ca="1">IFERROR(__xludf.DUMMYFUNCTION("""COMPUTED_VALUE"""),44308.6666666666)</f>
        <v>44308.666666666599</v>
      </c>
      <c r="B793" s="2">
        <f ca="1">IFERROR(__xludf.DUMMYFUNCTION("""COMPUTED_VALUE"""),239.9)</f>
        <v>239.9</v>
      </c>
      <c r="C793" s="3">
        <v>235.727382795403</v>
      </c>
    </row>
    <row r="794" spans="1:3" ht="13" x14ac:dyDescent="0.15">
      <c r="A794" s="1">
        <f ca="1">IFERROR(__xludf.DUMMYFUNCTION("""COMPUTED_VALUE"""),44309.6666666666)</f>
        <v>44309.666666666599</v>
      </c>
      <c r="B794" s="2">
        <f ca="1">IFERROR(__xludf.DUMMYFUNCTION("""COMPUTED_VALUE"""),243.13)</f>
        <v>243.13</v>
      </c>
      <c r="C794" s="3">
        <v>235.06182897977999</v>
      </c>
    </row>
    <row r="795" spans="1:3" ht="13" x14ac:dyDescent="0.15">
      <c r="A795" s="1">
        <f ca="1">IFERROR(__xludf.DUMMYFUNCTION("""COMPUTED_VALUE"""),44312.6666666666)</f>
        <v>44312.666666666599</v>
      </c>
      <c r="B795" s="2">
        <f ca="1">IFERROR(__xludf.DUMMYFUNCTION("""COMPUTED_VALUE"""),246.07)</f>
        <v>246.07</v>
      </c>
      <c r="C795" s="3">
        <v>235.96141532186701</v>
      </c>
    </row>
    <row r="796" spans="1:3" ht="13" x14ac:dyDescent="0.15">
      <c r="A796" s="1">
        <f ca="1">IFERROR(__xludf.DUMMYFUNCTION("""COMPUTED_VALUE"""),44313.6666666666)</f>
        <v>44313.666666666599</v>
      </c>
      <c r="B796" s="2">
        <f ca="1">IFERROR(__xludf.DUMMYFUNCTION("""COMPUTED_VALUE"""),234.91)</f>
        <v>234.91</v>
      </c>
      <c r="C796" s="3">
        <v>234.48309008527099</v>
      </c>
    </row>
    <row r="797" spans="1:3" ht="13" x14ac:dyDescent="0.15">
      <c r="A797" s="1">
        <f ca="1">IFERROR(__xludf.DUMMYFUNCTION("""COMPUTED_VALUE"""),44314.6666666666)</f>
        <v>44314.666666666599</v>
      </c>
      <c r="B797" s="2">
        <f ca="1">IFERROR(__xludf.DUMMYFUNCTION("""COMPUTED_VALUE"""),231.47)</f>
        <v>231.47</v>
      </c>
      <c r="C797" s="3">
        <v>233.98670241777199</v>
      </c>
    </row>
    <row r="798" spans="1:3" ht="13" x14ac:dyDescent="0.15">
      <c r="A798" s="1">
        <f ca="1">IFERROR(__xludf.DUMMYFUNCTION("""COMPUTED_VALUE"""),44315.6666666666)</f>
        <v>44315.666666666599</v>
      </c>
      <c r="B798" s="2">
        <f ca="1">IFERROR(__xludf.DUMMYFUNCTION("""COMPUTED_VALUE"""),225.67)</f>
        <v>225.67</v>
      </c>
      <c r="C798" s="3">
        <v>232.82819284326001</v>
      </c>
    </row>
    <row r="799" spans="1:3" ht="13" x14ac:dyDescent="0.15">
      <c r="A799" s="1">
        <f ca="1">IFERROR(__xludf.DUMMYFUNCTION("""COMPUTED_VALUE"""),44316.6666666666)</f>
        <v>44316.666666666599</v>
      </c>
      <c r="B799" s="2">
        <f ca="1">IFERROR(__xludf.DUMMYFUNCTION("""COMPUTED_VALUE"""),236.48)</f>
        <v>236.48</v>
      </c>
      <c r="C799" s="3">
        <v>231.51677407995501</v>
      </c>
    </row>
    <row r="800" spans="1:3" ht="13" x14ac:dyDescent="0.15">
      <c r="A800" s="1">
        <f ca="1">IFERROR(__xludf.DUMMYFUNCTION("""COMPUTED_VALUE"""),44319.6666666666)</f>
        <v>44319.666666666599</v>
      </c>
      <c r="B800" s="2">
        <f ca="1">IFERROR(__xludf.DUMMYFUNCTION("""COMPUTED_VALUE"""),228.3)</f>
        <v>228.3</v>
      </c>
      <c r="C800" s="3">
        <v>230.43100917005199</v>
      </c>
    </row>
    <row r="801" spans="1:3" ht="13" x14ac:dyDescent="0.15">
      <c r="A801" s="1">
        <f ca="1">IFERROR(__xludf.DUMMYFUNCTION("""COMPUTED_VALUE"""),44320.6666666666)</f>
        <v>44320.666666666599</v>
      </c>
      <c r="B801" s="2">
        <f ca="1">IFERROR(__xludf.DUMMYFUNCTION("""COMPUTED_VALUE"""),224.53)</f>
        <v>224.53</v>
      </c>
      <c r="C801" s="3">
        <v>228.32705116430901</v>
      </c>
    </row>
    <row r="802" spans="1:3" ht="13" x14ac:dyDescent="0.15">
      <c r="A802" s="1">
        <f ca="1">IFERROR(__xludf.DUMMYFUNCTION("""COMPUTED_VALUE"""),44321.6666666666)</f>
        <v>44321.666666666599</v>
      </c>
      <c r="B802" s="2">
        <f ca="1">IFERROR(__xludf.DUMMYFUNCTION("""COMPUTED_VALUE"""),223.65)</f>
        <v>223.65</v>
      </c>
      <c r="C802" s="3">
        <v>227.25017114170299</v>
      </c>
    </row>
    <row r="803" spans="1:3" ht="13" x14ac:dyDescent="0.15">
      <c r="A803" s="1">
        <f ca="1">IFERROR(__xludf.DUMMYFUNCTION("""COMPUTED_VALUE"""),44322.6666666666)</f>
        <v>44322.666666666599</v>
      </c>
      <c r="B803" s="2">
        <f ca="1">IFERROR(__xludf.DUMMYFUNCTION("""COMPUTED_VALUE"""),221.18)</f>
        <v>221.18</v>
      </c>
      <c r="C803" s="3">
        <v>225.57212837820401</v>
      </c>
    </row>
    <row r="804" spans="1:3" ht="13" x14ac:dyDescent="0.15">
      <c r="A804" s="1">
        <f ca="1">IFERROR(__xludf.DUMMYFUNCTION("""COMPUTED_VALUE"""),44323.6666666666)</f>
        <v>44323.666666666599</v>
      </c>
      <c r="B804" s="2">
        <f ca="1">IFERROR(__xludf.DUMMYFUNCTION("""COMPUTED_VALUE"""),224.12)</f>
        <v>224.12</v>
      </c>
      <c r="C804" s="3">
        <v>223.81698491377</v>
      </c>
    </row>
    <row r="805" spans="1:3" ht="13" x14ac:dyDescent="0.15">
      <c r="A805" s="1">
        <f ca="1">IFERROR(__xludf.DUMMYFUNCTION("""COMPUTED_VALUE"""),44326.6666666666)</f>
        <v>44326.666666666599</v>
      </c>
      <c r="B805" s="2">
        <f ca="1">IFERROR(__xludf.DUMMYFUNCTION("""COMPUTED_VALUE"""),209.68)</f>
        <v>209.68</v>
      </c>
      <c r="C805" s="3">
        <v>221.979391015109</v>
      </c>
    </row>
    <row r="806" spans="1:3" ht="13" x14ac:dyDescent="0.15">
      <c r="A806" s="1">
        <f ca="1">IFERROR(__xludf.DUMMYFUNCTION("""COMPUTED_VALUE"""),44327.6666666666)</f>
        <v>44327.666666666599</v>
      </c>
      <c r="B806" s="2">
        <f ca="1">IFERROR(__xludf.DUMMYFUNCTION("""COMPUTED_VALUE"""),205.73)</f>
        <v>205.73</v>
      </c>
      <c r="C806" s="3">
        <v>219.84872281921</v>
      </c>
    </row>
    <row r="807" spans="1:3" ht="13" x14ac:dyDescent="0.15">
      <c r="A807" s="1">
        <f ca="1">IFERROR(__xludf.DUMMYFUNCTION("""COMPUTED_VALUE"""),44328.6666666666)</f>
        <v>44328.666666666599</v>
      </c>
      <c r="B807" s="2">
        <f ca="1">IFERROR(__xludf.DUMMYFUNCTION("""COMPUTED_VALUE"""),196.63)</f>
        <v>196.63</v>
      </c>
      <c r="C807" s="3">
        <v>218.866050670823</v>
      </c>
    </row>
    <row r="808" spans="1:3" ht="13" x14ac:dyDescent="0.15">
      <c r="A808" s="1">
        <f ca="1">IFERROR(__xludf.DUMMYFUNCTION("""COMPUTED_VALUE"""),44329.6666666666)</f>
        <v>44329.666666666599</v>
      </c>
      <c r="B808" s="2">
        <f ca="1">IFERROR(__xludf.DUMMYFUNCTION("""COMPUTED_VALUE"""),190.56)</f>
        <v>190.56</v>
      </c>
      <c r="C808" s="3">
        <v>217.404227901073</v>
      </c>
    </row>
    <row r="809" spans="1:3" ht="13" x14ac:dyDescent="0.15">
      <c r="A809" s="1">
        <f ca="1">IFERROR(__xludf.DUMMYFUNCTION("""COMPUTED_VALUE"""),44330.6666666666)</f>
        <v>44330.666666666599</v>
      </c>
      <c r="B809" s="2">
        <f ca="1">IFERROR(__xludf.DUMMYFUNCTION("""COMPUTED_VALUE"""),196.58)</f>
        <v>196.58</v>
      </c>
      <c r="C809" s="3">
        <v>215.98541841407999</v>
      </c>
    </row>
    <row r="810" spans="1:3" ht="13" x14ac:dyDescent="0.15">
      <c r="A810" s="1">
        <f ca="1">IFERROR(__xludf.DUMMYFUNCTION("""COMPUTED_VALUE"""),44333.6666666666)</f>
        <v>44333.666666666599</v>
      </c>
      <c r="B810" s="2">
        <f ca="1">IFERROR(__xludf.DUMMYFUNCTION("""COMPUTED_VALUE"""),192.28)</f>
        <v>192.28</v>
      </c>
      <c r="C810" s="3">
        <v>215.81467460710701</v>
      </c>
    </row>
    <row r="811" spans="1:3" ht="13" x14ac:dyDescent="0.15">
      <c r="A811" s="1">
        <f ca="1">IFERROR(__xludf.DUMMYFUNCTION("""COMPUTED_VALUE"""),44334.6666666666)</f>
        <v>44334.666666666599</v>
      </c>
      <c r="B811" s="2">
        <f ca="1">IFERROR(__xludf.DUMMYFUNCTION("""COMPUTED_VALUE"""),192.62)</f>
        <v>192.62</v>
      </c>
      <c r="C811" s="3">
        <v>214.42447945038501</v>
      </c>
    </row>
    <row r="812" spans="1:3" ht="13" x14ac:dyDescent="0.15">
      <c r="A812" s="1">
        <f ca="1">IFERROR(__xludf.DUMMYFUNCTION("""COMPUTED_VALUE"""),44335.6666666666)</f>
        <v>44335.666666666599</v>
      </c>
      <c r="B812" s="2">
        <f ca="1">IFERROR(__xludf.DUMMYFUNCTION("""COMPUTED_VALUE"""),187.82)</f>
        <v>187.82</v>
      </c>
      <c r="C812" s="3">
        <v>214.251690194708</v>
      </c>
    </row>
    <row r="813" spans="1:3" ht="13" x14ac:dyDescent="0.15">
      <c r="A813" s="1">
        <f ca="1">IFERROR(__xludf.DUMMYFUNCTION("""COMPUTED_VALUE"""),44336.6666666666)</f>
        <v>44336.666666666599</v>
      </c>
      <c r="B813" s="2">
        <f ca="1">IFERROR(__xludf.DUMMYFUNCTION("""COMPUTED_VALUE"""),195.59)</f>
        <v>195.59</v>
      </c>
      <c r="C813" s="3">
        <v>213.652618895404</v>
      </c>
    </row>
    <row r="814" spans="1:3" ht="13" x14ac:dyDescent="0.15">
      <c r="A814" s="1">
        <f ca="1">IFERROR(__xludf.DUMMYFUNCTION("""COMPUTED_VALUE"""),44337.6666666666)</f>
        <v>44337.666666666599</v>
      </c>
      <c r="B814" s="2">
        <f ca="1">IFERROR(__xludf.DUMMYFUNCTION("""COMPUTED_VALUE"""),193.63)</f>
        <v>193.63</v>
      </c>
      <c r="C814" s="3">
        <v>213.131672232624</v>
      </c>
    </row>
    <row r="815" spans="1:3" ht="13" x14ac:dyDescent="0.15">
      <c r="A815" s="1">
        <f ca="1">IFERROR(__xludf.DUMMYFUNCTION("""COMPUTED_VALUE"""),44340.6666666666)</f>
        <v>44340.666666666599</v>
      </c>
      <c r="B815" s="2">
        <f ca="1">IFERROR(__xludf.DUMMYFUNCTION("""COMPUTED_VALUE"""),202.15)</f>
        <v>202.15</v>
      </c>
      <c r="C815" s="3">
        <v>215.67964912583301</v>
      </c>
    </row>
    <row r="816" spans="1:3" ht="13" x14ac:dyDescent="0.15">
      <c r="A816" s="1">
        <f ca="1">IFERROR(__xludf.DUMMYFUNCTION("""COMPUTED_VALUE"""),44341.6666666666)</f>
        <v>44341.666666666599</v>
      </c>
      <c r="B816" s="2">
        <f ca="1">IFERROR(__xludf.DUMMYFUNCTION("""COMPUTED_VALUE"""),201.56)</f>
        <v>201.56</v>
      </c>
      <c r="C816" s="3">
        <v>215.14310894182199</v>
      </c>
    </row>
    <row r="817" spans="1:3" ht="13" x14ac:dyDescent="0.15">
      <c r="A817" s="1">
        <f ca="1">IFERROR(__xludf.DUMMYFUNCTION("""COMPUTED_VALUE"""),44342.6666666666)</f>
        <v>44342.666666666599</v>
      </c>
      <c r="B817" s="2">
        <f ca="1">IFERROR(__xludf.DUMMYFUNCTION("""COMPUTED_VALUE"""),206.38)</f>
        <v>206.38</v>
      </c>
      <c r="C817" s="3">
        <v>215.76937690110199</v>
      </c>
    </row>
    <row r="818" spans="1:3" ht="13" x14ac:dyDescent="0.15">
      <c r="A818" s="1">
        <f ca="1">IFERROR(__xludf.DUMMYFUNCTION("""COMPUTED_VALUE"""),44343.6666666666)</f>
        <v>44343.666666666599</v>
      </c>
      <c r="B818" s="2">
        <f ca="1">IFERROR(__xludf.DUMMYFUNCTION("""COMPUTED_VALUE"""),210.28)</f>
        <v>210.28</v>
      </c>
      <c r="C818" s="3">
        <v>215.900055834586</v>
      </c>
    </row>
    <row r="819" spans="1:3" ht="13" x14ac:dyDescent="0.15">
      <c r="A819" s="1">
        <f ca="1">IFERROR(__xludf.DUMMYFUNCTION("""COMPUTED_VALUE"""),44344.6666666666)</f>
        <v>44344.666666666599</v>
      </c>
      <c r="B819" s="2">
        <f ca="1">IFERROR(__xludf.DUMMYFUNCTION("""COMPUTED_VALUE"""),208.41)</f>
        <v>208.41</v>
      </c>
      <c r="C819" s="3">
        <v>216.02692335517901</v>
      </c>
    </row>
    <row r="820" spans="1:3" ht="13" x14ac:dyDescent="0.15">
      <c r="A820" s="1">
        <f ca="1">IFERROR(__xludf.DUMMYFUNCTION("""COMPUTED_VALUE"""),44348.6666666666)</f>
        <v>44348.666666666599</v>
      </c>
      <c r="B820" s="2">
        <f ca="1">IFERROR(__xludf.DUMMYFUNCTION("""COMPUTED_VALUE"""),207.97)</f>
        <v>207.97</v>
      </c>
      <c r="C820" s="3">
        <v>219.64660276038401</v>
      </c>
    </row>
    <row r="821" spans="1:3" ht="13" x14ac:dyDescent="0.15">
      <c r="A821" s="1">
        <f ca="1">IFERROR(__xludf.DUMMYFUNCTION("""COMPUTED_VALUE"""),44349.6666666666)</f>
        <v>44349.666666666599</v>
      </c>
      <c r="B821" s="2">
        <f ca="1">IFERROR(__xludf.DUMMYFUNCTION("""COMPUTED_VALUE"""),201.71)</f>
        <v>201.71</v>
      </c>
      <c r="C821" s="3">
        <v>220.41291559628601</v>
      </c>
    </row>
    <row r="822" spans="1:3" ht="13" x14ac:dyDescent="0.15">
      <c r="A822" s="1">
        <f ca="1">IFERROR(__xludf.DUMMYFUNCTION("""COMPUTED_VALUE"""),44350.6666666666)</f>
        <v>44350.666666666599</v>
      </c>
      <c r="B822" s="2">
        <f ca="1">IFERROR(__xludf.DUMMYFUNCTION("""COMPUTED_VALUE"""),190.95)</f>
        <v>190.95</v>
      </c>
      <c r="C822" s="3">
        <v>220.582459136957</v>
      </c>
    </row>
    <row r="823" spans="1:3" ht="13" x14ac:dyDescent="0.15">
      <c r="A823" s="1">
        <f ca="1">IFERROR(__xludf.DUMMYFUNCTION("""COMPUTED_VALUE"""),44351.6666666666)</f>
        <v>44351.666666666599</v>
      </c>
      <c r="B823" s="2">
        <f ca="1">IFERROR(__xludf.DUMMYFUNCTION("""COMPUTED_VALUE"""),199.68)</f>
        <v>199.68</v>
      </c>
      <c r="C823" s="3">
        <v>220.65367062655201</v>
      </c>
    </row>
    <row r="824" spans="1:3" ht="13" x14ac:dyDescent="0.15">
      <c r="A824" s="1">
        <f ca="1">IFERROR(__xludf.DUMMYFUNCTION("""COMPUTED_VALUE"""),44354.6666666666)</f>
        <v>44354.666666666599</v>
      </c>
      <c r="B824" s="2">
        <f ca="1">IFERROR(__xludf.DUMMYFUNCTION("""COMPUTED_VALUE"""),201.71)</f>
        <v>201.71</v>
      </c>
      <c r="C824" s="3">
        <v>223.932056400497</v>
      </c>
    </row>
    <row r="825" spans="1:3" ht="13" x14ac:dyDescent="0.15">
      <c r="A825" s="1">
        <f ca="1">IFERROR(__xludf.DUMMYFUNCTION("""COMPUTED_VALUE"""),44355.6666666666)</f>
        <v>44355.666666666599</v>
      </c>
      <c r="B825" s="2">
        <f ca="1">IFERROR(__xludf.DUMMYFUNCTION("""COMPUTED_VALUE"""),201.2)</f>
        <v>201.2</v>
      </c>
      <c r="C825" s="3">
        <v>223.31762691978199</v>
      </c>
    </row>
    <row r="826" spans="1:3" ht="13" x14ac:dyDescent="0.15">
      <c r="A826" s="1">
        <f ca="1">IFERROR(__xludf.DUMMYFUNCTION("""COMPUTED_VALUE"""),44356.6666666666)</f>
        <v>44356.666666666599</v>
      </c>
      <c r="B826" s="2">
        <f ca="1">IFERROR(__xludf.DUMMYFUNCTION("""COMPUTED_VALUE"""),199.59)</f>
        <v>199.59</v>
      </c>
      <c r="C826" s="3">
        <v>223.72942057022999</v>
      </c>
    </row>
    <row r="827" spans="1:3" ht="13" x14ac:dyDescent="0.15">
      <c r="A827" s="1">
        <f ca="1">IFERROR(__xludf.DUMMYFUNCTION("""COMPUTED_VALUE"""),44357.6666666666)</f>
        <v>44357.666666666599</v>
      </c>
      <c r="B827" s="2">
        <f ca="1">IFERROR(__xludf.DUMMYFUNCTION("""COMPUTED_VALUE"""),203.37)</f>
        <v>203.37</v>
      </c>
      <c r="C827" s="3">
        <v>223.528750630703</v>
      </c>
    </row>
    <row r="828" spans="1:3" ht="13" x14ac:dyDescent="0.15">
      <c r="A828" s="1">
        <f ca="1">IFERROR(__xludf.DUMMYFUNCTION("""COMPUTED_VALUE"""),44358.6666666666)</f>
        <v>44358.666666666599</v>
      </c>
      <c r="B828" s="2">
        <f ca="1">IFERROR(__xludf.DUMMYFUNCTION("""COMPUTED_VALUE"""),203.3)</f>
        <v>203.3</v>
      </c>
      <c r="C828" s="3">
        <v>223.229753769024</v>
      </c>
    </row>
    <row r="829" spans="1:3" ht="13" x14ac:dyDescent="0.15">
      <c r="A829" s="1">
        <f ca="1">IFERROR(__xludf.DUMMYFUNCTION("""COMPUTED_VALUE"""),44361.6666666666)</f>
        <v>44361.666666666599</v>
      </c>
      <c r="B829" s="2">
        <f ca="1">IFERROR(__xludf.DUMMYFUNCTION("""COMPUTED_VALUE"""),205.9)</f>
        <v>205.9</v>
      </c>
      <c r="C829" s="3">
        <v>225.54419076215501</v>
      </c>
    </row>
    <row r="830" spans="1:3" ht="13" x14ac:dyDescent="0.15">
      <c r="A830" s="1">
        <f ca="1">IFERROR(__xludf.DUMMYFUNCTION("""COMPUTED_VALUE"""),44362.6666666666)</f>
        <v>44362.666666666599</v>
      </c>
      <c r="B830" s="2">
        <f ca="1">IFERROR(__xludf.DUMMYFUNCTION("""COMPUTED_VALUE"""),199.79)</f>
        <v>199.79</v>
      </c>
      <c r="C830" s="3">
        <v>224.69979460326101</v>
      </c>
    </row>
    <row r="831" spans="1:3" ht="13" x14ac:dyDescent="0.15">
      <c r="A831" s="1">
        <f ca="1">IFERROR(__xludf.DUMMYFUNCTION("""COMPUTED_VALUE"""),44363.6666666666)</f>
        <v>44363.666666666599</v>
      </c>
      <c r="B831" s="2">
        <f ca="1">IFERROR(__xludf.DUMMYFUNCTION("""COMPUTED_VALUE"""),201.62)</f>
        <v>201.62</v>
      </c>
      <c r="C831" s="3">
        <v>224.94403681549201</v>
      </c>
    </row>
    <row r="832" spans="1:3" ht="13" x14ac:dyDescent="0.15">
      <c r="A832" s="1">
        <f ca="1">IFERROR(__xludf.DUMMYFUNCTION("""COMPUTED_VALUE"""),44364.6666666666)</f>
        <v>44364.666666666599</v>
      </c>
      <c r="B832" s="2">
        <f ca="1">IFERROR(__xludf.DUMMYFUNCTION("""COMPUTED_VALUE"""),205.53)</f>
        <v>205.53</v>
      </c>
      <c r="C832" s="3">
        <v>224.64498155736999</v>
      </c>
    </row>
    <row r="833" spans="1:3" ht="13" x14ac:dyDescent="0.15">
      <c r="A833" s="1">
        <f ca="1">IFERROR(__xludf.DUMMYFUNCTION("""COMPUTED_VALUE"""),44365.6666666666)</f>
        <v>44365.666666666599</v>
      </c>
      <c r="B833" s="2">
        <f ca="1">IFERROR(__xludf.DUMMYFUNCTION("""COMPUTED_VALUE"""),207.77)</f>
        <v>207.77</v>
      </c>
      <c r="C833" s="3">
        <v>224.32105078379601</v>
      </c>
    </row>
    <row r="834" spans="1:3" ht="13" x14ac:dyDescent="0.15">
      <c r="A834" s="1">
        <f ca="1">IFERROR(__xludf.DUMMYFUNCTION("""COMPUTED_VALUE"""),44368.6666666666)</f>
        <v>44368.666666666599</v>
      </c>
      <c r="B834" s="2">
        <f ca="1">IFERROR(__xludf.DUMMYFUNCTION("""COMPUTED_VALUE"""),206.94)</f>
        <v>206.94</v>
      </c>
      <c r="C834" s="3">
        <v>227.00593512980601</v>
      </c>
    </row>
    <row r="835" spans="1:3" ht="13" x14ac:dyDescent="0.15">
      <c r="A835" s="1">
        <f ca="1">IFERROR(__xludf.DUMMYFUNCTION("""COMPUTED_VALUE"""),44369.6666666666)</f>
        <v>44369.666666666599</v>
      </c>
      <c r="B835" s="2">
        <f ca="1">IFERROR(__xludf.DUMMYFUNCTION("""COMPUTED_VALUE"""),207.9)</f>
        <v>207.9</v>
      </c>
      <c r="C835" s="3">
        <v>226.42248505387201</v>
      </c>
    </row>
    <row r="836" spans="1:3" ht="13" x14ac:dyDescent="0.15">
      <c r="A836" s="1">
        <f ca="1">IFERROR(__xludf.DUMMYFUNCTION("""COMPUTED_VALUE"""),44370.6666666666)</f>
        <v>44370.666666666599</v>
      </c>
      <c r="B836" s="2">
        <f ca="1">IFERROR(__xludf.DUMMYFUNCTION("""COMPUTED_VALUE"""),218.86)</f>
        <v>218.86</v>
      </c>
      <c r="C836" s="3">
        <v>226.985208131272</v>
      </c>
    </row>
    <row r="837" spans="1:3" ht="13" x14ac:dyDescent="0.15">
      <c r="A837" s="1">
        <f ca="1">IFERROR(__xludf.DUMMYFUNCTION("""COMPUTED_VALUE"""),44371.6666666666)</f>
        <v>44371.666666666599</v>
      </c>
      <c r="B837" s="2">
        <f ca="1">IFERROR(__xludf.DUMMYFUNCTION("""COMPUTED_VALUE"""),226.61)</f>
        <v>226.61</v>
      </c>
      <c r="C837" s="3">
        <v>227.05252285765201</v>
      </c>
    </row>
    <row r="838" spans="1:3" ht="13" x14ac:dyDescent="0.15">
      <c r="A838" s="1">
        <f ca="1">IFERROR(__xludf.DUMMYFUNCTION("""COMPUTED_VALUE"""),44372.6666666666)</f>
        <v>44372.666666666599</v>
      </c>
      <c r="B838" s="2">
        <f ca="1">IFERROR(__xludf.DUMMYFUNCTION("""COMPUTED_VALUE"""),223.96)</f>
        <v>223.96</v>
      </c>
      <c r="C838" s="3">
        <v>227.13170326250901</v>
      </c>
    </row>
    <row r="839" spans="1:3" ht="13" x14ac:dyDescent="0.15">
      <c r="A839" s="1">
        <f ca="1">IFERROR(__xludf.DUMMYFUNCTION("""COMPUTED_VALUE"""),44375.6666666666)</f>
        <v>44375.666666666599</v>
      </c>
      <c r="B839" s="2">
        <f ca="1">IFERROR(__xludf.DUMMYFUNCTION("""COMPUTED_VALUE"""),229.57)</f>
        <v>229.57</v>
      </c>
      <c r="C839" s="3">
        <v>231.120628345661</v>
      </c>
    </row>
    <row r="840" spans="1:3" ht="13" x14ac:dyDescent="0.15">
      <c r="A840" s="1">
        <f ca="1">IFERROR(__xludf.DUMMYFUNCTION("""COMPUTED_VALUE"""),44376.6666666666)</f>
        <v>44376.666666666599</v>
      </c>
      <c r="B840" s="2">
        <f ca="1">IFERROR(__xludf.DUMMYFUNCTION("""COMPUTED_VALUE"""),226.92)</f>
        <v>226.92</v>
      </c>
      <c r="C840" s="3">
        <v>230.959743606806</v>
      </c>
    </row>
    <row r="841" spans="1:3" ht="13" x14ac:dyDescent="0.15">
      <c r="A841" s="1">
        <f ca="1">IFERROR(__xludf.DUMMYFUNCTION("""COMPUTED_VALUE"""),44377.6666666666)</f>
        <v>44377.666666666599</v>
      </c>
      <c r="B841" s="2">
        <f ca="1">IFERROR(__xludf.DUMMYFUNCTION("""COMPUTED_VALUE"""),226.57)</f>
        <v>226.57</v>
      </c>
      <c r="C841" s="3">
        <v>231.91776953119901</v>
      </c>
    </row>
    <row r="842" spans="1:3" ht="13" x14ac:dyDescent="0.15">
      <c r="A842" s="1">
        <f ca="1">IFERROR(__xludf.DUMMYFUNCTION("""COMPUTED_VALUE"""),44378.6666666666)</f>
        <v>44378.666666666599</v>
      </c>
      <c r="B842" s="2">
        <f ca="1">IFERROR(__xludf.DUMMYFUNCTION("""COMPUTED_VALUE"""),225.97)</f>
        <v>225.97</v>
      </c>
      <c r="C842" s="3">
        <v>232.34166596934901</v>
      </c>
    </row>
    <row r="843" spans="1:3" ht="13" x14ac:dyDescent="0.15">
      <c r="A843" s="1">
        <f ca="1">IFERROR(__xludf.DUMMYFUNCTION("""COMPUTED_VALUE"""),44379.6666666666)</f>
        <v>44379.666666666599</v>
      </c>
      <c r="B843" s="2">
        <f ca="1">IFERROR(__xludf.DUMMYFUNCTION("""COMPUTED_VALUE"""),226.3)</f>
        <v>226.3</v>
      </c>
      <c r="C843" s="3">
        <v>232.728626651643</v>
      </c>
    </row>
    <row r="844" spans="1:3" ht="13" x14ac:dyDescent="0.15">
      <c r="A844" s="1">
        <f ca="1">IFERROR(__xludf.DUMMYFUNCTION("""COMPUTED_VALUE"""),44383.6666666666)</f>
        <v>44383.666666666599</v>
      </c>
      <c r="B844" s="2">
        <f ca="1">IFERROR(__xludf.DUMMYFUNCTION("""COMPUTED_VALUE"""),219.86)</f>
        <v>219.86</v>
      </c>
      <c r="C844" s="3">
        <v>237.162878006619</v>
      </c>
    </row>
    <row r="845" spans="1:3" ht="13" x14ac:dyDescent="0.15">
      <c r="A845" s="1">
        <f ca="1">IFERROR(__xludf.DUMMYFUNCTION("""COMPUTED_VALUE"""),44384.6666666666)</f>
        <v>44384.666666666599</v>
      </c>
      <c r="B845" s="2">
        <f ca="1">IFERROR(__xludf.DUMMYFUNCTION("""COMPUTED_VALUE"""),214.88)</f>
        <v>214.88</v>
      </c>
      <c r="C845" s="3">
        <v>238.10096004301599</v>
      </c>
    </row>
    <row r="846" spans="1:3" ht="13" x14ac:dyDescent="0.15">
      <c r="A846" s="1">
        <f ca="1">IFERROR(__xludf.DUMMYFUNCTION("""COMPUTED_VALUE"""),44385.6666666666)</f>
        <v>44385.666666666599</v>
      </c>
      <c r="B846" s="2">
        <f ca="1">IFERROR(__xludf.DUMMYFUNCTION("""COMPUTED_VALUE"""),217.6)</f>
        <v>217.6</v>
      </c>
      <c r="C846" s="3">
        <v>238.43829318122499</v>
      </c>
    </row>
    <row r="847" spans="1:3" ht="13" x14ac:dyDescent="0.15">
      <c r="A847" s="1">
        <f ca="1">IFERROR(__xludf.DUMMYFUNCTION("""COMPUTED_VALUE"""),44386.6666666666)</f>
        <v>44386.666666666599</v>
      </c>
      <c r="B847" s="2">
        <f ca="1">IFERROR(__xludf.DUMMYFUNCTION("""COMPUTED_VALUE"""),218.98)</f>
        <v>218.98</v>
      </c>
      <c r="C847" s="3">
        <v>238.82065744967699</v>
      </c>
    </row>
    <row r="848" spans="1:3" ht="13" x14ac:dyDescent="0.15">
      <c r="A848" s="1">
        <f ca="1">IFERROR(__xludf.DUMMYFUNCTION("""COMPUTED_VALUE"""),44389.6666666666)</f>
        <v>44389.666666666599</v>
      </c>
      <c r="B848" s="2">
        <f ca="1">IFERROR(__xludf.DUMMYFUNCTION("""COMPUTED_VALUE"""),228.57)</f>
        <v>228.57</v>
      </c>
      <c r="C848" s="3">
        <v>243.061649254694</v>
      </c>
    </row>
    <row r="849" spans="1:3" ht="13" x14ac:dyDescent="0.15">
      <c r="A849" s="1">
        <f ca="1">IFERROR(__xludf.DUMMYFUNCTION("""COMPUTED_VALUE"""),44390.6666666666)</f>
        <v>44390.666666666599</v>
      </c>
      <c r="B849" s="2">
        <f ca="1">IFERROR(__xludf.DUMMYFUNCTION("""COMPUTED_VALUE"""),222.85)</f>
        <v>222.85</v>
      </c>
      <c r="C849" s="3">
        <v>242.785766212732</v>
      </c>
    </row>
    <row r="850" spans="1:3" ht="13" x14ac:dyDescent="0.15">
      <c r="A850" s="1">
        <f ca="1">IFERROR(__xludf.DUMMYFUNCTION("""COMPUTED_VALUE"""),44391.6666666666)</f>
        <v>44391.666666666599</v>
      </c>
      <c r="B850" s="2">
        <f ca="1">IFERROR(__xludf.DUMMYFUNCTION("""COMPUTED_VALUE"""),217.79)</f>
        <v>217.79</v>
      </c>
      <c r="C850" s="3">
        <v>243.547785360511</v>
      </c>
    </row>
    <row r="851" spans="1:3" ht="13" x14ac:dyDescent="0.15">
      <c r="A851" s="1">
        <f ca="1">IFERROR(__xludf.DUMMYFUNCTION("""COMPUTED_VALUE"""),44392.6666666666)</f>
        <v>44392.666666666599</v>
      </c>
      <c r="B851" s="2">
        <f ca="1">IFERROR(__xludf.DUMMYFUNCTION("""COMPUTED_VALUE"""),216.87)</f>
        <v>216.87</v>
      </c>
      <c r="C851" s="3">
        <v>243.710053465084</v>
      </c>
    </row>
    <row r="852" spans="1:3" ht="13" x14ac:dyDescent="0.15">
      <c r="A852" s="1">
        <f ca="1">IFERROR(__xludf.DUMMYFUNCTION("""COMPUTED_VALUE"""),44393.6666666666)</f>
        <v>44393.666666666599</v>
      </c>
      <c r="B852" s="2">
        <f ca="1">IFERROR(__xludf.DUMMYFUNCTION("""COMPUTED_VALUE"""),214.74)</f>
        <v>214.74</v>
      </c>
      <c r="C852" s="3">
        <v>243.78731237481699</v>
      </c>
    </row>
    <row r="853" spans="1:3" ht="13" x14ac:dyDescent="0.15">
      <c r="A853" s="1">
        <f ca="1">IFERROR(__xludf.DUMMYFUNCTION("""COMPUTED_VALUE"""),44396.6666666666)</f>
        <v>44396.666666666599</v>
      </c>
      <c r="B853" s="2">
        <f ca="1">IFERROR(__xludf.DUMMYFUNCTION("""COMPUTED_VALUE"""),215.41)</f>
        <v>215.41</v>
      </c>
      <c r="C853" s="3">
        <v>247.31045381936701</v>
      </c>
    </row>
    <row r="854" spans="1:3" ht="13" x14ac:dyDescent="0.15">
      <c r="A854" s="1">
        <f ca="1">IFERROR(__xludf.DUMMYFUNCTION("""COMPUTED_VALUE"""),44397.6666666666)</f>
        <v>44397.666666666599</v>
      </c>
      <c r="B854" s="2">
        <f ca="1">IFERROR(__xludf.DUMMYFUNCTION("""COMPUTED_VALUE"""),220.17)</f>
        <v>220.17</v>
      </c>
      <c r="C854" s="3">
        <v>246.893761490797</v>
      </c>
    </row>
    <row r="855" spans="1:3" ht="13" x14ac:dyDescent="0.15">
      <c r="A855" s="1">
        <f ca="1">IFERROR(__xludf.DUMMYFUNCTION("""COMPUTED_VALUE"""),44398.6666666666)</f>
        <v>44398.666666666599</v>
      </c>
      <c r="B855" s="2">
        <f ca="1">IFERROR(__xludf.DUMMYFUNCTION("""COMPUTED_VALUE"""),218.43)</f>
        <v>218.43</v>
      </c>
      <c r="C855" s="3">
        <v>247.57634180957999</v>
      </c>
    </row>
    <row r="856" spans="1:3" ht="13" x14ac:dyDescent="0.15">
      <c r="A856" s="1">
        <f ca="1">IFERROR(__xludf.DUMMYFUNCTION("""COMPUTED_VALUE"""),44399.6666666666)</f>
        <v>44399.666666666599</v>
      </c>
      <c r="B856" s="2">
        <f ca="1">IFERROR(__xludf.DUMMYFUNCTION("""COMPUTED_VALUE"""),216.42)</f>
        <v>216.42</v>
      </c>
      <c r="C856" s="3">
        <v>247.724741549025</v>
      </c>
    </row>
    <row r="857" spans="1:3" ht="13" x14ac:dyDescent="0.15">
      <c r="A857" s="1">
        <f ca="1">IFERROR(__xludf.DUMMYFUNCTION("""COMPUTED_VALUE"""),44400.6666666666)</f>
        <v>44400.666666666599</v>
      </c>
      <c r="B857" s="2">
        <f ca="1">IFERROR(__xludf.DUMMYFUNCTION("""COMPUTED_VALUE"""),214.46)</f>
        <v>214.46</v>
      </c>
      <c r="C857" s="3">
        <v>247.85559348428501</v>
      </c>
    </row>
    <row r="858" spans="1:3" ht="13" x14ac:dyDescent="0.15">
      <c r="A858" s="1">
        <f ca="1">IFERROR(__xludf.DUMMYFUNCTION("""COMPUTED_VALUE"""),44403.6666666666)</f>
        <v>44403.666666666599</v>
      </c>
      <c r="B858" s="2">
        <f ca="1">IFERROR(__xludf.DUMMYFUNCTION("""COMPUTED_VALUE"""),219.21)</f>
        <v>219.21</v>
      </c>
      <c r="C858" s="3">
        <v>251.92731024954699</v>
      </c>
    </row>
    <row r="859" spans="1:3" ht="13" x14ac:dyDescent="0.15">
      <c r="A859" s="1">
        <f ca="1">IFERROR(__xludf.DUMMYFUNCTION("""COMPUTED_VALUE"""),44404.6666666666)</f>
        <v>44404.666666666599</v>
      </c>
      <c r="B859" s="2">
        <f ca="1">IFERROR(__xludf.DUMMYFUNCTION("""COMPUTED_VALUE"""),214.93)</f>
        <v>214.93</v>
      </c>
      <c r="C859" s="3">
        <v>251.80543716599999</v>
      </c>
    </row>
    <row r="860" spans="1:3" ht="13" x14ac:dyDescent="0.15">
      <c r="A860" s="1">
        <f ca="1">IFERROR(__xludf.DUMMYFUNCTION("""COMPUTED_VALUE"""),44405.6666666666)</f>
        <v>44405.666666666599</v>
      </c>
      <c r="B860" s="2">
        <f ca="1">IFERROR(__xludf.DUMMYFUNCTION("""COMPUTED_VALUE"""),215.66)</f>
        <v>215.66</v>
      </c>
      <c r="C860" s="3">
        <v>252.824855176559</v>
      </c>
    </row>
    <row r="861" spans="1:3" ht="13" x14ac:dyDescent="0.15">
      <c r="A861" s="1">
        <f ca="1">IFERROR(__xludf.DUMMYFUNCTION("""COMPUTED_VALUE"""),44406.6666666666)</f>
        <v>44406.666666666599</v>
      </c>
      <c r="B861" s="2">
        <f ca="1">IFERROR(__xludf.DUMMYFUNCTION("""COMPUTED_VALUE"""),225.78)</f>
        <v>225.78</v>
      </c>
      <c r="C861" s="3">
        <v>253.341055877542</v>
      </c>
    </row>
    <row r="862" spans="1:3" ht="13" x14ac:dyDescent="0.15">
      <c r="A862" s="1">
        <f ca="1">IFERROR(__xludf.DUMMYFUNCTION("""COMPUTED_VALUE"""),44407.6666666666)</f>
        <v>44407.666666666599</v>
      </c>
      <c r="B862" s="2">
        <f ca="1">IFERROR(__xludf.DUMMYFUNCTION("""COMPUTED_VALUE"""),229.07)</f>
        <v>229.07</v>
      </c>
      <c r="C862" s="3">
        <v>253.858286114935</v>
      </c>
    </row>
    <row r="863" spans="1:3" ht="13" x14ac:dyDescent="0.15">
      <c r="A863" s="1">
        <f ca="1">IFERROR(__xludf.DUMMYFUNCTION("""COMPUTED_VALUE"""),44410.6666666666)</f>
        <v>44410.666666666599</v>
      </c>
      <c r="B863" s="2">
        <f ca="1">IFERROR(__xludf.DUMMYFUNCTION("""COMPUTED_VALUE"""),236.56)</f>
        <v>236.56</v>
      </c>
      <c r="C863" s="3">
        <v>259.065226366047</v>
      </c>
    </row>
    <row r="864" spans="1:3" ht="13" x14ac:dyDescent="0.15">
      <c r="A864" s="1">
        <f ca="1">IFERROR(__xludf.DUMMYFUNCTION("""COMPUTED_VALUE"""),44411.6666666666)</f>
        <v>44411.666666666599</v>
      </c>
      <c r="B864" s="2">
        <f ca="1">IFERROR(__xludf.DUMMYFUNCTION("""COMPUTED_VALUE"""),236.58)</f>
        <v>236.58</v>
      </c>
      <c r="C864" s="3">
        <v>259.26789507247798</v>
      </c>
    </row>
    <row r="865" spans="1:3" ht="13" x14ac:dyDescent="0.15">
      <c r="A865" s="1">
        <f ca="1">IFERROR(__xludf.DUMMYFUNCTION("""COMPUTED_VALUE"""),44412.6666666666)</f>
        <v>44412.666666666599</v>
      </c>
      <c r="B865" s="2">
        <f ca="1">IFERROR(__xludf.DUMMYFUNCTION("""COMPUTED_VALUE"""),236.97)</f>
        <v>236.97</v>
      </c>
      <c r="C865" s="3">
        <v>260.56316685661801</v>
      </c>
    </row>
    <row r="866" spans="1:3" ht="13" x14ac:dyDescent="0.15">
      <c r="A866" s="1">
        <f ca="1">IFERROR(__xludf.DUMMYFUNCTION("""COMPUTED_VALUE"""),44413.6666666666)</f>
        <v>44413.666666666599</v>
      </c>
      <c r="B866" s="2">
        <f ca="1">IFERROR(__xludf.DUMMYFUNCTION("""COMPUTED_VALUE"""),238.21)</f>
        <v>238.21</v>
      </c>
      <c r="C866" s="3">
        <v>261.29511763010697</v>
      </c>
    </row>
    <row r="867" spans="1:3" ht="13" x14ac:dyDescent="0.15">
      <c r="A867" s="1">
        <f ca="1">IFERROR(__xludf.DUMMYFUNCTION("""COMPUTED_VALUE"""),44414.6666666666)</f>
        <v>44414.666666666599</v>
      </c>
      <c r="B867" s="2">
        <f ca="1">IFERROR(__xludf.DUMMYFUNCTION("""COMPUTED_VALUE"""),233.03)</f>
        <v>233.03</v>
      </c>
      <c r="C867" s="3">
        <v>261.95823389986901</v>
      </c>
    </row>
    <row r="868" spans="1:3" ht="13" x14ac:dyDescent="0.15">
      <c r="A868" s="1">
        <f ca="1">IFERROR(__xludf.DUMMYFUNCTION("""COMPUTED_VALUE"""),44417.6666666666)</f>
        <v>44417.666666666599</v>
      </c>
      <c r="B868" s="2">
        <f ca="1">IFERROR(__xludf.DUMMYFUNCTION("""COMPUTED_VALUE"""),237.92)</f>
        <v>237.92</v>
      </c>
      <c r="C868" s="3">
        <v>267.11767110129102</v>
      </c>
    </row>
    <row r="869" spans="1:3" ht="13" x14ac:dyDescent="0.15">
      <c r="A869" s="1">
        <f ca="1">IFERROR(__xludf.DUMMYFUNCTION("""COMPUTED_VALUE"""),44418.6666666666)</f>
        <v>44418.666666666599</v>
      </c>
      <c r="B869" s="2">
        <f ca="1">IFERROR(__xludf.DUMMYFUNCTION("""COMPUTED_VALUE"""),236.66)</f>
        <v>236.66</v>
      </c>
      <c r="C869" s="3">
        <v>267.13299782777602</v>
      </c>
    </row>
    <row r="870" spans="1:3" ht="13" x14ac:dyDescent="0.15">
      <c r="A870" s="1">
        <f ca="1">IFERROR(__xludf.DUMMYFUNCTION("""COMPUTED_VALUE"""),44419.6666666666)</f>
        <v>44419.666666666599</v>
      </c>
      <c r="B870" s="2">
        <f ca="1">IFERROR(__xludf.DUMMYFUNCTION("""COMPUTED_VALUE"""),235.94)</f>
        <v>235.94</v>
      </c>
      <c r="C870" s="3">
        <v>268.15686443646399</v>
      </c>
    </row>
    <row r="871" spans="1:3" ht="13" x14ac:dyDescent="0.15">
      <c r="A871" s="1">
        <f ca="1">IFERROR(__xludf.DUMMYFUNCTION("""COMPUTED_VALUE"""),44420.6666666666)</f>
        <v>44420.666666666599</v>
      </c>
      <c r="B871" s="2">
        <f ca="1">IFERROR(__xludf.DUMMYFUNCTION("""COMPUTED_VALUE"""),240.75)</f>
        <v>240.75</v>
      </c>
      <c r="C871" s="3">
        <v>268.53837208899199</v>
      </c>
    </row>
    <row r="872" spans="1:3" ht="13" x14ac:dyDescent="0.15">
      <c r="A872" s="1">
        <f ca="1">IFERROR(__xludf.DUMMYFUNCTION("""COMPUTED_VALUE"""),44421.6666666666)</f>
        <v>44421.666666666599</v>
      </c>
      <c r="B872" s="2">
        <f ca="1">IFERROR(__xludf.DUMMYFUNCTION("""COMPUTED_VALUE"""),239.06)</f>
        <v>239.06</v>
      </c>
      <c r="C872" s="3">
        <v>268.77958912074899</v>
      </c>
    </row>
    <row r="873" spans="1:3" ht="13" x14ac:dyDescent="0.15">
      <c r="A873" s="1">
        <f ca="1">IFERROR(__xludf.DUMMYFUNCTION("""COMPUTED_VALUE"""),44424.6666666666)</f>
        <v>44424.666666666599</v>
      </c>
      <c r="B873" s="2">
        <f ca="1">IFERROR(__xludf.DUMMYFUNCTION("""COMPUTED_VALUE"""),228.72)</f>
        <v>228.72</v>
      </c>
      <c r="C873" s="3">
        <v>272.35414225773002</v>
      </c>
    </row>
    <row r="874" spans="1:3" ht="13" x14ac:dyDescent="0.15">
      <c r="A874" s="1">
        <f ca="1">IFERROR(__xludf.DUMMYFUNCTION("""COMPUTED_VALUE"""),44425.6666666666)</f>
        <v>44425.666666666599</v>
      </c>
      <c r="B874" s="2">
        <f ca="1">IFERROR(__xludf.DUMMYFUNCTION("""COMPUTED_VALUE"""),221.9)</f>
        <v>221.9</v>
      </c>
      <c r="C874" s="3">
        <v>271.78032121795002</v>
      </c>
    </row>
    <row r="875" spans="1:3" ht="13" x14ac:dyDescent="0.15">
      <c r="A875" s="1">
        <f ca="1">IFERROR(__xludf.DUMMYFUNCTION("""COMPUTED_VALUE"""),44426.6666666666)</f>
        <v>44426.666666666599</v>
      </c>
      <c r="B875" s="2">
        <f ca="1">IFERROR(__xludf.DUMMYFUNCTION("""COMPUTED_VALUE"""),229.66)</f>
        <v>229.66</v>
      </c>
      <c r="C875" s="3">
        <v>272.21050317915802</v>
      </c>
    </row>
    <row r="876" spans="1:3" ht="13" x14ac:dyDescent="0.15">
      <c r="A876" s="1">
        <f ca="1">IFERROR(__xludf.DUMMYFUNCTION("""COMPUTED_VALUE"""),44427.6666666666)</f>
        <v>44427.666666666599</v>
      </c>
      <c r="B876" s="2">
        <f ca="1">IFERROR(__xludf.DUMMYFUNCTION("""COMPUTED_VALUE"""),224.49)</f>
        <v>224.49</v>
      </c>
      <c r="C876" s="3">
        <v>272.01022825328403</v>
      </c>
    </row>
    <row r="877" spans="1:3" ht="13" x14ac:dyDescent="0.15">
      <c r="A877" s="1">
        <f ca="1">IFERROR(__xludf.DUMMYFUNCTION("""COMPUTED_VALUE"""),44428.6666666666)</f>
        <v>44428.666666666599</v>
      </c>
      <c r="B877" s="2">
        <f ca="1">IFERROR(__xludf.DUMMYFUNCTION("""COMPUTED_VALUE"""),226.75)</f>
        <v>226.75</v>
      </c>
      <c r="C877" s="3">
        <v>271.697909521383</v>
      </c>
    </row>
    <row r="878" spans="1:3" ht="13" x14ac:dyDescent="0.15">
      <c r="A878" s="1">
        <f ca="1">IFERROR(__xludf.DUMMYFUNCTION("""COMPUTED_VALUE"""),44431.6666666666)</f>
        <v>44431.666666666599</v>
      </c>
      <c r="B878" s="2">
        <f ca="1">IFERROR(__xludf.DUMMYFUNCTION("""COMPUTED_VALUE"""),235.43)</f>
        <v>235.43</v>
      </c>
      <c r="C878" s="3">
        <v>273.93272623448303</v>
      </c>
    </row>
    <row r="879" spans="1:3" ht="13" x14ac:dyDescent="0.15">
      <c r="A879" s="1">
        <f ca="1">IFERROR(__xludf.DUMMYFUNCTION("""COMPUTED_VALUE"""),44432.6666666666)</f>
        <v>44432.666666666599</v>
      </c>
      <c r="B879" s="2">
        <f ca="1">IFERROR(__xludf.DUMMYFUNCTION("""COMPUTED_VALUE"""),236.16)</f>
        <v>236.16</v>
      </c>
      <c r="C879" s="3">
        <v>273.06235932540602</v>
      </c>
    </row>
    <row r="880" spans="1:3" ht="13" x14ac:dyDescent="0.15">
      <c r="A880" s="1">
        <f ca="1">IFERROR(__xludf.DUMMYFUNCTION("""COMPUTED_VALUE"""),44433.6666666666)</f>
        <v>44433.666666666599</v>
      </c>
      <c r="B880" s="2">
        <f ca="1">IFERROR(__xludf.DUMMYFUNCTION("""COMPUTED_VALUE"""),237.07)</f>
        <v>237.07</v>
      </c>
      <c r="C880" s="3">
        <v>273.28735223464997</v>
      </c>
    </row>
    <row r="881" spans="1:3" ht="13" x14ac:dyDescent="0.15">
      <c r="A881" s="1">
        <f ca="1">IFERROR(__xludf.DUMMYFUNCTION("""COMPUTED_VALUE"""),44434.6666666666)</f>
        <v>44434.666666666599</v>
      </c>
      <c r="B881" s="2">
        <f ca="1">IFERROR(__xludf.DUMMYFUNCTION("""COMPUTED_VALUE"""),233.72)</f>
        <v>233.72</v>
      </c>
      <c r="C881" s="3">
        <v>272.97918592244901</v>
      </c>
    </row>
    <row r="882" spans="1:3" ht="13" x14ac:dyDescent="0.15">
      <c r="A882" s="1">
        <f ca="1">IFERROR(__xludf.DUMMYFUNCTION("""COMPUTED_VALUE"""),44435.6666666666)</f>
        <v>44435.666666666599</v>
      </c>
      <c r="B882" s="2">
        <f ca="1">IFERROR(__xludf.DUMMYFUNCTION("""COMPUTED_VALUE"""),237.31)</f>
        <v>237.31</v>
      </c>
      <c r="C882" s="3">
        <v>272.65927572119199</v>
      </c>
    </row>
    <row r="883" spans="1:3" ht="13" x14ac:dyDescent="0.15">
      <c r="A883" s="1">
        <f ca="1">IFERROR(__xludf.DUMMYFUNCTION("""COMPUTED_VALUE"""),44438.6666666666)</f>
        <v>44438.666666666599</v>
      </c>
      <c r="B883" s="2">
        <f ca="1">IFERROR(__xludf.DUMMYFUNCTION("""COMPUTED_VALUE"""),243.64)</f>
        <v>243.64</v>
      </c>
      <c r="C883" s="3">
        <v>275.45659979048702</v>
      </c>
    </row>
    <row r="884" spans="1:3" ht="13" x14ac:dyDescent="0.15">
      <c r="A884" s="1">
        <f ca="1">IFERROR(__xludf.DUMMYFUNCTION("""COMPUTED_VALUE"""),44439.6666666666)</f>
        <v>44439.666666666599</v>
      </c>
      <c r="B884" s="2">
        <f ca="1">IFERROR(__xludf.DUMMYFUNCTION("""COMPUTED_VALUE"""),245.24)</f>
        <v>245.24</v>
      </c>
      <c r="C884" s="3">
        <v>274.94785915186498</v>
      </c>
    </row>
    <row r="885" spans="1:3" ht="13" x14ac:dyDescent="0.15">
      <c r="A885" s="1">
        <f ca="1">IFERROR(__xludf.DUMMYFUNCTION("""COMPUTED_VALUE"""),44440.6666666666)</f>
        <v>44440.666666666599</v>
      </c>
      <c r="B885" s="2">
        <f ca="1">IFERROR(__xludf.DUMMYFUNCTION("""COMPUTED_VALUE"""),244.7)</f>
        <v>244.7</v>
      </c>
      <c r="C885" s="3">
        <v>275.60378816596</v>
      </c>
    </row>
    <row r="886" spans="1:3" ht="13" x14ac:dyDescent="0.15">
      <c r="A886" s="1">
        <f ca="1">IFERROR(__xludf.DUMMYFUNCTION("""COMPUTED_VALUE"""),44441.6666666666)</f>
        <v>44441.666666666599</v>
      </c>
      <c r="B886" s="2">
        <f ca="1">IFERROR(__xludf.DUMMYFUNCTION("""COMPUTED_VALUE"""),244.13)</f>
        <v>244.13</v>
      </c>
      <c r="C886" s="3">
        <v>275.781390274736</v>
      </c>
    </row>
    <row r="887" spans="1:3" ht="13" x14ac:dyDescent="0.15">
      <c r="A887" s="1">
        <f ca="1">IFERROR(__xludf.DUMMYFUNCTION("""COMPUTED_VALUE"""),44442.6666666666)</f>
        <v>44442.666666666599</v>
      </c>
      <c r="B887" s="2">
        <f ca="1">IFERROR(__xludf.DUMMYFUNCTION("""COMPUTED_VALUE"""),244.52)</f>
        <v>244.52</v>
      </c>
      <c r="C887" s="3">
        <v>276.00042670806801</v>
      </c>
    </row>
    <row r="888" spans="1:3" ht="13" x14ac:dyDescent="0.15">
      <c r="A888" s="1">
        <f ca="1">IFERROR(__xludf.DUMMYFUNCTION("""COMPUTED_VALUE"""),44446.6666666666)</f>
        <v>44446.666666666599</v>
      </c>
      <c r="B888" s="2">
        <f ca="1">IFERROR(__xludf.DUMMYFUNCTION("""COMPUTED_VALUE"""),250.97)</f>
        <v>250.97</v>
      </c>
      <c r="C888" s="3">
        <v>280.45343503593</v>
      </c>
    </row>
    <row r="889" spans="1:3" ht="13" x14ac:dyDescent="0.15">
      <c r="A889" s="1">
        <f ca="1">IFERROR(__xludf.DUMMYFUNCTION("""COMPUTED_VALUE"""),44447.6666666666)</f>
        <v>44447.666666666599</v>
      </c>
      <c r="B889" s="2">
        <f ca="1">IFERROR(__xludf.DUMMYFUNCTION("""COMPUTED_VALUE"""),251.29)</f>
        <v>251.29</v>
      </c>
      <c r="C889" s="3">
        <v>281.55565679420403</v>
      </c>
    </row>
    <row r="890" spans="1:3" ht="13" x14ac:dyDescent="0.15">
      <c r="A890" s="1">
        <f ca="1">IFERROR(__xludf.DUMMYFUNCTION("""COMPUTED_VALUE"""),44448.6666666666)</f>
        <v>44448.666666666599</v>
      </c>
      <c r="B890" s="2">
        <f ca="1">IFERROR(__xludf.DUMMYFUNCTION("""COMPUTED_VALUE"""),251.62)</f>
        <v>251.62</v>
      </c>
      <c r="C890" s="3">
        <v>282.10474643202201</v>
      </c>
    </row>
    <row r="891" spans="1:3" ht="13" x14ac:dyDescent="0.15">
      <c r="A891" s="1">
        <f ca="1">IFERROR(__xludf.DUMMYFUNCTION("""COMPUTED_VALUE"""),44449.6666666666)</f>
        <v>44449.666666666599</v>
      </c>
      <c r="B891" s="2">
        <f ca="1">IFERROR(__xludf.DUMMYFUNCTION("""COMPUTED_VALUE"""),245.42)</f>
        <v>245.42</v>
      </c>
      <c r="C891" s="3">
        <v>282.589722735284</v>
      </c>
    </row>
    <row r="892" spans="1:3" ht="13" x14ac:dyDescent="0.15">
      <c r="A892" s="1">
        <f ca="1">IFERROR(__xludf.DUMMYFUNCTION("""COMPUTED_VALUE"""),44452.6666666666)</f>
        <v>44452.666666666599</v>
      </c>
      <c r="B892" s="2">
        <f ca="1">IFERROR(__xludf.DUMMYFUNCTION("""COMPUTED_VALUE"""),247.67)</f>
        <v>247.67</v>
      </c>
      <c r="C892" s="3">
        <v>287.180288512255</v>
      </c>
    </row>
    <row r="893" spans="1:3" ht="13" x14ac:dyDescent="0.15">
      <c r="A893" s="1">
        <f ca="1">IFERROR(__xludf.DUMMYFUNCTION("""COMPUTED_VALUE"""),44453.6666666666)</f>
        <v>44453.666666666599</v>
      </c>
      <c r="B893" s="2">
        <f ca="1">IFERROR(__xludf.DUMMYFUNCTION("""COMPUTED_VALUE"""),248.16)</f>
        <v>248.16</v>
      </c>
      <c r="C893" s="3">
        <v>286.97194398740203</v>
      </c>
    </row>
    <row r="894" spans="1:3" ht="13" x14ac:dyDescent="0.15">
      <c r="A894" s="1">
        <f ca="1">IFERROR(__xludf.DUMMYFUNCTION("""COMPUTED_VALUE"""),44454.6666666666)</f>
        <v>44454.666666666599</v>
      </c>
      <c r="B894" s="2">
        <f ca="1">IFERROR(__xludf.DUMMYFUNCTION("""COMPUTED_VALUE"""),251.94)</f>
        <v>251.94</v>
      </c>
      <c r="C894" s="3">
        <v>287.743622225389</v>
      </c>
    </row>
    <row r="895" spans="1:3" ht="13" x14ac:dyDescent="0.15">
      <c r="A895" s="1">
        <f ca="1">IFERROR(__xludf.DUMMYFUNCTION("""COMPUTED_VALUE"""),44455.6666666666)</f>
        <v>44455.666666666599</v>
      </c>
      <c r="B895" s="2">
        <f ca="1">IFERROR(__xludf.DUMMYFUNCTION("""COMPUTED_VALUE"""),252.33)</f>
        <v>252.33</v>
      </c>
      <c r="C895" s="3">
        <v>287.83779765629401</v>
      </c>
    </row>
    <row r="896" spans="1:3" ht="13" x14ac:dyDescent="0.15">
      <c r="A896" s="1">
        <f ca="1">IFERROR(__xludf.DUMMYFUNCTION("""COMPUTED_VALUE"""),44456.6666666666)</f>
        <v>44456.666666666599</v>
      </c>
      <c r="B896" s="2">
        <f ca="1">IFERROR(__xludf.DUMMYFUNCTION("""COMPUTED_VALUE"""),253.16)</f>
        <v>253.16</v>
      </c>
      <c r="C896" s="3">
        <v>287.75036663732499</v>
      </c>
    </row>
    <row r="897" spans="1:3" ht="13" x14ac:dyDescent="0.15">
      <c r="A897" s="1">
        <f ca="1">IFERROR(__xludf.DUMMYFUNCTION("""COMPUTED_VALUE"""),44459.6666666666)</f>
        <v>44459.666666666599</v>
      </c>
      <c r="B897" s="2">
        <f ca="1">IFERROR(__xludf.DUMMYFUNCTION("""COMPUTED_VALUE"""),243.39)</f>
        <v>243.39</v>
      </c>
      <c r="C897" s="3">
        <v>290.040255279863</v>
      </c>
    </row>
    <row r="898" spans="1:3" ht="13" x14ac:dyDescent="0.15">
      <c r="A898" s="1">
        <f ca="1">IFERROR(__xludf.DUMMYFUNCTION("""COMPUTED_VALUE"""),44460.6666666666)</f>
        <v>44460.666666666599</v>
      </c>
      <c r="B898" s="2">
        <f ca="1">IFERROR(__xludf.DUMMYFUNCTION("""COMPUTED_VALUE"""),246.46)</f>
        <v>246.46</v>
      </c>
      <c r="C898" s="3">
        <v>288.92659878623198</v>
      </c>
    </row>
    <row r="899" spans="1:3" ht="13" x14ac:dyDescent="0.15">
      <c r="A899" s="1">
        <f ca="1">IFERROR(__xludf.DUMMYFUNCTION("""COMPUTED_VALUE"""),44461.6666666666)</f>
        <v>44461.666666666599</v>
      </c>
      <c r="B899" s="2">
        <f ca="1">IFERROR(__xludf.DUMMYFUNCTION("""COMPUTED_VALUE"""),250.65)</f>
        <v>250.65</v>
      </c>
      <c r="C899" s="3">
        <v>288.758130013433</v>
      </c>
    </row>
    <row r="900" spans="1:3" ht="13" x14ac:dyDescent="0.15">
      <c r="A900" s="1">
        <f ca="1">IFERROR(__xludf.DUMMYFUNCTION("""COMPUTED_VALUE"""),44462.6666666666)</f>
        <v>44462.666666666599</v>
      </c>
      <c r="B900" s="2">
        <f ca="1">IFERROR(__xludf.DUMMYFUNCTION("""COMPUTED_VALUE"""),251.21)</f>
        <v>251.21</v>
      </c>
      <c r="C900" s="3">
        <v>287.90066711205401</v>
      </c>
    </row>
    <row r="901" spans="1:3" ht="13" x14ac:dyDescent="0.15">
      <c r="A901" s="1">
        <f ca="1">IFERROR(__xludf.DUMMYFUNCTION("""COMPUTED_VALUE"""),44463.6666666666)</f>
        <v>44463.666666666599</v>
      </c>
      <c r="B901" s="2">
        <f ca="1">IFERROR(__xludf.DUMMYFUNCTION("""COMPUTED_VALUE"""),258.13)</f>
        <v>258.13</v>
      </c>
      <c r="C901" s="3">
        <v>286.874423114401</v>
      </c>
    </row>
    <row r="902" spans="1:3" ht="13" x14ac:dyDescent="0.15">
      <c r="A902" s="1">
        <f ca="1">IFERROR(__xludf.DUMMYFUNCTION("""COMPUTED_VALUE"""),44466.6666666666)</f>
        <v>44466.666666666599</v>
      </c>
      <c r="B902" s="2">
        <f ca="1">IFERROR(__xludf.DUMMYFUNCTION("""COMPUTED_VALUE"""),263.79)</f>
        <v>263.79000000000002</v>
      </c>
      <c r="C902" s="3">
        <v>286.668732680841</v>
      </c>
    </row>
    <row r="903" spans="1:3" ht="13" x14ac:dyDescent="0.15">
      <c r="A903" s="1">
        <f ca="1">IFERROR(__xludf.DUMMYFUNCTION("""COMPUTED_VALUE"""),44467.6666666666)</f>
        <v>44467.666666666599</v>
      </c>
      <c r="B903" s="2">
        <f ca="1">IFERROR(__xludf.DUMMYFUNCTION("""COMPUTED_VALUE"""),259.19)</f>
        <v>259.19</v>
      </c>
      <c r="C903" s="3">
        <v>284.907033311014</v>
      </c>
    </row>
    <row r="904" spans="1:3" ht="13" x14ac:dyDescent="0.15">
      <c r="A904" s="1">
        <f ca="1">IFERROR(__xludf.DUMMYFUNCTION("""COMPUTED_VALUE"""),44468.6666666666)</f>
        <v>44468.666666666599</v>
      </c>
      <c r="B904" s="2">
        <f ca="1">IFERROR(__xludf.DUMMYFUNCTION("""COMPUTED_VALUE"""),260.44)</f>
        <v>260.44</v>
      </c>
      <c r="C904" s="3">
        <v>284.21637857992999</v>
      </c>
    </row>
    <row r="905" spans="1:3" ht="13" x14ac:dyDescent="0.15">
      <c r="A905" s="1">
        <f ca="1">IFERROR(__xludf.DUMMYFUNCTION("""COMPUTED_VALUE"""),44469.6666666666)</f>
        <v>44469.666666666599</v>
      </c>
      <c r="B905" s="2">
        <f ca="1">IFERROR(__xludf.DUMMYFUNCTION("""COMPUTED_VALUE"""),258.49)</f>
        <v>258.49</v>
      </c>
      <c r="C905" s="3">
        <v>282.97902167991799</v>
      </c>
    </row>
    <row r="906" spans="1:3" ht="13" x14ac:dyDescent="0.15">
      <c r="A906" s="1">
        <f ca="1">IFERROR(__xludf.DUMMYFUNCTION("""COMPUTED_VALUE"""),44470.6666666666)</f>
        <v>44470.666666666599</v>
      </c>
      <c r="B906" s="2">
        <f ca="1">IFERROR(__xludf.DUMMYFUNCTION("""COMPUTED_VALUE"""),258.41)</f>
        <v>258.41000000000003</v>
      </c>
      <c r="C906" s="3">
        <v>281.72827604992801</v>
      </c>
    </row>
    <row r="907" spans="1:3" ht="13" x14ac:dyDescent="0.15">
      <c r="A907" s="1">
        <f ca="1">IFERROR(__xludf.DUMMYFUNCTION("""COMPUTED_VALUE"""),44473.6666666666)</f>
        <v>44473.666666666599</v>
      </c>
      <c r="B907" s="2">
        <f ca="1">IFERROR(__xludf.DUMMYFUNCTION("""COMPUTED_VALUE"""),260.51)</f>
        <v>260.51</v>
      </c>
      <c r="C907" s="3">
        <v>281.85475118401598</v>
      </c>
    </row>
    <row r="908" spans="1:3" ht="13" x14ac:dyDescent="0.15">
      <c r="A908" s="1">
        <f ca="1">IFERROR(__xludf.DUMMYFUNCTION("""COMPUTED_VALUE"""),44474.6666666666)</f>
        <v>44474.666666666599</v>
      </c>
      <c r="B908" s="2">
        <f ca="1">IFERROR(__xludf.DUMMYFUNCTION("""COMPUTED_VALUE"""),260.2)</f>
        <v>260.2</v>
      </c>
      <c r="C908" s="3">
        <v>280.542617547004</v>
      </c>
    </row>
    <row r="909" spans="1:3" ht="13" x14ac:dyDescent="0.15">
      <c r="A909" s="1">
        <f ca="1">IFERROR(__xludf.DUMMYFUNCTION("""COMPUTED_VALUE"""),44475.6666666666)</f>
        <v>44475.666666666599</v>
      </c>
      <c r="B909" s="2">
        <f ca="1">IFERROR(__xludf.DUMMYFUNCTION("""COMPUTED_VALUE"""),260.92)</f>
        <v>260.92</v>
      </c>
      <c r="C909" s="3">
        <v>280.462082207636</v>
      </c>
    </row>
    <row r="910" spans="1:3" ht="13" x14ac:dyDescent="0.15">
      <c r="A910" s="1">
        <f ca="1">IFERROR(__xludf.DUMMYFUNCTION("""COMPUTED_VALUE"""),44476.6666666666)</f>
        <v>44476.666666666599</v>
      </c>
      <c r="B910" s="2">
        <f ca="1">IFERROR(__xludf.DUMMYFUNCTION("""COMPUTED_VALUE"""),264.54)</f>
        <v>264.54000000000002</v>
      </c>
      <c r="C910" s="3">
        <v>279.98383475532302</v>
      </c>
    </row>
    <row r="911" spans="1:3" ht="13" x14ac:dyDescent="0.15">
      <c r="A911" s="1">
        <f ca="1">IFERROR(__xludf.DUMMYFUNCTION("""COMPUTED_VALUE"""),44477.6666666666)</f>
        <v>44477.666666666599</v>
      </c>
      <c r="B911" s="2">
        <f ca="1">IFERROR(__xludf.DUMMYFUNCTION("""COMPUTED_VALUE"""),261.83)</f>
        <v>261.83</v>
      </c>
      <c r="C911" s="3">
        <v>279.62578764782802</v>
      </c>
    </row>
    <row r="912" spans="1:3" ht="13" x14ac:dyDescent="0.15">
      <c r="A912" s="1">
        <f ca="1">IFERROR(__xludf.DUMMYFUNCTION("""COMPUTED_VALUE"""),44480.6666666666)</f>
        <v>44480.666666666599</v>
      </c>
      <c r="B912" s="2">
        <f ca="1">IFERROR(__xludf.DUMMYFUNCTION("""COMPUTED_VALUE"""),263.98)</f>
        <v>263.98</v>
      </c>
      <c r="C912" s="3">
        <v>283.028887086373</v>
      </c>
    </row>
    <row r="913" spans="1:3" ht="13" x14ac:dyDescent="0.15">
      <c r="A913" s="1">
        <f ca="1">IFERROR(__xludf.DUMMYFUNCTION("""COMPUTED_VALUE"""),44481.6666666666)</f>
        <v>44481.666666666599</v>
      </c>
      <c r="B913" s="2">
        <f ca="1">IFERROR(__xludf.DUMMYFUNCTION("""COMPUTED_VALUE"""),268.57)</f>
        <v>268.57</v>
      </c>
      <c r="C913" s="3">
        <v>282.92815822922199</v>
      </c>
    </row>
    <row r="914" spans="1:3" ht="13" x14ac:dyDescent="0.15">
      <c r="A914" s="1">
        <f ca="1">IFERROR(__xludf.DUMMYFUNCTION("""COMPUTED_VALUE"""),44482.6666666666)</f>
        <v>44482.666666666599</v>
      </c>
      <c r="B914" s="2">
        <f ca="1">IFERROR(__xludf.DUMMYFUNCTION("""COMPUTED_VALUE"""),270.36)</f>
        <v>270.36</v>
      </c>
      <c r="C914" s="3">
        <v>284.07432114948102</v>
      </c>
    </row>
    <row r="915" spans="1:3" ht="13" x14ac:dyDescent="0.15">
      <c r="A915" s="1">
        <f ca="1">IFERROR(__xludf.DUMMYFUNCTION("""COMPUTED_VALUE"""),44483.6666666666)</f>
        <v>44483.666666666599</v>
      </c>
      <c r="B915" s="2">
        <f ca="1">IFERROR(__xludf.DUMMYFUNCTION("""COMPUTED_VALUE"""),272.77)</f>
        <v>272.77</v>
      </c>
      <c r="C915" s="3">
        <v>284.81043459311002</v>
      </c>
    </row>
    <row r="916" spans="1:3" ht="13" x14ac:dyDescent="0.15">
      <c r="A916" s="1">
        <f ca="1">IFERROR(__xludf.DUMMYFUNCTION("""COMPUTED_VALUE"""),44484.6666666666)</f>
        <v>44484.666666666599</v>
      </c>
      <c r="B916" s="2">
        <f ca="1">IFERROR(__xludf.DUMMYFUNCTION("""COMPUTED_VALUE"""),281.01)</f>
        <v>281.01</v>
      </c>
      <c r="C916" s="3">
        <v>285.62708838970599</v>
      </c>
    </row>
    <row r="917" spans="1:3" ht="13" x14ac:dyDescent="0.15">
      <c r="A917" s="1">
        <f ca="1">IFERROR(__xludf.DUMMYFUNCTION("""COMPUTED_VALUE"""),44487.6666666666)</f>
        <v>44487.666666666599</v>
      </c>
      <c r="B917" s="2">
        <f ca="1">IFERROR(__xludf.DUMMYFUNCTION("""COMPUTED_VALUE"""),290.04)</f>
        <v>290.04000000000002</v>
      </c>
      <c r="C917" s="3">
        <v>292.06260150455802</v>
      </c>
    </row>
    <row r="918" spans="1:3" ht="13" x14ac:dyDescent="0.15">
      <c r="A918" s="1">
        <f ca="1">IFERROR(__xludf.DUMMYFUNCTION("""COMPUTED_VALUE"""),44488.6666666666)</f>
        <v>44488.666666666599</v>
      </c>
      <c r="B918" s="2">
        <f ca="1">IFERROR(__xludf.DUMMYFUNCTION("""COMPUTED_VALUE"""),288.09)</f>
        <v>288.08999999999997</v>
      </c>
      <c r="C918" s="3">
        <v>292.73531168799701</v>
      </c>
    </row>
    <row r="919" spans="1:3" ht="13" x14ac:dyDescent="0.15">
      <c r="A919" s="1">
        <f ca="1">IFERROR(__xludf.DUMMYFUNCTION("""COMPUTED_VALUE"""),44489.6666666666)</f>
        <v>44489.666666666599</v>
      </c>
      <c r="B919" s="2">
        <f ca="1">IFERROR(__xludf.DUMMYFUNCTION("""COMPUTED_VALUE"""),288.6)</f>
        <v>288.60000000000002</v>
      </c>
      <c r="C919" s="3">
        <v>294.50706914938502</v>
      </c>
    </row>
    <row r="920" spans="1:3" ht="13" x14ac:dyDescent="0.15">
      <c r="A920" s="1">
        <f ca="1">IFERROR(__xludf.DUMMYFUNCTION("""COMPUTED_VALUE"""),44490.6666666666)</f>
        <v>44490.666666666599</v>
      </c>
      <c r="B920" s="2">
        <f ca="1">IFERROR(__xludf.DUMMYFUNCTION("""COMPUTED_VALUE"""),298)</f>
        <v>298</v>
      </c>
      <c r="C920" s="3">
        <v>295.70896163884902</v>
      </c>
    </row>
    <row r="921" spans="1:3" ht="13" x14ac:dyDescent="0.15">
      <c r="A921" s="1">
        <f ca="1">IFERROR(__xludf.DUMMYFUNCTION("""COMPUTED_VALUE"""),44491.6666666666)</f>
        <v>44491.666666666599</v>
      </c>
      <c r="B921" s="2">
        <f ca="1">IFERROR(__xludf.DUMMYFUNCTION("""COMPUTED_VALUE"""),303.23)</f>
        <v>303.23</v>
      </c>
      <c r="C921" s="3">
        <v>296.823762009571</v>
      </c>
    </row>
    <row r="922" spans="1:3" ht="13" x14ac:dyDescent="0.15">
      <c r="A922" s="1">
        <f ca="1">IFERROR(__xludf.DUMMYFUNCTION("""COMPUTED_VALUE"""),44494.6666666666)</f>
        <v>44494.666666666599</v>
      </c>
      <c r="B922" s="2">
        <f ca="1">IFERROR(__xludf.DUMMYFUNCTION("""COMPUTED_VALUE"""),341.62)</f>
        <v>341.62</v>
      </c>
      <c r="C922" s="3">
        <v>303.13513909673901</v>
      </c>
    </row>
    <row r="923" spans="1:3" ht="13" x14ac:dyDescent="0.15">
      <c r="A923" s="1">
        <f ca="1">IFERROR(__xludf.DUMMYFUNCTION("""COMPUTED_VALUE"""),44495.6666666666)</f>
        <v>44495.666666666599</v>
      </c>
      <c r="B923" s="2">
        <f ca="1">IFERROR(__xludf.DUMMYFUNCTION("""COMPUTED_VALUE"""),339.48)</f>
        <v>339.48</v>
      </c>
      <c r="C923" s="3">
        <v>303.44438413655303</v>
      </c>
    </row>
    <row r="924" spans="1:3" ht="13" x14ac:dyDescent="0.15">
      <c r="A924" s="1">
        <f ca="1">IFERROR(__xludf.DUMMYFUNCTION("""COMPUTED_VALUE"""),44496.6666666666)</f>
        <v>44496.666666666599</v>
      </c>
      <c r="B924" s="2">
        <f ca="1">IFERROR(__xludf.DUMMYFUNCTION("""COMPUTED_VALUE"""),345.95)</f>
        <v>345.95</v>
      </c>
      <c r="C924" s="3">
        <v>304.71059599279602</v>
      </c>
    </row>
    <row r="925" spans="1:3" ht="13" x14ac:dyDescent="0.15">
      <c r="A925" s="1">
        <f ca="1">IFERROR(__xludf.DUMMYFUNCTION("""COMPUTED_VALUE"""),44497.6666666666)</f>
        <v>44497.666666666599</v>
      </c>
      <c r="B925" s="2">
        <f ca="1">IFERROR(__xludf.DUMMYFUNCTION("""COMPUTED_VALUE"""),359.01)</f>
        <v>359.01</v>
      </c>
      <c r="C925" s="3">
        <v>305.28170558380299</v>
      </c>
    </row>
    <row r="926" spans="1:3" ht="13" x14ac:dyDescent="0.15">
      <c r="A926" s="1">
        <f ca="1">IFERROR(__xludf.DUMMYFUNCTION("""COMPUTED_VALUE"""),44498.6666666666)</f>
        <v>44498.666666666599</v>
      </c>
      <c r="B926" s="2">
        <f ca="1">IFERROR(__xludf.DUMMYFUNCTION("""COMPUTED_VALUE"""),371.33)</f>
        <v>371.33</v>
      </c>
      <c r="C926" s="3">
        <v>305.660329178643</v>
      </c>
    </row>
    <row r="927" spans="1:3" ht="13" x14ac:dyDescent="0.15">
      <c r="A927" s="1">
        <f ca="1">IFERROR(__xludf.DUMMYFUNCTION("""COMPUTED_VALUE"""),44501.6666666666)</f>
        <v>44501.666666666599</v>
      </c>
      <c r="B927" s="2">
        <f ca="1">IFERROR(__xludf.DUMMYFUNCTION("""COMPUTED_VALUE"""),402.86)</f>
        <v>402.86</v>
      </c>
      <c r="C927" s="3">
        <v>309.36176834307201</v>
      </c>
    </row>
    <row r="928" spans="1:3" ht="13" x14ac:dyDescent="0.15">
      <c r="A928" s="1">
        <f ca="1">IFERROR(__xludf.DUMMYFUNCTION("""COMPUTED_VALUE"""),44502.6666666666)</f>
        <v>44502.666666666599</v>
      </c>
      <c r="B928" s="2">
        <f ca="1">IFERROR(__xludf.DUMMYFUNCTION("""COMPUTED_VALUE"""),390.67)</f>
        <v>390.67</v>
      </c>
      <c r="C928" s="3">
        <v>308.750385944534</v>
      </c>
    </row>
    <row r="929" spans="1:3" ht="13" x14ac:dyDescent="0.15">
      <c r="A929" s="1">
        <f ca="1">IFERROR(__xludf.DUMMYFUNCTION("""COMPUTED_VALUE"""),44503.6666666666)</f>
        <v>44503.666666666599</v>
      </c>
      <c r="B929" s="2">
        <f ca="1">IFERROR(__xludf.DUMMYFUNCTION("""COMPUTED_VALUE"""),404.62)</f>
        <v>404.62</v>
      </c>
      <c r="C929" s="3">
        <v>309.11283182528098</v>
      </c>
    </row>
    <row r="930" spans="1:3" ht="13" x14ac:dyDescent="0.15">
      <c r="A930" s="1">
        <f ca="1">IFERROR(__xludf.DUMMYFUNCTION("""COMPUTED_VALUE"""),44504.6666666666)</f>
        <v>44504.666666666599</v>
      </c>
      <c r="B930" s="2">
        <f ca="1">IFERROR(__xludf.DUMMYFUNCTION("""COMPUTED_VALUE"""),409.97)</f>
        <v>409.97</v>
      </c>
      <c r="C930" s="3">
        <v>308.82121543090898</v>
      </c>
    </row>
    <row r="931" spans="1:3" ht="13" x14ac:dyDescent="0.15">
      <c r="A931" s="1">
        <f ca="1">IFERROR(__xludf.DUMMYFUNCTION("""COMPUTED_VALUE"""),44505.6666666666)</f>
        <v>44505.666666666599</v>
      </c>
      <c r="B931" s="2">
        <f ca="1">IFERROR(__xludf.DUMMYFUNCTION("""COMPUTED_VALUE"""),407.36)</f>
        <v>407.36</v>
      </c>
      <c r="C931" s="3">
        <v>308.40061869669802</v>
      </c>
    </row>
    <row r="932" spans="1:3" ht="13" x14ac:dyDescent="0.15">
      <c r="A932" s="1">
        <f ca="1">IFERROR(__xludf.DUMMYFUNCTION("""COMPUTED_VALUE"""),44508.6666666666)</f>
        <v>44508.666666666599</v>
      </c>
      <c r="B932" s="2">
        <f ca="1">IFERROR(__xludf.DUMMYFUNCTION("""COMPUTED_VALUE"""),387.65)</f>
        <v>387.65</v>
      </c>
      <c r="C932" s="3">
        <v>310.27185391072697</v>
      </c>
    </row>
    <row r="933" spans="1:3" ht="13" x14ac:dyDescent="0.15">
      <c r="A933" s="1">
        <f ca="1">IFERROR(__xludf.DUMMYFUNCTION("""COMPUTED_VALUE"""),44509.6666666666)</f>
        <v>44509.666666666599</v>
      </c>
      <c r="B933" s="2">
        <f ca="1">IFERROR(__xludf.DUMMYFUNCTION("""COMPUTED_VALUE"""),341.17)</f>
        <v>341.17</v>
      </c>
      <c r="C933" s="3">
        <v>309.28550836409602</v>
      </c>
    </row>
    <row r="934" spans="1:3" ht="13" x14ac:dyDescent="0.15">
      <c r="A934" s="1">
        <f ca="1">IFERROR(__xludf.DUMMYFUNCTION("""COMPUTED_VALUE"""),44510.6666666666)</f>
        <v>44510.666666666599</v>
      </c>
      <c r="B934" s="2">
        <f ca="1">IFERROR(__xludf.DUMMYFUNCTION("""COMPUTED_VALUE"""),355.98)</f>
        <v>355.98</v>
      </c>
      <c r="C934" s="3">
        <v>309.40415366000002</v>
      </c>
    </row>
    <row r="935" spans="1:3" ht="13" x14ac:dyDescent="0.15">
      <c r="A935" s="1">
        <f ca="1">IFERROR(__xludf.DUMMYFUNCTION("""COMPUTED_VALUE"""),44511.6666666666)</f>
        <v>44511.666666666599</v>
      </c>
      <c r="B935" s="2">
        <f ca="1">IFERROR(__xludf.DUMMYFUNCTION("""COMPUTED_VALUE"""),354.5)</f>
        <v>354.5</v>
      </c>
      <c r="C935" s="3">
        <v>309.00198965029801</v>
      </c>
    </row>
    <row r="936" spans="1:3" ht="13" x14ac:dyDescent="0.15">
      <c r="A936" s="1">
        <f ca="1">IFERROR(__xludf.DUMMYFUNCTION("""COMPUTED_VALUE"""),44512.6666666666)</f>
        <v>44512.666666666599</v>
      </c>
      <c r="B936" s="2">
        <f ca="1">IFERROR(__xludf.DUMMYFUNCTION("""COMPUTED_VALUE"""),344.47)</f>
        <v>344.47</v>
      </c>
      <c r="C936" s="3">
        <v>308.60205386268399</v>
      </c>
    </row>
    <row r="937" spans="1:3" ht="13" x14ac:dyDescent="0.15">
      <c r="A937" s="1">
        <f ca="1">IFERROR(__xludf.DUMMYFUNCTION("""COMPUTED_VALUE"""),44515.6666666666)</f>
        <v>44515.666666666599</v>
      </c>
      <c r="B937" s="2">
        <f ca="1">IFERROR(__xludf.DUMMYFUNCTION("""COMPUTED_VALUE"""),337.8)</f>
        <v>337.8</v>
      </c>
      <c r="C937" s="3">
        <v>311.24297630934802</v>
      </c>
    </row>
    <row r="938" spans="1:3" ht="13" x14ac:dyDescent="0.15">
      <c r="A938" s="1">
        <f ca="1">IFERROR(__xludf.DUMMYFUNCTION("""COMPUTED_VALUE"""),44516.6666666666)</f>
        <v>44516.666666666599</v>
      </c>
      <c r="B938" s="2">
        <f ca="1">IFERROR(__xludf.DUMMYFUNCTION("""COMPUTED_VALUE"""),351.58)</f>
        <v>351.58</v>
      </c>
      <c r="C938" s="3">
        <v>310.70490868934201</v>
      </c>
    </row>
    <row r="939" spans="1:3" ht="13" x14ac:dyDescent="0.15">
      <c r="A939" s="1">
        <f ca="1">IFERROR(__xludf.DUMMYFUNCTION("""COMPUTED_VALUE"""),44517.6666666666)</f>
        <v>44517.666666666599</v>
      </c>
      <c r="B939" s="2">
        <f ca="1">IFERROR(__xludf.DUMMYFUNCTION("""COMPUTED_VALUE"""),363)</f>
        <v>363</v>
      </c>
      <c r="C939" s="3">
        <v>311.33825229542998</v>
      </c>
    </row>
    <row r="940" spans="1:3" ht="13" x14ac:dyDescent="0.15">
      <c r="A940" s="1">
        <f ca="1">IFERROR(__xludf.DUMMYFUNCTION("""COMPUTED_VALUE"""),44518.6666666666)</f>
        <v>44518.666666666599</v>
      </c>
      <c r="B940" s="2">
        <f ca="1">IFERROR(__xludf.DUMMYFUNCTION("""COMPUTED_VALUE"""),365.46)</f>
        <v>365.46</v>
      </c>
      <c r="C940" s="3">
        <v>311.49627237898102</v>
      </c>
    </row>
    <row r="941" spans="1:3" ht="13" x14ac:dyDescent="0.15">
      <c r="A941" s="1">
        <f ca="1">IFERROR(__xludf.DUMMYFUNCTION("""COMPUTED_VALUE"""),44519.6666666666)</f>
        <v>44519.666666666599</v>
      </c>
      <c r="B941" s="2">
        <f ca="1">IFERROR(__xludf.DUMMYFUNCTION("""COMPUTED_VALUE"""),379.02)</f>
        <v>379.02</v>
      </c>
      <c r="C941" s="3">
        <v>311.679769118786</v>
      </c>
    </row>
    <row r="942" spans="1:3" ht="13" x14ac:dyDescent="0.15">
      <c r="A942" s="1">
        <f ca="1">IFERROR(__xludf.DUMMYFUNCTION("""COMPUTED_VALUE"""),44522.6666666666)</f>
        <v>44522.666666666599</v>
      </c>
      <c r="B942" s="2">
        <f ca="1">IFERROR(__xludf.DUMMYFUNCTION("""COMPUTED_VALUE"""),385.62)</f>
        <v>385.62</v>
      </c>
      <c r="C942" s="3">
        <v>315.983027864473</v>
      </c>
    </row>
    <row r="943" spans="1:3" ht="13" x14ac:dyDescent="0.15">
      <c r="A943" s="1">
        <f ca="1">IFERROR(__xludf.DUMMYFUNCTION("""COMPUTED_VALUE"""),44523.6666666666)</f>
        <v>44523.666666666599</v>
      </c>
      <c r="B943" s="2">
        <f ca="1">IFERROR(__xludf.DUMMYFUNCTION("""COMPUTED_VALUE"""),369.68)</f>
        <v>369.68</v>
      </c>
      <c r="C943" s="3">
        <v>315.897111507006</v>
      </c>
    </row>
    <row r="944" spans="1:3" ht="13" x14ac:dyDescent="0.15">
      <c r="A944" s="1">
        <f ca="1">IFERROR(__xludf.DUMMYFUNCTION("""COMPUTED_VALUE"""),44524.6666666666)</f>
        <v>44524.666666666599</v>
      </c>
      <c r="B944" s="2">
        <f ca="1">IFERROR(__xludf.DUMMYFUNCTION("""COMPUTED_VALUE"""),372)</f>
        <v>372</v>
      </c>
      <c r="C944" s="3">
        <v>316.89923147752398</v>
      </c>
    </row>
    <row r="945" spans="1:3" ht="13" x14ac:dyDescent="0.15">
      <c r="A945" s="1">
        <f ca="1">IFERROR(__xludf.DUMMYFUNCTION("""COMPUTED_VALUE"""),44526.5416666666)</f>
        <v>44526.541666666599</v>
      </c>
      <c r="B945" s="2">
        <f ca="1">IFERROR(__xludf.DUMMYFUNCTION("""COMPUTED_VALUE"""),360.64)</f>
        <v>360.64</v>
      </c>
      <c r="C945" s="3">
        <v>317.668084772459</v>
      </c>
    </row>
    <row r="946" spans="1:3" ht="13" x14ac:dyDescent="0.15">
      <c r="A946" s="1">
        <f ca="1">IFERROR(__xludf.DUMMYFUNCTION("""COMPUTED_VALUE"""),44529.6666666666)</f>
        <v>44529.666666666599</v>
      </c>
      <c r="B946" s="2">
        <f ca="1">IFERROR(__xludf.DUMMYFUNCTION("""COMPUTED_VALUE"""),379)</f>
        <v>379</v>
      </c>
      <c r="C946" s="3">
        <v>321.70144761826998</v>
      </c>
    </row>
    <row r="947" spans="1:3" ht="13" x14ac:dyDescent="0.15">
      <c r="A947" s="1">
        <f ca="1">IFERROR(__xludf.DUMMYFUNCTION("""COMPUTED_VALUE"""),44530.6666666666)</f>
        <v>44530.666666666599</v>
      </c>
      <c r="B947" s="2">
        <f ca="1">IFERROR(__xludf.DUMMYFUNCTION("""COMPUTED_VALUE"""),381.59)</f>
        <v>381.59</v>
      </c>
      <c r="C947" s="3">
        <v>321.27357811157702</v>
      </c>
    </row>
    <row r="948" spans="1:3" ht="13" x14ac:dyDescent="0.15">
      <c r="A948" s="1">
        <f ca="1">IFERROR(__xludf.DUMMYFUNCTION("""COMPUTED_VALUE"""),44531.6666666666)</f>
        <v>44531.666666666599</v>
      </c>
      <c r="B948" s="2">
        <f ca="1">IFERROR(__xludf.DUMMYFUNCTION("""COMPUTED_VALUE"""),365)</f>
        <v>365</v>
      </c>
      <c r="C948" s="3">
        <v>321.81568046545601</v>
      </c>
    </row>
    <row r="949" spans="1:3" ht="13" x14ac:dyDescent="0.15">
      <c r="A949" s="1">
        <f ca="1">IFERROR(__xludf.DUMMYFUNCTION("""COMPUTED_VALUE"""),44532.6666666666)</f>
        <v>44532.666666666599</v>
      </c>
      <c r="B949" s="2">
        <f ca="1">IFERROR(__xludf.DUMMYFUNCTION("""COMPUTED_VALUE"""),361.53)</f>
        <v>361.53</v>
      </c>
      <c r="C949" s="3">
        <v>321.67580085417399</v>
      </c>
    </row>
    <row r="950" spans="1:3" ht="13" x14ac:dyDescent="0.15">
      <c r="A950" s="1">
        <f ca="1">IFERROR(__xludf.DUMMYFUNCTION("""COMPUTED_VALUE"""),44533.6666666666)</f>
        <v>44533.666666666599</v>
      </c>
      <c r="B950" s="2">
        <f ca="1">IFERROR(__xludf.DUMMYFUNCTION("""COMPUTED_VALUE"""),338.32)</f>
        <v>338.32</v>
      </c>
      <c r="C950" s="3">
        <v>321.35618993894599</v>
      </c>
    </row>
    <row r="951" spans="1:3" ht="13" x14ac:dyDescent="0.15">
      <c r="A951" s="1">
        <f ca="1">IFERROR(__xludf.DUMMYFUNCTION("""COMPUTED_VALUE"""),44536.6666666666)</f>
        <v>44536.666666666599</v>
      </c>
      <c r="B951" s="2">
        <f ca="1">IFERROR(__xludf.DUMMYFUNCTION("""COMPUTED_VALUE"""),336.34)</f>
        <v>336.34</v>
      </c>
      <c r="C951" s="3">
        <v>323.031990740521</v>
      </c>
    </row>
    <row r="952" spans="1:3" ht="13" x14ac:dyDescent="0.15">
      <c r="A952" s="1">
        <f ca="1">IFERROR(__xludf.DUMMYFUNCTION("""COMPUTED_VALUE"""),44537.6666666666)</f>
        <v>44537.666666666599</v>
      </c>
      <c r="B952" s="2">
        <f ca="1">IFERROR(__xludf.DUMMYFUNCTION("""COMPUTED_VALUE"""),350.58)</f>
        <v>350.58</v>
      </c>
      <c r="C952" s="3">
        <v>321.76582333270699</v>
      </c>
    </row>
    <row r="953" spans="1:3" ht="13" x14ac:dyDescent="0.15">
      <c r="A953" s="1">
        <f ca="1">IFERROR(__xludf.DUMMYFUNCTION("""COMPUTED_VALUE"""),44538.6666666666)</f>
        <v>44538.666666666599</v>
      </c>
      <c r="B953" s="2">
        <f ca="1">IFERROR(__xludf.DUMMYFUNCTION("""COMPUTED_VALUE"""),356.32)</f>
        <v>356.32</v>
      </c>
      <c r="C953" s="3">
        <v>321.48290870212298</v>
      </c>
    </row>
    <row r="954" spans="1:3" ht="13" x14ac:dyDescent="0.15">
      <c r="A954" s="1">
        <f ca="1">IFERROR(__xludf.DUMMYFUNCTION("""COMPUTED_VALUE"""),44539.6666666666)</f>
        <v>44539.666666666599</v>
      </c>
      <c r="B954" s="2">
        <f ca="1">IFERROR(__xludf.DUMMYFUNCTION("""COMPUTED_VALUE"""),334.6)</f>
        <v>334.6</v>
      </c>
      <c r="C954" s="3">
        <v>320.55549188144101</v>
      </c>
    </row>
    <row r="955" spans="1:3" ht="13" x14ac:dyDescent="0.15">
      <c r="A955" s="1">
        <f ca="1">IFERROR(__xludf.DUMMYFUNCTION("""COMPUTED_VALUE"""),44540.6666666666)</f>
        <v>44540.666666666599</v>
      </c>
      <c r="B955" s="2">
        <f ca="1">IFERROR(__xludf.DUMMYFUNCTION("""COMPUTED_VALUE"""),339.01)</f>
        <v>339.01</v>
      </c>
      <c r="C955" s="3">
        <v>319.50936650298303</v>
      </c>
    </row>
    <row r="956" spans="1:3" ht="13" x14ac:dyDescent="0.15">
      <c r="A956" s="1">
        <f ca="1">IFERROR(__xludf.DUMMYFUNCTION("""COMPUTED_VALUE"""),44543.6666666666)</f>
        <v>44543.666666666599</v>
      </c>
      <c r="B956" s="2">
        <f ca="1">IFERROR(__xludf.DUMMYFUNCTION("""COMPUTED_VALUE"""),322.14)</f>
        <v>322.14</v>
      </c>
      <c r="C956" s="3">
        <v>319.58311187953899</v>
      </c>
    </row>
    <row r="957" spans="1:3" ht="13" x14ac:dyDescent="0.15">
      <c r="A957" s="1">
        <f ca="1">IFERROR(__xludf.DUMMYFUNCTION("""COMPUTED_VALUE"""),44544.6666666666)</f>
        <v>44544.666666666599</v>
      </c>
      <c r="B957" s="2">
        <f ca="1">IFERROR(__xludf.DUMMYFUNCTION("""COMPUTED_VALUE"""),319.5)</f>
        <v>319.5</v>
      </c>
      <c r="C957" s="3">
        <v>318.03354153697302</v>
      </c>
    </row>
    <row r="958" spans="1:3" ht="13" x14ac:dyDescent="0.15">
      <c r="A958" s="1">
        <f ca="1">IFERROR(__xludf.DUMMYFUNCTION("""COMPUTED_VALUE"""),44545.6666666666)</f>
        <v>44545.666666666599</v>
      </c>
      <c r="B958" s="2">
        <f ca="1">IFERROR(__xludf.DUMMYFUNCTION("""COMPUTED_VALUE"""),325.33)</f>
        <v>325.33</v>
      </c>
      <c r="C958" s="3">
        <v>317.61360155915702</v>
      </c>
    </row>
    <row r="959" spans="1:3" ht="13" x14ac:dyDescent="0.15">
      <c r="A959" s="1">
        <f ca="1">IFERROR(__xludf.DUMMYFUNCTION("""COMPUTED_VALUE"""),44546.6666666666)</f>
        <v>44546.666666666599</v>
      </c>
      <c r="B959" s="2">
        <f ca="1">IFERROR(__xludf.DUMMYFUNCTION("""COMPUTED_VALUE"""),308.97)</f>
        <v>308.97000000000003</v>
      </c>
      <c r="C959" s="3">
        <v>316.70254204646102</v>
      </c>
    </row>
    <row r="960" spans="1:3" ht="13" x14ac:dyDescent="0.15">
      <c r="A960" s="1">
        <f ca="1">IFERROR(__xludf.DUMMYFUNCTION("""COMPUTED_VALUE"""),44547.6666666666)</f>
        <v>44547.666666666599</v>
      </c>
      <c r="B960" s="2">
        <f ca="1">IFERROR(__xludf.DUMMYFUNCTION("""COMPUTED_VALUE"""),310.86)</f>
        <v>310.86</v>
      </c>
      <c r="C960" s="3">
        <v>315.82903878700199</v>
      </c>
    </row>
    <row r="961" spans="1:3" ht="13" x14ac:dyDescent="0.15">
      <c r="A961" s="1">
        <f ca="1">IFERROR(__xludf.DUMMYFUNCTION("""COMPUTED_VALUE"""),44550.6666666666)</f>
        <v>44550.666666666599</v>
      </c>
      <c r="B961" s="2">
        <f ca="1">IFERROR(__xludf.DUMMYFUNCTION("""COMPUTED_VALUE"""),299.98)</f>
        <v>299.98</v>
      </c>
      <c r="C961" s="3">
        <v>317.32384355517502</v>
      </c>
    </row>
    <row r="962" spans="1:3" ht="13" x14ac:dyDescent="0.15">
      <c r="A962" s="1">
        <f ca="1">IFERROR(__xludf.DUMMYFUNCTION("""COMPUTED_VALUE"""),44551.6666666666)</f>
        <v>44551.666666666599</v>
      </c>
      <c r="B962" s="2">
        <f ca="1">IFERROR(__xludf.DUMMYFUNCTION("""COMPUTED_VALUE"""),312.84)</f>
        <v>312.83999999999997</v>
      </c>
      <c r="C962" s="3">
        <v>316.51715721555502</v>
      </c>
    </row>
    <row r="963" spans="1:3" ht="13" x14ac:dyDescent="0.15">
      <c r="A963" s="1">
        <f ca="1">IFERROR(__xludf.DUMMYFUNCTION("""COMPUTED_VALUE"""),44552.6666666666)</f>
        <v>44552.666666666599</v>
      </c>
      <c r="B963" s="2">
        <f ca="1">IFERROR(__xludf.DUMMYFUNCTION("""COMPUTED_VALUE"""),336.29)</f>
        <v>336.29</v>
      </c>
      <c r="C963" s="3">
        <v>316.94944861160002</v>
      </c>
    </row>
    <row r="964" spans="1:3" ht="13" x14ac:dyDescent="0.15">
      <c r="A964" s="1">
        <f ca="1">IFERROR(__xludf.DUMMYFUNCTION("""COMPUTED_VALUE"""),44553.6666666666)</f>
        <v>44553.666666666599</v>
      </c>
      <c r="B964" s="2">
        <f ca="1">IFERROR(__xludf.DUMMYFUNCTION("""COMPUTED_VALUE"""),355.67)</f>
        <v>355.67</v>
      </c>
      <c r="C964" s="3">
        <v>316.98005866761099</v>
      </c>
    </row>
    <row r="965" spans="1:3" ht="13" x14ac:dyDescent="0.15">
      <c r="A965" s="1">
        <f ca="1">IFERROR(__xludf.DUMMYFUNCTION("""COMPUTED_VALUE"""),44557.6666666666)</f>
        <v>44557.666666666599</v>
      </c>
      <c r="B965" s="2">
        <f ca="1">IFERROR(__xludf.DUMMYFUNCTION("""COMPUTED_VALUE"""),364.65)</f>
        <v>364.65</v>
      </c>
      <c r="C965" s="3">
        <v>321.79218409425101</v>
      </c>
    </row>
    <row r="966" spans="1:3" ht="13" x14ac:dyDescent="0.15">
      <c r="A966" s="1">
        <f ca="1">IFERROR(__xludf.DUMMYFUNCTION("""COMPUTED_VALUE"""),44558.6666666666)</f>
        <v>44558.666666666599</v>
      </c>
      <c r="B966" s="2">
        <f ca="1">IFERROR(__xludf.DUMMYFUNCTION("""COMPUTED_VALUE"""),362.82)</f>
        <v>362.82</v>
      </c>
      <c r="C966" s="3">
        <v>322.01300007288103</v>
      </c>
    </row>
    <row r="967" spans="1:3" ht="13" x14ac:dyDescent="0.15">
      <c r="A967" s="1">
        <f ca="1">IFERROR(__xludf.DUMMYFUNCTION("""COMPUTED_VALUE"""),44559.6666666666)</f>
        <v>44559.666666666599</v>
      </c>
      <c r="B967" s="2">
        <f ca="1">IFERROR(__xludf.DUMMYFUNCTION("""COMPUTED_VALUE"""),362.06)</f>
        <v>362.06</v>
      </c>
      <c r="C967" s="3">
        <v>323.41470693705401</v>
      </c>
    </row>
    <row r="968" spans="1:3" ht="13" x14ac:dyDescent="0.15">
      <c r="A968" s="1">
        <f ca="1">IFERROR(__xludf.DUMMYFUNCTION("""COMPUTED_VALUE"""),44560.6666666666)</f>
        <v>44560.666666666599</v>
      </c>
      <c r="B968" s="2">
        <f ca="1">IFERROR(__xludf.DUMMYFUNCTION("""COMPUTED_VALUE"""),356.78)</f>
        <v>356.78</v>
      </c>
      <c r="C968" s="3">
        <v>323.92863888225099</v>
      </c>
    </row>
    <row r="969" spans="1:3" ht="13" x14ac:dyDescent="0.15">
      <c r="A969" s="1">
        <f ca="1">IFERROR(__xludf.DUMMYFUNCTION("""COMPUTED_VALUE"""),44561.6666666666)</f>
        <v>44561.666666666599</v>
      </c>
      <c r="B969" s="2">
        <f ca="1">IFERROR(__xludf.DUMMYFUNCTION("""COMPUTED_VALUE"""),352.26)</f>
        <v>352.26</v>
      </c>
      <c r="C969" s="3">
        <v>324.44588233079003</v>
      </c>
    </row>
    <row r="970" spans="1:3" ht="13" x14ac:dyDescent="0.15">
      <c r="A970" s="1">
        <f ca="1">IFERROR(__xludf.DUMMYFUNCTION("""COMPUTED_VALUE"""),44564.6666666666)</f>
        <v>44564.666666666599</v>
      </c>
      <c r="B970" s="2">
        <f ca="1">IFERROR(__xludf.DUMMYFUNCTION("""COMPUTED_VALUE"""),399.93)</f>
        <v>399.93</v>
      </c>
      <c r="C970" s="3">
        <v>329.50232810955299</v>
      </c>
    </row>
    <row r="971" spans="1:3" ht="13" x14ac:dyDescent="0.15">
      <c r="A971" s="1">
        <f ca="1">IFERROR(__xludf.DUMMYFUNCTION("""COMPUTED_VALUE"""),44565.6666666666)</f>
        <v>44565.666666666599</v>
      </c>
      <c r="B971" s="2">
        <f ca="1">IFERROR(__xludf.DUMMYFUNCTION("""COMPUTED_VALUE"""),383.2)</f>
        <v>383.2</v>
      </c>
      <c r="C971" s="3">
        <v>329.55975038257998</v>
      </c>
    </row>
    <row r="972" spans="1:3" ht="13" x14ac:dyDescent="0.15">
      <c r="A972" s="1">
        <f ca="1">IFERROR(__xludf.DUMMYFUNCTION("""COMPUTED_VALUE"""),44566.6666666666)</f>
        <v>44566.666666666599</v>
      </c>
      <c r="B972" s="2">
        <f ca="1">IFERROR(__xludf.DUMMYFUNCTION("""COMPUTED_VALUE"""),362.71)</f>
        <v>362.71</v>
      </c>
      <c r="C972" s="3">
        <v>330.646028055621</v>
      </c>
    </row>
    <row r="973" spans="1:3" ht="13" x14ac:dyDescent="0.15">
      <c r="A973" s="1">
        <f ca="1">IFERROR(__xludf.DUMMYFUNCTION("""COMPUTED_VALUE"""),44567.6666666666)</f>
        <v>44567.666666666599</v>
      </c>
      <c r="B973" s="2">
        <f ca="1">IFERROR(__xludf.DUMMYFUNCTION("""COMPUTED_VALUE"""),354.9)</f>
        <v>354.9</v>
      </c>
      <c r="C973" s="3">
        <v>331.09982083345602</v>
      </c>
    </row>
    <row r="974" spans="1:3" ht="13" x14ac:dyDescent="0.15">
      <c r="A974" s="1">
        <f ca="1">IFERROR(__xludf.DUMMYFUNCTION("""COMPUTED_VALUE"""),44568.6666666666)</f>
        <v>44568.666666666599</v>
      </c>
      <c r="B974" s="2">
        <f ca="1">IFERROR(__xludf.DUMMYFUNCTION("""COMPUTED_VALUE"""),342.32)</f>
        <v>342.32</v>
      </c>
      <c r="C974" s="3">
        <v>331.41327012491899</v>
      </c>
    </row>
    <row r="975" spans="1:3" ht="13" x14ac:dyDescent="0.15">
      <c r="A975" s="1">
        <f ca="1">IFERROR(__xludf.DUMMYFUNCTION("""COMPUTED_VALUE"""),44571.6666666666)</f>
        <v>44571.666666666599</v>
      </c>
      <c r="B975" s="2">
        <f ca="1">IFERROR(__xludf.DUMMYFUNCTION("""COMPUTED_VALUE"""),352.71)</f>
        <v>352.71</v>
      </c>
      <c r="C975" s="3">
        <v>335.11679405817301</v>
      </c>
    </row>
    <row r="976" spans="1:3" ht="13" x14ac:dyDescent="0.15">
      <c r="A976" s="1">
        <f ca="1">IFERROR(__xludf.DUMMYFUNCTION("""COMPUTED_VALUE"""),44572.6666666666)</f>
        <v>44572.666666666599</v>
      </c>
      <c r="B976" s="2">
        <f ca="1">IFERROR(__xludf.DUMMYFUNCTION("""COMPUTED_VALUE"""),354.8)</f>
        <v>354.8</v>
      </c>
      <c r="C976" s="3">
        <v>334.53269349041301</v>
      </c>
    </row>
    <row r="977" spans="1:3" ht="13" x14ac:dyDescent="0.15">
      <c r="A977" s="1">
        <f ca="1">IFERROR(__xludf.DUMMYFUNCTION("""COMPUTED_VALUE"""),44573.6666666666)</f>
        <v>44573.666666666599</v>
      </c>
      <c r="B977" s="2">
        <f ca="1">IFERROR(__xludf.DUMMYFUNCTION("""COMPUTED_VALUE"""),368.74)</f>
        <v>368.74</v>
      </c>
      <c r="C977" s="3">
        <v>334.91694510255098</v>
      </c>
    </row>
    <row r="978" spans="1:3" ht="13" x14ac:dyDescent="0.15">
      <c r="A978" s="1">
        <f ca="1">IFERROR(__xludf.DUMMYFUNCTION("""COMPUTED_VALUE"""),44574.6666666666)</f>
        <v>44574.666666666599</v>
      </c>
      <c r="B978" s="2">
        <f ca="1">IFERROR(__xludf.DUMMYFUNCTION("""COMPUTED_VALUE"""),343.85)</f>
        <v>343.85</v>
      </c>
      <c r="C978" s="3">
        <v>334.63165503494702</v>
      </c>
    </row>
    <row r="979" spans="1:3" ht="13" x14ac:dyDescent="0.15">
      <c r="A979" s="1">
        <f ca="1">IFERROR(__xludf.DUMMYFUNCTION("""COMPUTED_VALUE"""),44575.6666666666)</f>
        <v>44575.666666666599</v>
      </c>
      <c r="B979" s="2">
        <f ca="1">IFERROR(__xludf.DUMMYFUNCTION("""COMPUTED_VALUE"""),349.87)</f>
        <v>349.87</v>
      </c>
      <c r="C979" s="3">
        <v>334.193173922467</v>
      </c>
    </row>
    <row r="980" spans="1:3" ht="13" x14ac:dyDescent="0.15">
      <c r="A980" s="1">
        <f ca="1">IFERROR(__xludf.DUMMYFUNCTION("""COMPUTED_VALUE"""),44579.6666666666)</f>
        <v>44579.666666666599</v>
      </c>
      <c r="B980" s="2">
        <f ca="1">IFERROR(__xludf.DUMMYFUNCTION("""COMPUTED_VALUE"""),343.5)</f>
        <v>343.5</v>
      </c>
      <c r="C980" s="3">
        <v>334.64690773908802</v>
      </c>
    </row>
    <row r="981" spans="1:3" ht="13" x14ac:dyDescent="0.15">
      <c r="A981" s="1">
        <f ca="1">IFERROR(__xludf.DUMMYFUNCTION("""COMPUTED_VALUE"""),44580.6666666666)</f>
        <v>44580.666666666599</v>
      </c>
      <c r="B981" s="2">
        <f ca="1">IFERROR(__xludf.DUMMYFUNCTION("""COMPUTED_VALUE"""),331.88)</f>
        <v>331.88</v>
      </c>
      <c r="C981" s="3">
        <v>334.55470067246603</v>
      </c>
    </row>
    <row r="982" spans="1:3" ht="13" x14ac:dyDescent="0.15">
      <c r="A982" s="1">
        <f ca="1">IFERROR(__xludf.DUMMYFUNCTION("""COMPUTED_VALUE"""),44581.6666666666)</f>
        <v>44581.666666666599</v>
      </c>
      <c r="B982" s="2">
        <f ca="1">IFERROR(__xludf.DUMMYFUNCTION("""COMPUTED_VALUE"""),332.09)</f>
        <v>332.09</v>
      </c>
      <c r="C982" s="3">
        <v>333.90192884167999</v>
      </c>
    </row>
    <row r="983" spans="1:3" ht="13" x14ac:dyDescent="0.15">
      <c r="A983" s="1">
        <f ca="1">IFERROR(__xludf.DUMMYFUNCTION("""COMPUTED_VALUE"""),44582.6666666666)</f>
        <v>44582.666666666599</v>
      </c>
      <c r="B983" s="2">
        <f ca="1">IFERROR(__xludf.DUMMYFUNCTION("""COMPUTED_VALUE"""),314.63)</f>
        <v>314.63</v>
      </c>
      <c r="C983" s="3">
        <v>333.21558142921998</v>
      </c>
    </row>
    <row r="984" spans="1:3" ht="13" x14ac:dyDescent="0.15">
      <c r="A984" s="1">
        <f ca="1">IFERROR(__xludf.DUMMYFUNCTION("""COMPUTED_VALUE"""),44585.6666666666)</f>
        <v>44585.666666666599</v>
      </c>
      <c r="B984" s="2">
        <f ca="1">IFERROR(__xludf.DUMMYFUNCTION("""COMPUTED_VALUE"""),310)</f>
        <v>310</v>
      </c>
      <c r="C984" s="3">
        <v>334.84453029694998</v>
      </c>
    </row>
    <row r="985" spans="1:3" ht="13" x14ac:dyDescent="0.15">
      <c r="A985" s="1">
        <f ca="1">IFERROR(__xludf.DUMMYFUNCTION("""COMPUTED_VALUE"""),44586.6666666666)</f>
        <v>44586.666666666599</v>
      </c>
      <c r="B985" s="2">
        <f ca="1">IFERROR(__xludf.DUMMYFUNCTION("""COMPUTED_VALUE"""),306.13)</f>
        <v>306.13</v>
      </c>
      <c r="C985" s="3">
        <v>333.944590292187</v>
      </c>
    </row>
    <row r="986" spans="1:3" ht="13" x14ac:dyDescent="0.15">
      <c r="A986" s="1">
        <f ca="1">IFERROR(__xludf.DUMMYFUNCTION("""COMPUTED_VALUE"""),44587.6666666666)</f>
        <v>44587.666666666599</v>
      </c>
      <c r="B986" s="2">
        <f ca="1">IFERROR(__xludf.DUMMYFUNCTION("""COMPUTED_VALUE"""),312.47)</f>
        <v>312.47000000000003</v>
      </c>
      <c r="C986" s="3">
        <v>334.21869108333499</v>
      </c>
    </row>
    <row r="987" spans="1:3" ht="13" x14ac:dyDescent="0.15">
      <c r="A987" s="1">
        <f ca="1">IFERROR(__xludf.DUMMYFUNCTION("""COMPUTED_VALUE"""),44588.6666666666)</f>
        <v>44588.666666666599</v>
      </c>
      <c r="B987" s="2">
        <f ca="1">IFERROR(__xludf.DUMMYFUNCTION("""COMPUTED_VALUE"""),276.37)</f>
        <v>276.37</v>
      </c>
      <c r="C987" s="3">
        <v>334.02932639098998</v>
      </c>
    </row>
    <row r="988" spans="1:3" ht="13" x14ac:dyDescent="0.15">
      <c r="A988" s="1">
        <f ca="1">IFERROR(__xludf.DUMMYFUNCTION("""COMPUTED_VALUE"""),44589.6666666666)</f>
        <v>44589.666666666599</v>
      </c>
      <c r="B988" s="2">
        <f ca="1">IFERROR(__xludf.DUMMYFUNCTION("""COMPUTED_VALUE"""),282.12)</f>
        <v>282.12</v>
      </c>
      <c r="C988" s="3">
        <v>333.88619266694297</v>
      </c>
    </row>
    <row r="989" spans="1:3" ht="13" x14ac:dyDescent="0.15">
      <c r="A989" s="1">
        <f ca="1">IFERROR(__xludf.DUMMYFUNCTION("""COMPUTED_VALUE"""),44592.6666666666)</f>
        <v>44592.666666666599</v>
      </c>
      <c r="B989" s="2">
        <f ca="1">IFERROR(__xludf.DUMMYFUNCTION("""COMPUTED_VALUE"""),312.24)</f>
        <v>312.24</v>
      </c>
      <c r="C989" s="3">
        <v>337.41037543839701</v>
      </c>
    </row>
    <row r="990" spans="1:3" ht="13" x14ac:dyDescent="0.15">
      <c r="A990" s="1">
        <f ca="1">IFERROR(__xludf.DUMMYFUNCTION("""COMPUTED_VALUE"""),44593.6666666666)</f>
        <v>44593.666666666599</v>
      </c>
      <c r="B990" s="2">
        <f ca="1">IFERROR(__xludf.DUMMYFUNCTION("""COMPUTED_VALUE"""),310.42)</f>
        <v>310.42</v>
      </c>
      <c r="C990" s="3">
        <v>337.15055840872799</v>
      </c>
    </row>
    <row r="991" spans="1:3" ht="13" x14ac:dyDescent="0.15">
      <c r="A991" s="1">
        <f ca="1">IFERROR(__xludf.DUMMYFUNCTION("""COMPUTED_VALUE"""),44594.6666666666)</f>
        <v>44594.666666666599</v>
      </c>
      <c r="B991" s="2">
        <f ca="1">IFERROR(__xludf.DUMMYFUNCTION("""COMPUTED_VALUE"""),301.89)</f>
        <v>301.89</v>
      </c>
      <c r="C991" s="3">
        <v>338.02680486598001</v>
      </c>
    </row>
    <row r="992" spans="1:3" ht="13" x14ac:dyDescent="0.15">
      <c r="A992" s="1">
        <f ca="1">IFERROR(__xludf.DUMMYFUNCTION("""COMPUTED_VALUE"""),44595.6666666666)</f>
        <v>44595.666666666599</v>
      </c>
      <c r="B992" s="2">
        <f ca="1">IFERROR(__xludf.DUMMYFUNCTION("""COMPUTED_VALUE"""),297.05)</f>
        <v>297.05</v>
      </c>
      <c r="C992" s="3">
        <v>338.37660658403502</v>
      </c>
    </row>
    <row r="993" spans="1:3" ht="13" x14ac:dyDescent="0.15">
      <c r="A993" s="1">
        <f ca="1">IFERROR(__xludf.DUMMYFUNCTION("""COMPUTED_VALUE"""),44596.6666666666)</f>
        <v>44596.666666666599</v>
      </c>
      <c r="B993" s="2">
        <f ca="1">IFERROR(__xludf.DUMMYFUNCTION("""COMPUTED_VALUE"""),307.77)</f>
        <v>307.77</v>
      </c>
      <c r="C993" s="3">
        <v>338.685897817529</v>
      </c>
    </row>
    <row r="994" spans="1:3" ht="13" x14ac:dyDescent="0.15">
      <c r="A994" s="1">
        <f ca="1">IFERROR(__xludf.DUMMYFUNCTION("""COMPUTED_VALUE"""),44599.6666666666)</f>
        <v>44599.666666666599</v>
      </c>
      <c r="B994" s="2">
        <f ca="1">IFERROR(__xludf.DUMMYFUNCTION("""COMPUTED_VALUE"""),302.45)</f>
        <v>302.45</v>
      </c>
      <c r="C994" s="3">
        <v>342.84246172795002</v>
      </c>
    </row>
    <row r="995" spans="1:3" ht="13" x14ac:dyDescent="0.15">
      <c r="A995" s="1">
        <f ca="1">IFERROR(__xludf.DUMMYFUNCTION("""COMPUTED_VALUE"""),44600.6666666666)</f>
        <v>44600.666666666599</v>
      </c>
      <c r="B995" s="2">
        <f ca="1">IFERROR(__xludf.DUMMYFUNCTION("""COMPUTED_VALUE"""),307.33)</f>
        <v>307.33</v>
      </c>
      <c r="C995" s="3">
        <v>342.49901097654202</v>
      </c>
    </row>
    <row r="996" spans="1:3" ht="13" x14ac:dyDescent="0.15">
      <c r="A996" s="1">
        <f ca="1">IFERROR(__xludf.DUMMYFUNCTION("""COMPUTED_VALUE"""),44601.6666666666)</f>
        <v>44601.666666666599</v>
      </c>
      <c r="B996" s="2">
        <f ca="1">IFERROR(__xludf.DUMMYFUNCTION("""COMPUTED_VALUE"""),310.67)</f>
        <v>310.67</v>
      </c>
      <c r="C996" s="3">
        <v>343.12744662321199</v>
      </c>
    </row>
    <row r="997" spans="1:3" ht="13" x14ac:dyDescent="0.15">
      <c r="A997" s="1">
        <f ca="1">IFERROR(__xludf.DUMMYFUNCTION("""COMPUTED_VALUE"""),44602.6666666666)</f>
        <v>44602.666666666599</v>
      </c>
      <c r="B997" s="2">
        <f ca="1">IFERROR(__xludf.DUMMYFUNCTION("""COMPUTED_VALUE"""),301.52)</f>
        <v>301.52</v>
      </c>
      <c r="C997" s="3">
        <v>343.06151358216698</v>
      </c>
    </row>
    <row r="998" spans="1:3" ht="13" x14ac:dyDescent="0.15">
      <c r="A998" s="1">
        <f ca="1">IFERROR(__xludf.DUMMYFUNCTION("""COMPUTED_VALUE"""),44603.6666666666)</f>
        <v>44603.666666666599</v>
      </c>
      <c r="B998" s="2">
        <f ca="1">IFERROR(__xludf.DUMMYFUNCTION("""COMPUTED_VALUE"""),286.67)</f>
        <v>286.67</v>
      </c>
      <c r="C998" s="3">
        <v>342.78798413143602</v>
      </c>
    </row>
    <row r="999" spans="1:3" ht="13" x14ac:dyDescent="0.15">
      <c r="A999" s="1">
        <f ca="1">IFERROR(__xludf.DUMMYFUNCTION("""COMPUTED_VALUE"""),44606.6666666666)</f>
        <v>44606.666666666599</v>
      </c>
      <c r="B999" s="2">
        <f ca="1">IFERROR(__xludf.DUMMYFUNCTION("""COMPUTED_VALUE"""),291.92)</f>
        <v>291.92</v>
      </c>
      <c r="C999" s="3">
        <v>344.270802565623</v>
      </c>
    </row>
    <row r="1000" spans="1:3" ht="13" x14ac:dyDescent="0.15">
      <c r="A1000" s="1">
        <f ca="1">IFERROR(__xludf.DUMMYFUNCTION("""COMPUTED_VALUE"""),44607.6666666666)</f>
        <v>44607.666666666599</v>
      </c>
      <c r="B1000" s="2">
        <f ca="1">IFERROR(__xludf.DUMMYFUNCTION("""COMPUTED_VALUE"""),307.48)</f>
        <v>307.48</v>
      </c>
      <c r="C1000" s="3">
        <v>342.77521648160598</v>
      </c>
    </row>
    <row r="1001" spans="1:3" ht="13" x14ac:dyDescent="0.15">
      <c r="A1001" s="1">
        <f ca="1">IFERROR(__xludf.DUMMYFUNCTION("""COMPUTED_VALUE"""),44608.6666666666)</f>
        <v>44608.666666666599</v>
      </c>
      <c r="B1001" s="2">
        <f ca="1">IFERROR(__xludf.DUMMYFUNCTION("""COMPUTED_VALUE"""),307.8)</f>
        <v>307.8</v>
      </c>
      <c r="C1001" s="3">
        <v>342.15460280324402</v>
      </c>
    </row>
    <row r="1002" spans="1:3" ht="13" x14ac:dyDescent="0.15">
      <c r="A1002" s="1">
        <f ca="1">IFERROR(__xludf.DUMMYFUNCTION("""COMPUTED_VALUE"""),44609.6666666666)</f>
        <v>44609.666666666599</v>
      </c>
      <c r="B1002" s="2">
        <f ca="1">IFERROR(__xludf.DUMMYFUNCTION("""COMPUTED_VALUE"""),292.12)</f>
        <v>292.12</v>
      </c>
      <c r="C1002" s="3">
        <v>340.76768969986699</v>
      </c>
    </row>
    <row r="1003" spans="1:3" ht="13" x14ac:dyDescent="0.15">
      <c r="A1003" s="1">
        <f ca="1">IFERROR(__xludf.DUMMYFUNCTION("""COMPUTED_VALUE"""),44610.6666666666)</f>
        <v>44610.666666666599</v>
      </c>
      <c r="B1003" s="2">
        <f ca="1">IFERROR(__xludf.DUMMYFUNCTION("""COMPUTED_VALUE"""),285.66)</f>
        <v>285.66000000000003</v>
      </c>
      <c r="C1003" s="3">
        <v>339.12864276840799</v>
      </c>
    </row>
    <row r="1004" spans="1:3" ht="13" x14ac:dyDescent="0.15">
      <c r="A1004" s="1">
        <f ca="1">IFERROR(__xludf.DUMMYFUNCTION("""COMPUTED_VALUE"""),44614.6666666666)</f>
        <v>44614.666666666599</v>
      </c>
      <c r="B1004" s="2">
        <f ca="1">IFERROR(__xludf.DUMMYFUNCTION("""COMPUTED_VALUE"""),273.84)</f>
        <v>273.83999999999997</v>
      </c>
      <c r="C1004" s="3">
        <v>333.80066643926</v>
      </c>
    </row>
    <row r="1005" spans="1:3" ht="13" x14ac:dyDescent="0.15">
      <c r="A1005" s="1">
        <f ca="1">IFERROR(__xludf.DUMMYFUNCTION("""COMPUTED_VALUE"""),44615.6666666666)</f>
        <v>44615.666666666599</v>
      </c>
      <c r="B1005" s="2">
        <f ca="1">IFERROR(__xludf.DUMMYFUNCTION("""COMPUTED_VALUE"""),254.68)</f>
        <v>254.68</v>
      </c>
      <c r="C1005" s="3">
        <v>332.03646313946098</v>
      </c>
    </row>
    <row r="1006" spans="1:3" ht="13" x14ac:dyDescent="0.15">
      <c r="A1006" s="1">
        <f ca="1">IFERROR(__xludf.DUMMYFUNCTION("""COMPUTED_VALUE"""),44616.6666666666)</f>
        <v>44616.666666666599</v>
      </c>
      <c r="B1006" s="2">
        <f ca="1">IFERROR(__xludf.DUMMYFUNCTION("""COMPUTED_VALUE"""),266.92)</f>
        <v>266.92</v>
      </c>
      <c r="C1006" s="3">
        <v>329.635345147603</v>
      </c>
    </row>
    <row r="1007" spans="1:3" ht="13" x14ac:dyDescent="0.15">
      <c r="A1007" s="1">
        <f ca="1">IFERROR(__xludf.DUMMYFUNCTION("""COMPUTED_VALUE"""),44617.6666666666)</f>
        <v>44617.666666666599</v>
      </c>
      <c r="B1007" s="2">
        <f ca="1">IFERROR(__xludf.DUMMYFUNCTION("""COMPUTED_VALUE"""),269.96)</f>
        <v>269.95999999999998</v>
      </c>
      <c r="C1007" s="3">
        <v>327.13505943785998</v>
      </c>
    </row>
    <row r="1008" spans="1:3" ht="13" x14ac:dyDescent="0.15">
      <c r="A1008" s="1">
        <f ca="1">IFERROR(__xludf.DUMMYFUNCTION("""COMPUTED_VALUE"""),44620.6666666666)</f>
        <v>44620.666666666599</v>
      </c>
      <c r="B1008" s="2">
        <f ca="1">IFERROR(__xludf.DUMMYFUNCTION("""COMPUTED_VALUE"""),290.14)</f>
        <v>290.14</v>
      </c>
      <c r="C1008" s="3">
        <v>321.68761218211398</v>
      </c>
    </row>
    <row r="1009" spans="1:3" ht="13" x14ac:dyDescent="0.15">
      <c r="A1009" s="1">
        <f ca="1">IFERROR(__xludf.DUMMYFUNCTION("""COMPUTED_VALUE"""),44621.6666666666)</f>
        <v>44621.666666666599</v>
      </c>
      <c r="B1009" s="2">
        <f ca="1">IFERROR(__xludf.DUMMYFUNCTION("""COMPUTED_VALUE"""),288.12)</f>
        <v>288.12</v>
      </c>
      <c r="C1009" s="3">
        <v>318.398364297488</v>
      </c>
    </row>
    <row r="1010" spans="1:3" ht="13" x14ac:dyDescent="0.15">
      <c r="A1010" s="1">
        <f ca="1">IFERROR(__xludf.DUMMYFUNCTION("""COMPUTED_VALUE"""),44622.6666666666)</f>
        <v>44622.666666666599</v>
      </c>
      <c r="B1010" s="2">
        <f ca="1">IFERROR(__xludf.DUMMYFUNCTION("""COMPUTED_VALUE"""),293.3)</f>
        <v>293.3</v>
      </c>
      <c r="C1010" s="3">
        <v>316.29918084029998</v>
      </c>
    </row>
    <row r="1011" spans="1:3" ht="13" x14ac:dyDescent="0.15">
      <c r="A1011" s="1">
        <f ca="1">IFERROR(__xludf.DUMMYFUNCTION("""COMPUTED_VALUE"""),44623.6666666666)</f>
        <v>44623.666666666599</v>
      </c>
      <c r="B1011" s="2">
        <f ca="1">IFERROR(__xludf.DUMMYFUNCTION("""COMPUTED_VALUE"""),279.76)</f>
        <v>279.76</v>
      </c>
      <c r="C1011" s="3">
        <v>313.77310257768102</v>
      </c>
    </row>
    <row r="1012" spans="1:3" ht="13" x14ac:dyDescent="0.15">
      <c r="A1012" s="1">
        <f ca="1">IFERROR(__xludf.DUMMYFUNCTION("""COMPUTED_VALUE"""),44624.6666666666)</f>
        <v>44624.666666666599</v>
      </c>
      <c r="B1012" s="2">
        <f ca="1">IFERROR(__xludf.DUMMYFUNCTION("""COMPUTED_VALUE"""),279.43)</f>
        <v>279.43</v>
      </c>
      <c r="C1012" s="3">
        <v>311.351136476764</v>
      </c>
    </row>
    <row r="1013" spans="1:3" ht="13" x14ac:dyDescent="0.15">
      <c r="A1013" s="1">
        <f ca="1">IFERROR(__xludf.DUMMYFUNCTION("""COMPUTED_VALUE"""),44627.6666666666)</f>
        <v>44627.666666666599</v>
      </c>
      <c r="B1013" s="2">
        <f ca="1">IFERROR(__xludf.DUMMYFUNCTION("""COMPUTED_VALUE"""),268.19)</f>
        <v>268.19</v>
      </c>
      <c r="C1013" s="3">
        <v>308.60331339739702</v>
      </c>
    </row>
    <row r="1014" spans="1:3" ht="13" x14ac:dyDescent="0.15">
      <c r="A1014" s="1">
        <f ca="1">IFERROR(__xludf.DUMMYFUNCTION("""COMPUTED_VALUE"""),44628.6666666666)</f>
        <v>44628.666666666599</v>
      </c>
      <c r="B1014" s="2">
        <f ca="1">IFERROR(__xludf.DUMMYFUNCTION("""COMPUTED_VALUE"""),274.8)</f>
        <v>274.8</v>
      </c>
      <c r="C1014" s="3">
        <v>306.51214481858398</v>
      </c>
    </row>
    <row r="1015" spans="1:3" ht="13" x14ac:dyDescent="0.15">
      <c r="A1015" s="1">
        <f ca="1">IFERROR(__xludf.DUMMYFUNCTION("""COMPUTED_VALUE"""),44629.6666666666)</f>
        <v>44629.666666666599</v>
      </c>
      <c r="B1015" s="2">
        <f ca="1">IFERROR(__xludf.DUMMYFUNCTION("""COMPUTED_VALUE"""),286.32)</f>
        <v>286.32</v>
      </c>
      <c r="C1015" s="3">
        <v>305.720309478687</v>
      </c>
    </row>
    <row r="1016" spans="1:3" ht="13" x14ac:dyDescent="0.15">
      <c r="A1016" s="1">
        <f ca="1">IFERROR(__xludf.DUMMYFUNCTION("""COMPUTED_VALUE"""),44630.6666666666)</f>
        <v>44630.666666666599</v>
      </c>
      <c r="B1016" s="2">
        <f ca="1">IFERROR(__xludf.DUMMYFUNCTION("""COMPUTED_VALUE"""),279.43)</f>
        <v>279.43</v>
      </c>
      <c r="C1016" s="3">
        <v>304.583490903773</v>
      </c>
    </row>
    <row r="1017" spans="1:3" ht="13" x14ac:dyDescent="0.15">
      <c r="A1017" s="1">
        <f ca="1">IFERROR(__xludf.DUMMYFUNCTION("""COMPUTED_VALUE"""),44631.6666666666)</f>
        <v>44631.666666666599</v>
      </c>
      <c r="B1017" s="2">
        <f ca="1">IFERROR(__xludf.DUMMYFUNCTION("""COMPUTED_VALUE"""),265.12)</f>
        <v>265.12</v>
      </c>
      <c r="C1017" s="3">
        <v>303.60399386882898</v>
      </c>
    </row>
    <row r="1018" spans="1:3" ht="13" x14ac:dyDescent="0.15">
      <c r="A1018" s="1">
        <f ca="1">IFERROR(__xludf.DUMMYFUNCTION("""COMPUTED_VALUE"""),44634.6666666666)</f>
        <v>44634.666666666599</v>
      </c>
      <c r="B1018" s="2">
        <f ca="1">IFERROR(__xludf.DUMMYFUNCTION("""COMPUTED_VALUE"""),255.46)</f>
        <v>255.46</v>
      </c>
      <c r="C1018" s="3">
        <v>305.21092056425601</v>
      </c>
    </row>
    <row r="1019" spans="1:3" ht="13" x14ac:dyDescent="0.15">
      <c r="A1019" s="1">
        <f ca="1">IFERROR(__xludf.DUMMYFUNCTION("""COMPUTED_VALUE"""),44635.6666666666)</f>
        <v>44635.666666666599</v>
      </c>
      <c r="B1019" s="2">
        <f ca="1">IFERROR(__xludf.DUMMYFUNCTION("""COMPUTED_VALUE"""),267.3)</f>
        <v>267.3</v>
      </c>
      <c r="C1019" s="3">
        <v>304.48655260872198</v>
      </c>
    </row>
    <row r="1020" spans="1:3" ht="13" x14ac:dyDescent="0.15">
      <c r="A1020" s="1">
        <f ca="1">IFERROR(__xludf.DUMMYFUNCTION("""COMPUTED_VALUE"""),44636.6666666666)</f>
        <v>44636.666666666599</v>
      </c>
      <c r="B1020" s="2">
        <f ca="1">IFERROR(__xludf.DUMMYFUNCTION("""COMPUTED_VALUE"""),280.08)</f>
        <v>280.08</v>
      </c>
      <c r="C1020" s="3">
        <v>304.97625656887101</v>
      </c>
    </row>
    <row r="1021" spans="1:3" ht="13" x14ac:dyDescent="0.15">
      <c r="A1021" s="1">
        <f ca="1">IFERROR(__xludf.DUMMYFUNCTION("""COMPUTED_VALUE"""),44637.6666666666)</f>
        <v>44637.666666666599</v>
      </c>
      <c r="B1021" s="2">
        <f ca="1">IFERROR(__xludf.DUMMYFUNCTION("""COMPUTED_VALUE"""),290.53)</f>
        <v>290.52999999999997</v>
      </c>
      <c r="C1021" s="3">
        <v>305.013713858134</v>
      </c>
    </row>
    <row r="1022" spans="1:3" ht="13" x14ac:dyDescent="0.15">
      <c r="A1022" s="1">
        <f ca="1">IFERROR(__xludf.DUMMYFUNCTION("""COMPUTED_VALUE"""),44638.6666666666)</f>
        <v>44638.666666666599</v>
      </c>
      <c r="B1022" s="2">
        <f ca="1">IFERROR(__xludf.DUMMYFUNCTION("""COMPUTED_VALUE"""),301.8)</f>
        <v>301.8</v>
      </c>
      <c r="C1022" s="3">
        <v>305.08241610025402</v>
      </c>
    </row>
    <row r="1023" spans="1:3" ht="13" x14ac:dyDescent="0.15">
      <c r="A1023" s="1">
        <f ca="1">IFERROR(__xludf.DUMMYFUNCTION("""COMPUTED_VALUE"""),44641.6666666666)</f>
        <v>44641.666666666599</v>
      </c>
      <c r="B1023" s="2">
        <f ca="1">IFERROR(__xludf.DUMMYFUNCTION("""COMPUTED_VALUE"""),307.05)</f>
        <v>307.05</v>
      </c>
      <c r="C1023" s="3">
        <v>308.94451783488199</v>
      </c>
    </row>
    <row r="1024" spans="1:3" ht="13" x14ac:dyDescent="0.15">
      <c r="A1024" s="1">
        <f ca="1">IFERROR(__xludf.DUMMYFUNCTION("""COMPUTED_VALUE"""),44642.6666666666)</f>
        <v>44642.666666666599</v>
      </c>
      <c r="B1024" s="2">
        <f ca="1">IFERROR(__xludf.DUMMYFUNCTION("""COMPUTED_VALUE"""),331.33)</f>
        <v>331.33</v>
      </c>
      <c r="C1024" s="3">
        <v>308.65091182580301</v>
      </c>
    </row>
    <row r="1025" spans="1:3" ht="13" x14ac:dyDescent="0.15">
      <c r="A1025" s="1">
        <f ca="1">IFERROR(__xludf.DUMMYFUNCTION("""COMPUTED_VALUE"""),44643.6666666666)</f>
        <v>44643.666666666599</v>
      </c>
      <c r="B1025" s="2">
        <f ca="1">IFERROR(__xludf.DUMMYFUNCTION("""COMPUTED_VALUE"""),333.04)</f>
        <v>333.04</v>
      </c>
      <c r="C1025" s="3">
        <v>309.40876680766303</v>
      </c>
    </row>
    <row r="1026" spans="1:3" ht="13" x14ac:dyDescent="0.15">
      <c r="A1026" s="1">
        <f ca="1">IFERROR(__xludf.DUMMYFUNCTION("""COMPUTED_VALUE"""),44644.6666666666)</f>
        <v>44644.666666666599</v>
      </c>
      <c r="B1026" s="2">
        <f ca="1">IFERROR(__xludf.DUMMYFUNCTION("""COMPUTED_VALUE"""),337.97)</f>
        <v>337.97</v>
      </c>
      <c r="C1026" s="3">
        <v>309.55636282766102</v>
      </c>
    </row>
    <row r="1027" spans="1:3" ht="13" x14ac:dyDescent="0.15">
      <c r="A1027" s="1">
        <f ca="1">IFERROR(__xludf.DUMMYFUNCTION("""COMPUTED_VALUE"""),44645.6666666666)</f>
        <v>44645.666666666599</v>
      </c>
      <c r="B1027" s="2">
        <f ca="1">IFERROR(__xludf.DUMMYFUNCTION("""COMPUTED_VALUE"""),336.88)</f>
        <v>336.88</v>
      </c>
      <c r="C1027" s="3">
        <v>309.585381618474</v>
      </c>
    </row>
    <row r="1028" spans="1:3" ht="13" x14ac:dyDescent="0.15">
      <c r="A1028" s="1">
        <f ca="1">IFERROR(__xludf.DUMMYFUNCTION("""COMPUTED_VALUE"""),44648.6666666666)</f>
        <v>44648.666666666599</v>
      </c>
      <c r="B1028" s="2">
        <f ca="1">IFERROR(__xludf.DUMMYFUNCTION("""COMPUTED_VALUE"""),363.95)</f>
        <v>363.95</v>
      </c>
      <c r="C1028" s="3">
        <v>312.55715980424901</v>
      </c>
    </row>
    <row r="1029" spans="1:3" ht="13" x14ac:dyDescent="0.15">
      <c r="A1029" s="1">
        <f ca="1">IFERROR(__xludf.DUMMYFUNCTION("""COMPUTED_VALUE"""),44649.6666666666)</f>
        <v>44649.666666666599</v>
      </c>
      <c r="B1029" s="2">
        <f ca="1">IFERROR(__xludf.DUMMYFUNCTION("""COMPUTED_VALUE"""),366.52)</f>
        <v>366.52</v>
      </c>
      <c r="C1029" s="3">
        <v>311.76411400469902</v>
      </c>
    </row>
    <row r="1030" spans="1:3" ht="13" x14ac:dyDescent="0.15">
      <c r="A1030" s="1">
        <f ca="1">IFERROR(__xludf.DUMMYFUNCTION("""COMPUTED_VALUE"""),44650.6666666666)</f>
        <v>44650.666666666599</v>
      </c>
      <c r="B1030" s="2">
        <f ca="1">IFERROR(__xludf.DUMMYFUNCTION("""COMPUTED_VALUE"""),364.66)</f>
        <v>364.66</v>
      </c>
      <c r="C1030" s="3">
        <v>311.95241002230603</v>
      </c>
    </row>
    <row r="1031" spans="1:3" ht="13" x14ac:dyDescent="0.15">
      <c r="A1031" s="1">
        <f ca="1">IFERROR(__xludf.DUMMYFUNCTION("""COMPUTED_VALUE"""),44651.6666666666)</f>
        <v>44651.666666666599</v>
      </c>
      <c r="B1031" s="2">
        <f ca="1">IFERROR(__xludf.DUMMYFUNCTION("""COMPUTED_VALUE"""),359.2)</f>
        <v>359.2</v>
      </c>
      <c r="C1031" s="3">
        <v>311.48020893501501</v>
      </c>
    </row>
    <row r="1032" spans="1:3" ht="13" x14ac:dyDescent="0.15">
      <c r="A1032" s="1">
        <f ca="1">IFERROR(__xludf.DUMMYFUNCTION("""COMPUTED_VALUE"""),44652.6666666666)</f>
        <v>44652.666666666599</v>
      </c>
      <c r="B1032" s="2">
        <f ca="1">IFERROR(__xludf.DUMMYFUNCTION("""COMPUTED_VALUE"""),361.53)</f>
        <v>361.53</v>
      </c>
      <c r="C1032" s="3">
        <v>310.85899606147802</v>
      </c>
    </row>
    <row r="1033" spans="1:3" ht="13" x14ac:dyDescent="0.15">
      <c r="A1033" s="1">
        <f ca="1">IFERROR(__xludf.DUMMYFUNCTION("""COMPUTED_VALUE"""),44655.6666666666)</f>
        <v>44655.666666666599</v>
      </c>
      <c r="B1033" s="2">
        <f ca="1">IFERROR(__xludf.DUMMYFUNCTION("""COMPUTED_VALUE"""),381.82)</f>
        <v>381.82</v>
      </c>
      <c r="C1033" s="3">
        <v>311.88235622210698</v>
      </c>
    </row>
    <row r="1034" spans="1:3" ht="13" x14ac:dyDescent="0.15">
      <c r="A1034" s="1">
        <f ca="1">IFERROR(__xludf.DUMMYFUNCTION("""COMPUTED_VALUE"""),44656.6666666666)</f>
        <v>44656.666666666599</v>
      </c>
      <c r="B1034" s="2">
        <f ca="1">IFERROR(__xludf.DUMMYFUNCTION("""COMPUTED_VALUE"""),363.75)</f>
        <v>363.75</v>
      </c>
      <c r="C1034" s="3">
        <v>310.49427219647299</v>
      </c>
    </row>
    <row r="1035" spans="1:3" ht="13" x14ac:dyDescent="0.15">
      <c r="A1035" s="1">
        <f ca="1">IFERROR(__xludf.DUMMYFUNCTION("""COMPUTED_VALUE"""),44657.6666666666)</f>
        <v>44657.666666666599</v>
      </c>
      <c r="B1035" s="2">
        <f ca="1">IFERROR(__xludf.DUMMYFUNCTION("""COMPUTED_VALUE"""),348.59)</f>
        <v>348.59</v>
      </c>
      <c r="C1035" s="3">
        <v>310.13612287444198</v>
      </c>
    </row>
    <row r="1036" spans="1:3" ht="13" x14ac:dyDescent="0.15">
      <c r="A1036" s="1">
        <f ca="1">IFERROR(__xludf.DUMMYFUNCTION("""COMPUTED_VALUE"""),44658.6666666666)</f>
        <v>44658.666666666599</v>
      </c>
      <c r="B1036" s="2">
        <f ca="1">IFERROR(__xludf.DUMMYFUNCTION("""COMPUTED_VALUE"""),352.42)</f>
        <v>352.42</v>
      </c>
      <c r="C1036" s="3">
        <v>309.174946547486</v>
      </c>
    </row>
    <row r="1037" spans="1:3" ht="13" x14ac:dyDescent="0.15">
      <c r="A1037" s="1">
        <f ca="1">IFERROR(__xludf.DUMMYFUNCTION("""COMPUTED_VALUE"""),44659.6666666666)</f>
        <v>44659.666666666599</v>
      </c>
      <c r="B1037" s="2">
        <f ca="1">IFERROR(__xludf.DUMMYFUNCTION("""COMPUTED_VALUE"""),341.83)</f>
        <v>341.83</v>
      </c>
      <c r="C1037" s="3">
        <v>308.12819336619998</v>
      </c>
    </row>
    <row r="1038" spans="1:3" ht="13" x14ac:dyDescent="0.15">
      <c r="A1038" s="1">
        <f ca="1">IFERROR(__xludf.DUMMYFUNCTION("""COMPUTED_VALUE"""),44662.6666666666)</f>
        <v>44662.666666666599</v>
      </c>
      <c r="B1038" s="2">
        <f ca="1">IFERROR(__xludf.DUMMYFUNCTION("""COMPUTED_VALUE"""),325.31)</f>
        <v>325.31</v>
      </c>
      <c r="C1038" s="3">
        <v>308.27066072156998</v>
      </c>
    </row>
    <row r="1039" spans="1:3" ht="13" x14ac:dyDescent="0.15">
      <c r="A1039" s="1">
        <f ca="1">IFERROR(__xludf.DUMMYFUNCTION("""COMPUTED_VALUE"""),44663.6666666666)</f>
        <v>44663.666666666599</v>
      </c>
      <c r="B1039" s="2">
        <f ca="1">IFERROR(__xludf.DUMMYFUNCTION("""COMPUTED_VALUE"""),328.98)</f>
        <v>328.98</v>
      </c>
      <c r="C1039" s="3">
        <v>306.71166228455502</v>
      </c>
    </row>
    <row r="1040" spans="1:3" ht="13" x14ac:dyDescent="0.15">
      <c r="A1040" s="1">
        <f ca="1">IFERROR(__xludf.DUMMYFUNCTION("""COMPUTED_VALUE"""),44664.6666666666)</f>
        <v>44664.666666666599</v>
      </c>
      <c r="B1040" s="2">
        <f ca="1">IFERROR(__xludf.DUMMYFUNCTION("""COMPUTED_VALUE"""),340.79)</f>
        <v>340.79</v>
      </c>
      <c r="C1040" s="3">
        <v>306.23296836026901</v>
      </c>
    </row>
    <row r="1041" spans="1:3" ht="13" x14ac:dyDescent="0.15">
      <c r="A1041" s="1">
        <f ca="1">IFERROR(__xludf.DUMMYFUNCTION("""COMPUTED_VALUE"""),44665.6666666666)</f>
        <v>44665.666666666599</v>
      </c>
      <c r="B1041" s="2">
        <f ca="1">IFERROR(__xludf.DUMMYFUNCTION("""COMPUTED_VALUE"""),328.33)</f>
        <v>328.33</v>
      </c>
      <c r="C1041" s="3">
        <v>305.19184623618401</v>
      </c>
    </row>
    <row r="1042" spans="1:3" ht="13" x14ac:dyDescent="0.15">
      <c r="A1042" s="1">
        <f ca="1">IFERROR(__xludf.DUMMYFUNCTION("""COMPUTED_VALUE"""),44669.6666666666)</f>
        <v>44669.666666666599</v>
      </c>
      <c r="B1042" s="2">
        <f ca="1">IFERROR(__xludf.DUMMYFUNCTION("""COMPUTED_VALUE"""),334.76)</f>
        <v>334.76</v>
      </c>
      <c r="C1042" s="3">
        <v>304.13378448815899</v>
      </c>
    </row>
    <row r="1043" spans="1:3" ht="13" x14ac:dyDescent="0.15">
      <c r="A1043" s="1">
        <f ca="1">IFERROR(__xludf.DUMMYFUNCTION("""COMPUTED_VALUE"""),44670.6666666666)</f>
        <v>44670.666666666599</v>
      </c>
      <c r="B1043" s="2">
        <f ca="1">IFERROR(__xludf.DUMMYFUNCTION("""COMPUTED_VALUE"""),342.72)</f>
        <v>342.72</v>
      </c>
      <c r="C1043" s="3">
        <v>302.51354033314198</v>
      </c>
    </row>
    <row r="1044" spans="1:3" ht="13" x14ac:dyDescent="0.15">
      <c r="A1044" s="1">
        <f ca="1">IFERROR(__xludf.DUMMYFUNCTION("""COMPUTED_VALUE"""),44671.6666666666)</f>
        <v>44671.666666666599</v>
      </c>
      <c r="B1044" s="2">
        <f ca="1">IFERROR(__xludf.DUMMYFUNCTION("""COMPUTED_VALUE"""),325.73)</f>
        <v>325.73</v>
      </c>
      <c r="C1044" s="3">
        <v>301.93984107825798</v>
      </c>
    </row>
    <row r="1045" spans="1:3" ht="13" x14ac:dyDescent="0.15">
      <c r="A1045" s="1">
        <f ca="1">IFERROR(__xludf.DUMMYFUNCTION("""COMPUTED_VALUE"""),44672.6666666666)</f>
        <v>44672.666666666599</v>
      </c>
      <c r="B1045" s="2">
        <f ca="1">IFERROR(__xludf.DUMMYFUNCTION("""COMPUTED_VALUE"""),336.26)</f>
        <v>336.26</v>
      </c>
      <c r="C1045" s="3">
        <v>300.75951925282698</v>
      </c>
    </row>
    <row r="1046" spans="1:3" ht="13" x14ac:dyDescent="0.15">
      <c r="A1046" s="1">
        <f ca="1">IFERROR(__xludf.DUMMYFUNCTION("""COMPUTED_VALUE"""),44673.6666666666)</f>
        <v>44673.666666666599</v>
      </c>
      <c r="B1046" s="2">
        <f ca="1">IFERROR(__xludf.DUMMYFUNCTION("""COMPUTED_VALUE"""),335.02)</f>
        <v>335.02</v>
      </c>
      <c r="C1046" s="3">
        <v>299.47001981550102</v>
      </c>
    </row>
    <row r="1047" spans="1:3" ht="13" x14ac:dyDescent="0.15">
      <c r="A1047" s="1">
        <f ca="1">IFERROR(__xludf.DUMMYFUNCTION("""COMPUTED_VALUE"""),44676.6666666666)</f>
        <v>44676.666666666599</v>
      </c>
      <c r="B1047" s="2">
        <f ca="1">IFERROR(__xludf.DUMMYFUNCTION("""COMPUTED_VALUE"""),332.67)</f>
        <v>332.67</v>
      </c>
      <c r="C1047" s="3">
        <v>298.56225569683801</v>
      </c>
    </row>
    <row r="1048" spans="1:3" ht="13" x14ac:dyDescent="0.15">
      <c r="A1048" s="1">
        <f ca="1">IFERROR(__xludf.DUMMYFUNCTION("""COMPUTED_VALUE"""),44677.6666666666)</f>
        <v>44677.666666666599</v>
      </c>
      <c r="B1048" s="2">
        <f ca="1">IFERROR(__xludf.DUMMYFUNCTION("""COMPUTED_VALUE"""),292.14)</f>
        <v>292.14</v>
      </c>
      <c r="C1048" s="3">
        <v>296.49730640878198</v>
      </c>
    </row>
    <row r="1049" spans="1:3" ht="13" x14ac:dyDescent="0.15">
      <c r="A1049" s="1">
        <f ca="1">IFERROR(__xludf.DUMMYFUNCTION("""COMPUTED_VALUE"""),44678.6666666666)</f>
        <v>44678.666666666599</v>
      </c>
      <c r="B1049" s="2">
        <f ca="1">IFERROR(__xludf.DUMMYFUNCTION("""COMPUTED_VALUE"""),293.84)</f>
        <v>293.83999999999997</v>
      </c>
      <c r="C1049" s="3">
        <v>295.41836790858099</v>
      </c>
    </row>
    <row r="1050" spans="1:3" ht="13" x14ac:dyDescent="0.15">
      <c r="A1050" s="1">
        <f ca="1">IFERROR(__xludf.DUMMYFUNCTION("""COMPUTED_VALUE"""),44679.6666666666)</f>
        <v>44679.666666666599</v>
      </c>
      <c r="B1050" s="2">
        <f ca="1">IFERROR(__xludf.DUMMYFUNCTION("""COMPUTED_VALUE"""),292.5)</f>
        <v>292.5</v>
      </c>
      <c r="C1050" s="3">
        <v>293.67860970890598</v>
      </c>
    </row>
    <row r="1051" spans="1:3" ht="13" x14ac:dyDescent="0.15">
      <c r="A1051" s="1">
        <f ca="1">IFERROR(__xludf.DUMMYFUNCTION("""COMPUTED_VALUE"""),44680.6666666666)</f>
        <v>44680.666666666599</v>
      </c>
      <c r="B1051" s="2">
        <f ca="1">IFERROR(__xludf.DUMMYFUNCTION("""COMPUTED_VALUE"""),290.25)</f>
        <v>290.25</v>
      </c>
      <c r="C1051" s="3">
        <v>291.78427297999298</v>
      </c>
    </row>
    <row r="1052" spans="1:3" ht="13" x14ac:dyDescent="0.15">
      <c r="A1052" s="1">
        <f ca="1">IFERROR(__xludf.DUMMYFUNCTION("""COMPUTED_VALUE"""),44683.6666666666)</f>
        <v>44683.666666666599</v>
      </c>
      <c r="B1052" s="2">
        <f ca="1">IFERROR(__xludf.DUMMYFUNCTION("""COMPUTED_VALUE"""),300.98)</f>
        <v>300.98</v>
      </c>
      <c r="C1052" s="3">
        <v>288.90892050285299</v>
      </c>
    </row>
    <row r="1053" spans="1:3" ht="13" x14ac:dyDescent="0.15">
      <c r="A1053" s="1">
        <f ca="1">IFERROR(__xludf.DUMMYFUNCTION("""COMPUTED_VALUE"""),44684.6666666666)</f>
        <v>44684.666666666599</v>
      </c>
      <c r="B1053" s="2">
        <f ca="1">IFERROR(__xludf.DUMMYFUNCTION("""COMPUTED_VALUE"""),303.08)</f>
        <v>303.08</v>
      </c>
      <c r="C1053" s="3">
        <v>286.184841358862</v>
      </c>
    </row>
    <row r="1054" spans="1:3" ht="13" x14ac:dyDescent="0.15">
      <c r="A1054" s="1">
        <f ca="1">IFERROR(__xludf.DUMMYFUNCTION("""COMPUTED_VALUE"""),44685.6666666666)</f>
        <v>44685.666666666599</v>
      </c>
      <c r="B1054" s="2">
        <f ca="1">IFERROR(__xludf.DUMMYFUNCTION("""COMPUTED_VALUE"""),317.54)</f>
        <v>317.54000000000002</v>
      </c>
      <c r="C1054" s="3">
        <v>284.47152386153698</v>
      </c>
    </row>
    <row r="1055" spans="1:3" ht="13" x14ac:dyDescent="0.15">
      <c r="A1055" s="1">
        <f ca="1">IFERROR(__xludf.DUMMYFUNCTION("""COMPUTED_VALUE"""),44686.6666666666)</f>
        <v>44686.666666666599</v>
      </c>
      <c r="B1055" s="2">
        <f ca="1">IFERROR(__xludf.DUMMYFUNCTION("""COMPUTED_VALUE"""),291.09)</f>
        <v>291.08999999999997</v>
      </c>
      <c r="C1055" s="3">
        <v>282.13847795204202</v>
      </c>
    </row>
    <row r="1056" spans="1:3" ht="13" x14ac:dyDescent="0.15">
      <c r="A1056" s="1">
        <f ca="1">IFERROR(__xludf.DUMMYFUNCTION("""COMPUTED_VALUE"""),44687.6666666666)</f>
        <v>44687.666666666599</v>
      </c>
      <c r="B1056" s="2">
        <f ca="1">IFERROR(__xludf.DUMMYFUNCTION("""COMPUTED_VALUE"""),288.55)</f>
        <v>288.55</v>
      </c>
      <c r="C1056" s="3">
        <v>279.70793006935298</v>
      </c>
    </row>
    <row r="1057" spans="1:3" ht="13" x14ac:dyDescent="0.15">
      <c r="A1057" s="1">
        <f ca="1">IFERROR(__xludf.DUMMYFUNCTION("""COMPUTED_VALUE"""),44690.6666666666)</f>
        <v>44690.666666666599</v>
      </c>
      <c r="B1057" s="2">
        <f ca="1">IFERROR(__xludf.DUMMYFUNCTION("""COMPUTED_VALUE"""),262.37)</f>
        <v>262.37</v>
      </c>
      <c r="C1057" s="3">
        <v>275.710728316494</v>
      </c>
    </row>
    <row r="1058" spans="1:3" ht="13" x14ac:dyDescent="0.15">
      <c r="A1058" s="1">
        <f ca="1">IFERROR(__xludf.DUMMYFUNCTION("""COMPUTED_VALUE"""),44691.6666666666)</f>
        <v>44691.666666666599</v>
      </c>
      <c r="B1058" s="2">
        <f ca="1">IFERROR(__xludf.DUMMYFUNCTION("""COMPUTED_VALUE"""),266.68)</f>
        <v>266.68</v>
      </c>
      <c r="C1058" s="3">
        <v>272.81477198072201</v>
      </c>
    </row>
    <row r="1059" spans="1:3" ht="13" x14ac:dyDescent="0.15">
      <c r="A1059" s="1">
        <f ca="1">IFERROR(__xludf.DUMMYFUNCTION("""COMPUTED_VALUE"""),44692.6666666666)</f>
        <v>44692.666666666599</v>
      </c>
      <c r="B1059" s="2">
        <f ca="1">IFERROR(__xludf.DUMMYFUNCTION("""COMPUTED_VALUE"""),244.67)</f>
        <v>244.67</v>
      </c>
      <c r="C1059" s="3">
        <v>271.04503117577099</v>
      </c>
    </row>
    <row r="1060" spans="1:3" ht="13" x14ac:dyDescent="0.15">
      <c r="A1060" s="1">
        <f ca="1">IFERROR(__xludf.DUMMYFUNCTION("""COMPUTED_VALUE"""),44693.6666666666)</f>
        <v>44693.666666666599</v>
      </c>
      <c r="B1060" s="2">
        <f ca="1">IFERROR(__xludf.DUMMYFUNCTION("""COMPUTED_VALUE"""),242.67)</f>
        <v>242.67</v>
      </c>
      <c r="C1060" s="3">
        <v>268.775744982481</v>
      </c>
    </row>
    <row r="1061" spans="1:3" ht="13" x14ac:dyDescent="0.15">
      <c r="A1061" s="1">
        <f ca="1">IFERROR(__xludf.DUMMYFUNCTION("""COMPUTED_VALUE"""),44694.6666666666)</f>
        <v>44694.666666666599</v>
      </c>
      <c r="B1061" s="2">
        <f ca="1">IFERROR(__xludf.DUMMYFUNCTION("""COMPUTED_VALUE"""),256.53)</f>
        <v>256.52999999999997</v>
      </c>
      <c r="C1061" s="3">
        <v>266.530974789033</v>
      </c>
    </row>
    <row r="1062" spans="1:3" ht="13" x14ac:dyDescent="0.15">
      <c r="A1062" s="1">
        <f ca="1">IFERROR(__xludf.DUMMYFUNCTION("""COMPUTED_VALUE"""),44697.6666666666)</f>
        <v>44697.666666666599</v>
      </c>
      <c r="B1062" s="2">
        <f ca="1">IFERROR(__xludf.DUMMYFUNCTION("""COMPUTED_VALUE"""),241.46)</f>
        <v>241.46</v>
      </c>
      <c r="C1062" s="3">
        <v>263.796887378853</v>
      </c>
    </row>
    <row r="1063" spans="1:3" ht="13" x14ac:dyDescent="0.15">
      <c r="A1063" s="1">
        <f ca="1">IFERROR(__xludf.DUMMYFUNCTION("""COMPUTED_VALUE"""),44698.6666666666)</f>
        <v>44698.666666666599</v>
      </c>
      <c r="B1063" s="2">
        <f ca="1">IFERROR(__xludf.DUMMYFUNCTION("""COMPUTED_VALUE"""),253.87)</f>
        <v>253.87</v>
      </c>
      <c r="C1063" s="3">
        <v>261.53395477562702</v>
      </c>
    </row>
    <row r="1064" spans="1:3" ht="13" x14ac:dyDescent="0.15">
      <c r="A1064" s="1">
        <f ca="1">IFERROR(__xludf.DUMMYFUNCTION("""COMPUTED_VALUE"""),44699.6666666666)</f>
        <v>44699.666666666599</v>
      </c>
      <c r="B1064" s="2">
        <f ca="1">IFERROR(__xludf.DUMMYFUNCTION("""COMPUTED_VALUE"""),236.6)</f>
        <v>236.6</v>
      </c>
      <c r="C1064" s="3">
        <v>260.484935771241</v>
      </c>
    </row>
    <row r="1065" spans="1:3" ht="13" x14ac:dyDescent="0.15">
      <c r="A1065" s="1">
        <f ca="1">IFERROR(__xludf.DUMMYFUNCTION("""COMPUTED_VALUE"""),44700.6666666666)</f>
        <v>44700.666666666599</v>
      </c>
      <c r="B1065" s="2">
        <f ca="1">IFERROR(__xludf.DUMMYFUNCTION("""COMPUTED_VALUE"""),236.47)</f>
        <v>236.47</v>
      </c>
      <c r="C1065" s="3">
        <v>259.00967307737602</v>
      </c>
    </row>
    <row r="1066" spans="1:3" ht="13" x14ac:dyDescent="0.15">
      <c r="A1066" s="1">
        <f ca="1">IFERROR(__xludf.DUMMYFUNCTION("""COMPUTED_VALUE"""),44701.6666666666)</f>
        <v>44701.666666666599</v>
      </c>
      <c r="B1066" s="2">
        <f ca="1">IFERROR(__xludf.DUMMYFUNCTION("""COMPUTED_VALUE"""),221.3)</f>
        <v>221.3</v>
      </c>
      <c r="C1066" s="3">
        <v>257.61606249012499</v>
      </c>
    </row>
    <row r="1067" spans="1:3" ht="13" x14ac:dyDescent="0.15">
      <c r="A1067" s="1">
        <f ca="1">IFERROR(__xludf.DUMMYFUNCTION("""COMPUTED_VALUE"""),44704.6666666666)</f>
        <v>44704.666666666599</v>
      </c>
      <c r="B1067" s="2">
        <f ca="1">IFERROR(__xludf.DUMMYFUNCTION("""COMPUTED_VALUE"""),224.97)</f>
        <v>224.97</v>
      </c>
      <c r="C1067" s="3">
        <v>257.59951606620399</v>
      </c>
    </row>
    <row r="1068" spans="1:3" ht="13" x14ac:dyDescent="0.15">
      <c r="A1068" s="1">
        <f ca="1">IFERROR(__xludf.DUMMYFUNCTION("""COMPUTED_VALUE"""),44705.6666666666)</f>
        <v>44705.666666666599</v>
      </c>
      <c r="B1068" s="2">
        <f ca="1">IFERROR(__xludf.DUMMYFUNCTION("""COMPUTED_VALUE"""),209.39)</f>
        <v>209.39</v>
      </c>
      <c r="C1068" s="3">
        <v>256.235261942308</v>
      </c>
    </row>
    <row r="1069" spans="1:3" ht="13" x14ac:dyDescent="0.15">
      <c r="A1069" s="1">
        <f ca="1">IFERROR(__xludf.DUMMYFUNCTION("""COMPUTED_VALUE"""),44706.6666666666)</f>
        <v>44706.666666666599</v>
      </c>
      <c r="B1069" s="2">
        <f ca="1">IFERROR(__xludf.DUMMYFUNCTION("""COMPUTED_VALUE"""),219.6)</f>
        <v>219.6</v>
      </c>
      <c r="C1069" s="3">
        <v>256.05104130501098</v>
      </c>
    </row>
    <row r="1070" spans="1:3" ht="13" x14ac:dyDescent="0.15">
      <c r="A1070" s="1">
        <f ca="1">IFERROR(__xludf.DUMMYFUNCTION("""COMPUTED_VALUE"""),44707.6666666666)</f>
        <v>44707.666666666599</v>
      </c>
      <c r="B1070" s="2">
        <f ca="1">IFERROR(__xludf.DUMMYFUNCTION("""COMPUTED_VALUE"""),235.91)</f>
        <v>235.91</v>
      </c>
      <c r="C1070" s="3">
        <v>255.389937448892</v>
      </c>
    </row>
    <row r="1071" spans="1:3" ht="13" x14ac:dyDescent="0.15">
      <c r="A1071" s="1">
        <f ca="1">IFERROR(__xludf.DUMMYFUNCTION("""COMPUTED_VALUE"""),44708.6666666666)</f>
        <v>44708.666666666599</v>
      </c>
      <c r="B1071" s="2">
        <f ca="1">IFERROR(__xludf.DUMMYFUNCTION("""COMPUTED_VALUE"""),253.21)</f>
        <v>253.21</v>
      </c>
      <c r="C1071" s="3">
        <v>254.74467513182299</v>
      </c>
    </row>
    <row r="1072" spans="1:3" ht="13" x14ac:dyDescent="0.15">
      <c r="A1072" s="1">
        <f ca="1">IFERROR(__xludf.DUMMYFUNCTION("""COMPUTED_VALUE"""),44712.6666666666)</f>
        <v>44712.666666666599</v>
      </c>
      <c r="B1072" s="2">
        <f ca="1">IFERROR(__xludf.DUMMYFUNCTION("""COMPUTED_VALUE"""),252.75)</f>
        <v>252.75</v>
      </c>
      <c r="C1072" s="3">
        <v>255.47202229549799</v>
      </c>
    </row>
    <row r="1073" spans="1:3" ht="13" x14ac:dyDescent="0.15">
      <c r="A1073" s="1">
        <f ca="1">IFERROR(__xludf.DUMMYFUNCTION("""COMPUTED_VALUE"""),44713.6666666666)</f>
        <v>44713.666666666599</v>
      </c>
      <c r="B1073" s="2">
        <f ca="1">IFERROR(__xludf.DUMMYFUNCTION("""COMPUTED_VALUE"""),246.79)</f>
        <v>246.79</v>
      </c>
      <c r="C1073" s="3">
        <v>255.55957370678101</v>
      </c>
    </row>
    <row r="1074" spans="1:3" ht="13" x14ac:dyDescent="0.15">
      <c r="A1074" s="1">
        <f ca="1">IFERROR(__xludf.DUMMYFUNCTION("""COMPUTED_VALUE"""),44714.6666666666)</f>
        <v>44714.666666666599</v>
      </c>
      <c r="B1074" s="2">
        <f ca="1">IFERROR(__xludf.DUMMYFUNCTION("""COMPUTED_VALUE"""),258.33)</f>
        <v>258.33</v>
      </c>
      <c r="C1074" s="3">
        <v>255.06453939327201</v>
      </c>
    </row>
    <row r="1075" spans="1:3" ht="13" x14ac:dyDescent="0.15">
      <c r="A1075" s="1">
        <f ca="1">IFERROR(__xludf.DUMMYFUNCTION("""COMPUTED_VALUE"""),44715.6666666666)</f>
        <v>44715.666666666599</v>
      </c>
      <c r="B1075" s="2">
        <f ca="1">IFERROR(__xludf.DUMMYFUNCTION("""COMPUTED_VALUE"""),234.52)</f>
        <v>234.52</v>
      </c>
      <c r="C1075" s="3">
        <v>254.48291394975601</v>
      </c>
    </row>
    <row r="1076" spans="1:3" ht="13" x14ac:dyDescent="0.15">
      <c r="A1076" s="1">
        <f ca="1">IFERROR(__xludf.DUMMYFUNCTION("""COMPUTED_VALUE"""),44718.6666666666)</f>
        <v>44718.666666666599</v>
      </c>
      <c r="B1076" s="2">
        <f ca="1">IFERROR(__xludf.DUMMYFUNCTION("""COMPUTED_VALUE"""),238.28)</f>
        <v>238.28</v>
      </c>
      <c r="C1076" s="3">
        <v>255.845326767627</v>
      </c>
    </row>
    <row r="1077" spans="1:3" ht="13" x14ac:dyDescent="0.15">
      <c r="A1077" s="1">
        <f ca="1">IFERROR(__xludf.DUMMYFUNCTION("""COMPUTED_VALUE"""),44719.6666666666)</f>
        <v>44719.666666666599</v>
      </c>
      <c r="B1077" s="2">
        <f ca="1">IFERROR(__xludf.DUMMYFUNCTION("""COMPUTED_VALUE"""),238.89)</f>
        <v>238.89</v>
      </c>
      <c r="C1077" s="3">
        <v>254.596567680802</v>
      </c>
    </row>
    <row r="1078" spans="1:3" ht="13" x14ac:dyDescent="0.15">
      <c r="A1078" s="1">
        <f ca="1">IFERROR(__xludf.DUMMYFUNCTION("""COMPUTED_VALUE"""),44720.6666666666)</f>
        <v>44720.666666666599</v>
      </c>
      <c r="B1078" s="2">
        <f ca="1">IFERROR(__xludf.DUMMYFUNCTION("""COMPUTED_VALUE"""),241.87)</f>
        <v>241.87</v>
      </c>
      <c r="C1078" s="3">
        <v>254.371311185699</v>
      </c>
    </row>
    <row r="1079" spans="1:3" ht="13" x14ac:dyDescent="0.15">
      <c r="A1079" s="1">
        <f ca="1">IFERROR(__xludf.DUMMYFUNCTION("""COMPUTED_VALUE"""),44721.6666666666)</f>
        <v>44721.666666666599</v>
      </c>
      <c r="B1079" s="2">
        <f ca="1">IFERROR(__xludf.DUMMYFUNCTION("""COMPUTED_VALUE"""),239.71)</f>
        <v>239.71</v>
      </c>
      <c r="C1079" s="3">
        <v>253.52814957562799</v>
      </c>
    </row>
    <row r="1080" spans="1:3" ht="13" x14ac:dyDescent="0.15">
      <c r="A1080" s="1">
        <f ca="1">IFERROR(__xludf.DUMMYFUNCTION("""COMPUTED_VALUE"""),44722.6666666666)</f>
        <v>44722.666666666599</v>
      </c>
      <c r="B1080" s="2">
        <f ca="1">IFERROR(__xludf.DUMMYFUNCTION("""COMPUTED_VALUE"""),232.23)</f>
        <v>232.23</v>
      </c>
      <c r="C1080" s="3">
        <v>252.57875265248299</v>
      </c>
    </row>
    <row r="1081" spans="1:3" ht="13" x14ac:dyDescent="0.15">
      <c r="A1081" s="1">
        <f ca="1">IFERROR(__xludf.DUMMYFUNCTION("""COMPUTED_VALUE"""),44725.6666666666)</f>
        <v>44725.666666666599</v>
      </c>
      <c r="B1081" s="2">
        <f ca="1">IFERROR(__xludf.DUMMYFUNCTION("""COMPUTED_VALUE"""),215.74)</f>
        <v>215.74</v>
      </c>
      <c r="C1081" s="3">
        <v>252.87509340161199</v>
      </c>
    </row>
    <row r="1082" spans="1:3" ht="13" x14ac:dyDescent="0.15">
      <c r="A1082" s="1">
        <f ca="1">IFERROR(__xludf.DUMMYFUNCTION("""COMPUTED_VALUE"""),44726.6666666666)</f>
        <v>44726.666666666599</v>
      </c>
      <c r="B1082" s="2">
        <f ca="1">IFERROR(__xludf.DUMMYFUNCTION("""COMPUTED_VALUE"""),220.89)</f>
        <v>220.89</v>
      </c>
      <c r="C1082" s="3">
        <v>251.33131933137699</v>
      </c>
    </row>
    <row r="1083" spans="1:3" ht="13" x14ac:dyDescent="0.15">
      <c r="A1083" s="1">
        <f ca="1">IFERROR(__xludf.DUMMYFUNCTION("""COMPUTED_VALUE"""),44727.6666666666)</f>
        <v>44727.666666666599</v>
      </c>
      <c r="B1083" s="2">
        <f ca="1">IFERROR(__xludf.DUMMYFUNCTION("""COMPUTED_VALUE"""),233)</f>
        <v>233</v>
      </c>
      <c r="C1083" s="3">
        <v>250.86182114272299</v>
      </c>
    </row>
    <row r="1084" spans="1:3" ht="13" x14ac:dyDescent="0.15">
      <c r="A1084" s="1">
        <f ca="1">IFERROR(__xludf.DUMMYFUNCTION("""COMPUTED_VALUE"""),44728.6666666666)</f>
        <v>44728.666666666599</v>
      </c>
      <c r="B1084" s="2">
        <f ca="1">IFERROR(__xludf.DUMMYFUNCTION("""COMPUTED_VALUE"""),213.1)</f>
        <v>213.1</v>
      </c>
      <c r="C1084" s="3">
        <v>249.83477819217899</v>
      </c>
    </row>
    <row r="1085" spans="1:3" ht="13" x14ac:dyDescent="0.15">
      <c r="A1085" s="1">
        <f ca="1">IFERROR(__xludf.DUMMYFUNCTION("""COMPUTED_VALUE"""),44729.6666666666)</f>
        <v>44729.666666666599</v>
      </c>
      <c r="B1085" s="2">
        <f ca="1">IFERROR(__xludf.DUMMYFUNCTION("""COMPUTED_VALUE"""),216.76)</f>
        <v>216.76</v>
      </c>
      <c r="C1085" s="3">
        <v>248.76920420831701</v>
      </c>
    </row>
    <row r="1086" spans="1:3" ht="13" x14ac:dyDescent="0.15">
      <c r="A1086" s="1">
        <f ca="1">IFERROR(__xludf.DUMMYFUNCTION("""COMPUTED_VALUE"""),44733.6666666666)</f>
        <v>44733.666666666599</v>
      </c>
      <c r="B1086" s="2">
        <f ca="1">IFERROR(__xludf.DUMMYFUNCTION("""COMPUTED_VALUE"""),237.04)</f>
        <v>237.04</v>
      </c>
      <c r="C1086" s="3">
        <v>247.79416250508299</v>
      </c>
    </row>
    <row r="1087" spans="1:3" ht="13" x14ac:dyDescent="0.15">
      <c r="A1087" s="1">
        <f ca="1">IFERROR(__xludf.DUMMYFUNCTION("""COMPUTED_VALUE"""),44734.6666666666)</f>
        <v>44734.666666666599</v>
      </c>
      <c r="B1087" s="2">
        <f ca="1">IFERROR(__xludf.DUMMYFUNCTION("""COMPUTED_VALUE"""),236.09)</f>
        <v>236.09</v>
      </c>
      <c r="C1087" s="3">
        <v>247.569928719226</v>
      </c>
    </row>
    <row r="1088" spans="1:3" ht="13" x14ac:dyDescent="0.15">
      <c r="A1088" s="1">
        <f ca="1">IFERROR(__xludf.DUMMYFUNCTION("""COMPUTED_VALUE"""),44735.6666666666)</f>
        <v>44735.666666666599</v>
      </c>
      <c r="B1088" s="2">
        <f ca="1">IFERROR(__xludf.DUMMYFUNCTION("""COMPUTED_VALUE"""),235.07)</f>
        <v>235.07</v>
      </c>
      <c r="C1088" s="3">
        <v>246.847820681803</v>
      </c>
    </row>
    <row r="1089" spans="1:3" ht="13" x14ac:dyDescent="0.15">
      <c r="A1089" s="1">
        <f ca="1">IFERROR(__xludf.DUMMYFUNCTION("""COMPUTED_VALUE"""),44736.6666666666)</f>
        <v>44736.666666666599</v>
      </c>
      <c r="B1089" s="2">
        <f ca="1">IFERROR(__xludf.DUMMYFUNCTION("""COMPUTED_VALUE"""),245.71)</f>
        <v>245.71</v>
      </c>
      <c r="C1089" s="3">
        <v>246.13763710310201</v>
      </c>
    </row>
    <row r="1090" spans="1:3" ht="13" x14ac:dyDescent="0.15">
      <c r="A1090" s="1">
        <f ca="1">IFERROR(__xludf.DUMMYFUNCTION("""COMPUTED_VALUE"""),44739.6666666666)</f>
        <v>44739.666666666599</v>
      </c>
      <c r="B1090" s="2">
        <f ca="1">IFERROR(__xludf.DUMMYFUNCTION("""COMPUTED_VALUE"""),244.92)</f>
        <v>244.92</v>
      </c>
      <c r="C1090" s="3">
        <v>247.78322790777401</v>
      </c>
    </row>
    <row r="1091" spans="1:3" ht="13" x14ac:dyDescent="0.15">
      <c r="A1091" s="1">
        <f ca="1">IFERROR(__xludf.DUMMYFUNCTION("""COMPUTED_VALUE"""),44740.6666666666)</f>
        <v>44740.666666666599</v>
      </c>
      <c r="B1091" s="2">
        <f ca="1">IFERROR(__xludf.DUMMYFUNCTION("""COMPUTED_VALUE"""),232.66)</f>
        <v>232.66</v>
      </c>
      <c r="C1091" s="3">
        <v>246.85678526360101</v>
      </c>
    </row>
    <row r="1092" spans="1:3" ht="13" x14ac:dyDescent="0.15">
      <c r="A1092" s="1">
        <f ca="1">IFERROR(__xludf.DUMMYFUNCTION("""COMPUTED_VALUE"""),44741.6666666666)</f>
        <v>44741.666666666599</v>
      </c>
      <c r="B1092" s="2">
        <f ca="1">IFERROR(__xludf.DUMMYFUNCTION("""COMPUTED_VALUE"""),228.49)</f>
        <v>228.49</v>
      </c>
      <c r="C1092" s="3">
        <v>247.06001528035699</v>
      </c>
    </row>
    <row r="1093" spans="1:3" ht="13" x14ac:dyDescent="0.15">
      <c r="A1093" s="1">
        <f ca="1">IFERROR(__xludf.DUMMYFUNCTION("""COMPUTED_VALUE"""),44742.6666666666)</f>
        <v>44742.666666666599</v>
      </c>
      <c r="B1093" s="2">
        <f ca="1">IFERROR(__xludf.DUMMYFUNCTION("""COMPUTED_VALUE"""),224.47)</f>
        <v>224.47</v>
      </c>
      <c r="C1093" s="3">
        <v>246.74114596348599</v>
      </c>
    </row>
    <row r="1094" spans="1:3" ht="13" x14ac:dyDescent="0.15">
      <c r="A1094" s="1">
        <f ca="1">IFERROR(__xludf.DUMMYFUNCTION("""COMPUTED_VALUE"""),44743.6666666666)</f>
        <v>44743.666666666599</v>
      </c>
      <c r="B1094" s="2">
        <f ca="1">IFERROR(__xludf.DUMMYFUNCTION("""COMPUTED_VALUE"""),227.26)</f>
        <v>227.26</v>
      </c>
      <c r="C1094" s="3">
        <v>246.39822918755499</v>
      </c>
    </row>
    <row r="1095" spans="1:3" ht="13" x14ac:dyDescent="0.15">
      <c r="A1095" s="1">
        <f ca="1">IFERROR(__xludf.DUMMYFUNCTION("""COMPUTED_VALUE"""),44747.6666666666)</f>
        <v>44747.666666666599</v>
      </c>
      <c r="B1095" s="2">
        <f ca="1">IFERROR(__xludf.DUMMYFUNCTION("""COMPUTED_VALUE"""),233.07)</f>
        <v>233.07</v>
      </c>
      <c r="C1095" s="3">
        <v>248.043600657155</v>
      </c>
    </row>
    <row r="1096" spans="1:3" ht="13" x14ac:dyDescent="0.15">
      <c r="A1096" s="1">
        <f ca="1">IFERROR(__xludf.DUMMYFUNCTION("""COMPUTED_VALUE"""),44748.6666666666)</f>
        <v>44748.666666666599</v>
      </c>
      <c r="B1096" s="2">
        <f ca="1">IFERROR(__xludf.DUMMYFUNCTION("""COMPUTED_VALUE"""),231.73)</f>
        <v>231.73</v>
      </c>
      <c r="C1096" s="3">
        <v>248.31374095087099</v>
      </c>
    </row>
    <row r="1097" spans="1:3" ht="13" x14ac:dyDescent="0.15">
      <c r="A1097" s="1">
        <f ca="1">IFERROR(__xludf.DUMMYFUNCTION("""COMPUTED_VALUE"""),44749.6666666666)</f>
        <v>44749.666666666599</v>
      </c>
      <c r="B1097" s="2">
        <f ca="1">IFERROR(__xludf.DUMMYFUNCTION("""COMPUTED_VALUE"""),244.54)</f>
        <v>244.54</v>
      </c>
      <c r="C1097" s="3">
        <v>247.992100351554</v>
      </c>
    </row>
    <row r="1098" spans="1:3" ht="13" x14ac:dyDescent="0.15">
      <c r="A1098" s="1">
        <f ca="1">IFERROR(__xludf.DUMMYFUNCTION("""COMPUTED_VALUE"""),44750.6666666666)</f>
        <v>44750.666666666599</v>
      </c>
      <c r="B1098" s="2">
        <f ca="1">IFERROR(__xludf.DUMMYFUNCTION("""COMPUTED_VALUE"""),250.76)</f>
        <v>250.76</v>
      </c>
      <c r="C1098" s="3">
        <v>247.57889411791899</v>
      </c>
    </row>
    <row r="1099" spans="1:3" ht="13" x14ac:dyDescent="0.15">
      <c r="A1099" s="1">
        <f ca="1">IFERROR(__xludf.DUMMYFUNCTION("""COMPUTED_VALUE"""),44753.6666666666)</f>
        <v>44753.666666666599</v>
      </c>
      <c r="B1099" s="2">
        <f ca="1">IFERROR(__xludf.DUMMYFUNCTION("""COMPUTED_VALUE"""),234.34)</f>
        <v>234.34</v>
      </c>
      <c r="C1099" s="3">
        <v>249.45284417196001</v>
      </c>
    </row>
    <row r="1100" spans="1:3" ht="13" x14ac:dyDescent="0.15">
      <c r="A1100" s="1">
        <f ca="1">IFERROR(__xludf.DUMMYFUNCTION("""COMPUTED_VALUE"""),44754.6666666666)</f>
        <v>44754.666666666599</v>
      </c>
      <c r="B1100" s="2">
        <f ca="1">IFERROR(__xludf.DUMMYFUNCTION("""COMPUTED_VALUE"""),233.07)</f>
        <v>233.07</v>
      </c>
      <c r="C1100" s="3">
        <v>248.386542613724</v>
      </c>
    </row>
    <row r="1101" spans="1:3" ht="13" x14ac:dyDescent="0.15">
      <c r="A1101" s="1">
        <f ca="1">IFERROR(__xludf.DUMMYFUNCTION("""COMPUTED_VALUE"""),44755.6666666666)</f>
        <v>44755.666666666599</v>
      </c>
      <c r="B1101" s="2">
        <f ca="1">IFERROR(__xludf.DUMMYFUNCTION("""COMPUTED_VALUE"""),237.04)</f>
        <v>237.04</v>
      </c>
      <c r="C1101" s="3">
        <v>248.35350615975901</v>
      </c>
    </row>
    <row r="1102" spans="1:3" ht="13" x14ac:dyDescent="0.15">
      <c r="A1102" s="1">
        <f ca="1">IFERROR(__xludf.DUMMYFUNCTION("""COMPUTED_VALUE"""),44756.6666666666)</f>
        <v>44756.666666666599</v>
      </c>
      <c r="B1102" s="2">
        <f ca="1">IFERROR(__xludf.DUMMYFUNCTION("""COMPUTED_VALUE"""),238.31)</f>
        <v>238.31</v>
      </c>
      <c r="C1102" s="3">
        <v>247.71391651027699</v>
      </c>
    </row>
    <row r="1103" spans="1:3" ht="13" x14ac:dyDescent="0.15">
      <c r="A1103" s="1">
        <f ca="1">IFERROR(__xludf.DUMMYFUNCTION("""COMPUTED_VALUE"""),44757.6666666666)</f>
        <v>44757.666666666599</v>
      </c>
      <c r="B1103" s="2">
        <f ca="1">IFERROR(__xludf.DUMMYFUNCTION("""COMPUTED_VALUE"""),240.07)</f>
        <v>240.07</v>
      </c>
      <c r="C1103" s="3">
        <v>246.980586527719</v>
      </c>
    </row>
    <row r="1104" spans="1:3" ht="13" x14ac:dyDescent="0.15">
      <c r="A1104" s="1">
        <f ca="1">IFERROR(__xludf.DUMMYFUNCTION("""COMPUTED_VALUE"""),44760.6666666666)</f>
        <v>44760.666666666599</v>
      </c>
      <c r="B1104" s="2">
        <f ca="1">IFERROR(__xludf.DUMMYFUNCTION("""COMPUTED_VALUE"""),240.55)</f>
        <v>240.55</v>
      </c>
      <c r="C1104" s="3">
        <v>248.00515105474599</v>
      </c>
    </row>
    <row r="1105" spans="1:3" ht="13" x14ac:dyDescent="0.15">
      <c r="A1105" s="1">
        <f ca="1">IFERROR(__xludf.DUMMYFUNCTION("""COMPUTED_VALUE"""),44761.6666666666)</f>
        <v>44761.666666666599</v>
      </c>
      <c r="B1105" s="2">
        <f ca="1">IFERROR(__xludf.DUMMYFUNCTION("""COMPUTED_VALUE"""),245.53)</f>
        <v>245.53</v>
      </c>
      <c r="C1105" s="3">
        <v>246.73048651273899</v>
      </c>
    </row>
    <row r="1106" spans="1:3" ht="13" x14ac:dyDescent="0.15">
      <c r="A1106" s="1">
        <f ca="1">IFERROR(__xludf.DUMMYFUNCTION("""COMPUTED_VALUE"""),44762.6666666666)</f>
        <v>44762.666666666599</v>
      </c>
      <c r="B1106" s="2">
        <f ca="1">IFERROR(__xludf.DUMMYFUNCTION("""COMPUTED_VALUE"""),247.5)</f>
        <v>247.5</v>
      </c>
      <c r="C1106" s="3">
        <v>246.54221078798</v>
      </c>
    </row>
    <row r="1107" spans="1:3" ht="13" x14ac:dyDescent="0.15">
      <c r="A1107" s="1">
        <f ca="1">IFERROR(__xludf.DUMMYFUNCTION("""COMPUTED_VALUE"""),44763.6666666666)</f>
        <v>44763.666666666599</v>
      </c>
      <c r="B1107" s="2">
        <f ca="1">IFERROR(__xludf.DUMMYFUNCTION("""COMPUTED_VALUE"""),271.71)</f>
        <v>271.70999999999998</v>
      </c>
      <c r="C1107" s="3">
        <v>245.807358706201</v>
      </c>
    </row>
    <row r="1108" spans="1:3" ht="13" x14ac:dyDescent="0.15">
      <c r="A1108" s="1">
        <f ca="1">IFERROR(__xludf.DUMMYFUNCTION("""COMPUTED_VALUE"""),44764.6666666666)</f>
        <v>44764.666666666599</v>
      </c>
      <c r="B1108" s="2">
        <f ca="1">IFERROR(__xludf.DUMMYFUNCTION("""COMPUTED_VALUE"""),272.24)</f>
        <v>272.24</v>
      </c>
      <c r="C1108" s="3">
        <v>245.04349822259701</v>
      </c>
    </row>
    <row r="1109" spans="1:3" ht="13" x14ac:dyDescent="0.15">
      <c r="A1109" s="1">
        <f ca="1">IFERROR(__xludf.DUMMYFUNCTION("""COMPUTED_VALUE"""),44767.6666666666)</f>
        <v>44767.666666666599</v>
      </c>
      <c r="B1109" s="2">
        <f ca="1">IFERROR(__xludf.DUMMYFUNCTION("""COMPUTED_VALUE"""),268.43)</f>
        <v>268.43</v>
      </c>
      <c r="C1109" s="3">
        <v>246.37772630122299</v>
      </c>
    </row>
    <row r="1110" spans="1:3" ht="13" x14ac:dyDescent="0.15">
      <c r="A1110" s="1">
        <f ca="1">IFERROR(__xludf.DUMMYFUNCTION("""COMPUTED_VALUE"""),44768.6666666666)</f>
        <v>44768.666666666599</v>
      </c>
      <c r="B1110" s="2">
        <f ca="1">IFERROR(__xludf.DUMMYFUNCTION("""COMPUTED_VALUE"""),258.86)</f>
        <v>258.86</v>
      </c>
      <c r="C1110" s="3">
        <v>245.332391610613</v>
      </c>
    </row>
    <row r="1111" spans="1:3" ht="13" x14ac:dyDescent="0.15">
      <c r="A1111" s="1">
        <f ca="1">IFERROR(__xludf.DUMMYFUNCTION("""COMPUTED_VALUE"""),44769.6666666666)</f>
        <v>44769.666666666599</v>
      </c>
      <c r="B1111" s="2">
        <f ca="1">IFERROR(__xludf.DUMMYFUNCTION("""COMPUTED_VALUE"""),274.82)</f>
        <v>274.82</v>
      </c>
      <c r="C1111" s="3">
        <v>245.42689265563999</v>
      </c>
    </row>
    <row r="1112" spans="1:3" ht="13" x14ac:dyDescent="0.15">
      <c r="A1112" s="1">
        <f ca="1">IFERROR(__xludf.DUMMYFUNCTION("""COMPUTED_VALUE"""),44770.6666666666)</f>
        <v>44770.666666666599</v>
      </c>
      <c r="B1112" s="2">
        <f ca="1">IFERROR(__xludf.DUMMYFUNCTION("""COMPUTED_VALUE"""),280.9)</f>
        <v>280.89999999999998</v>
      </c>
      <c r="C1112" s="3">
        <v>245.01935012232499</v>
      </c>
    </row>
    <row r="1113" spans="1:3" ht="13" x14ac:dyDescent="0.15">
      <c r="A1113" s="1">
        <f ca="1">IFERROR(__xludf.DUMMYFUNCTION("""COMPUTED_VALUE"""),44771.6666666666)</f>
        <v>44771.666666666599</v>
      </c>
      <c r="B1113" s="2">
        <f ca="1">IFERROR(__xludf.DUMMYFUNCTION("""COMPUTED_VALUE"""),297.15)</f>
        <v>297.14999999999998</v>
      </c>
      <c r="C1113" s="3">
        <v>244.61666534592601</v>
      </c>
    </row>
    <row r="1114" spans="1:3" ht="13" x14ac:dyDescent="0.15">
      <c r="A1114" s="1">
        <f ca="1">IFERROR(__xludf.DUMMYFUNCTION("""COMPUTED_VALUE"""),44774.6666666666)</f>
        <v>44774.666666666599</v>
      </c>
      <c r="B1114" s="2">
        <f ca="1">IFERROR(__xludf.DUMMYFUNCTION("""COMPUTED_VALUE"""),297.28)</f>
        <v>297.27999999999997</v>
      </c>
      <c r="C1114" s="3">
        <v>247.11194756878001</v>
      </c>
    </row>
    <row r="1115" spans="1:3" ht="13" x14ac:dyDescent="0.15">
      <c r="A1115" s="1">
        <f ca="1">IFERROR(__xludf.DUMMYFUNCTION("""COMPUTED_VALUE"""),44775.6666666666)</f>
        <v>44775.666666666599</v>
      </c>
      <c r="B1115" s="2">
        <f ca="1">IFERROR(__xludf.DUMMYFUNCTION("""COMPUTED_VALUE"""),300.59)</f>
        <v>300.58999999999997</v>
      </c>
      <c r="C1115" s="3">
        <v>246.43407654970201</v>
      </c>
    </row>
    <row r="1116" spans="1:3" ht="13" x14ac:dyDescent="0.15">
      <c r="A1116" s="1">
        <f ca="1">IFERROR(__xludf.DUMMYFUNCTION("""COMPUTED_VALUE"""),44776.6666666666)</f>
        <v>44776.666666666599</v>
      </c>
      <c r="B1116" s="2">
        <f ca="1">IFERROR(__xludf.DUMMYFUNCTION("""COMPUTED_VALUE"""),307.4)</f>
        <v>307.39999999999998</v>
      </c>
      <c r="C1116" s="3">
        <v>246.86335044019901</v>
      </c>
    </row>
    <row r="1117" spans="1:3" ht="13" x14ac:dyDescent="0.15">
      <c r="A1117" s="1">
        <f ca="1">IFERROR(__xludf.DUMMYFUNCTION("""COMPUTED_VALUE"""),44777.6666666666)</f>
        <v>44777.666666666599</v>
      </c>
      <c r="B1117" s="2">
        <f ca="1">IFERROR(__xludf.DUMMYFUNCTION("""COMPUTED_VALUE"""),308.63)</f>
        <v>308.63</v>
      </c>
      <c r="C1117" s="3">
        <v>246.744960277052</v>
      </c>
    </row>
    <row r="1118" spans="1:3" ht="13" x14ac:dyDescent="0.15">
      <c r="A1118" s="1">
        <f ca="1">IFERROR(__xludf.DUMMYFUNCTION("""COMPUTED_VALUE"""),44778.6666666666)</f>
        <v>44778.666666666599</v>
      </c>
      <c r="B1118" s="2">
        <f ca="1">IFERROR(__xludf.DUMMYFUNCTION("""COMPUTED_VALUE"""),288.17)</f>
        <v>288.17</v>
      </c>
      <c r="C1118" s="3">
        <v>246.57403747912701</v>
      </c>
    </row>
    <row r="1119" spans="1:3" ht="13" x14ac:dyDescent="0.15">
      <c r="A1119" s="1">
        <f ca="1">IFERROR(__xludf.DUMMYFUNCTION("""COMPUTED_VALUE"""),44781.6666666666)</f>
        <v>44781.666666666599</v>
      </c>
      <c r="B1119" s="2">
        <f ca="1">IFERROR(__xludf.DUMMYFUNCTION("""COMPUTED_VALUE"""),290.42)</f>
        <v>290.42</v>
      </c>
      <c r="C1119" s="3">
        <v>249.32807063449999</v>
      </c>
    </row>
    <row r="1120" spans="1:3" ht="13" x14ac:dyDescent="0.15">
      <c r="A1120" s="1">
        <f ca="1">IFERROR(__xludf.DUMMYFUNCTION("""COMPUTED_VALUE"""),44782.6666666666)</f>
        <v>44782.666666666599</v>
      </c>
      <c r="B1120" s="2">
        <f ca="1">IFERROR(__xludf.DUMMYFUNCTION("""COMPUTED_VALUE"""),283.33)</f>
        <v>283.33</v>
      </c>
      <c r="C1120" s="3">
        <v>248.57093405485301</v>
      </c>
    </row>
    <row r="1121" spans="1:3" ht="13" x14ac:dyDescent="0.15">
      <c r="A1121" s="1">
        <f ca="1">IFERROR(__xludf.DUMMYFUNCTION("""COMPUTED_VALUE"""),44783.6666666666)</f>
        <v>44783.666666666599</v>
      </c>
      <c r="B1121" s="2">
        <f ca="1">IFERROR(__xludf.DUMMYFUNCTION("""COMPUTED_VALUE"""),294.36)</f>
        <v>294.36</v>
      </c>
      <c r="C1121" s="3">
        <v>248.834355482246</v>
      </c>
    </row>
    <row r="1122" spans="1:3" ht="13" x14ac:dyDescent="0.15">
      <c r="A1122" s="1">
        <f ca="1">IFERROR(__xludf.DUMMYFUNCTION("""COMPUTED_VALUE"""),44784.6666666666)</f>
        <v>44784.666666666599</v>
      </c>
      <c r="B1122" s="2">
        <f ca="1">IFERROR(__xludf.DUMMYFUNCTION("""COMPUTED_VALUE"""),286.63)</f>
        <v>286.63</v>
      </c>
      <c r="C1122" s="3">
        <v>248.465207801958</v>
      </c>
    </row>
    <row r="1123" spans="1:3" ht="13" x14ac:dyDescent="0.15">
      <c r="A1123" s="1">
        <f ca="1">IFERROR(__xludf.DUMMYFUNCTION("""COMPUTED_VALUE"""),44785.6666666666)</f>
        <v>44785.666666666599</v>
      </c>
      <c r="B1123" s="2">
        <f ca="1">IFERROR(__xludf.DUMMYFUNCTION("""COMPUTED_VALUE"""),300.03)</f>
        <v>300.02999999999997</v>
      </c>
      <c r="C1123" s="3">
        <v>247.96298773652001</v>
      </c>
    </row>
    <row r="1124" spans="1:3" ht="13" x14ac:dyDescent="0.15">
      <c r="A1124" s="1">
        <f ca="1">IFERROR(__xludf.DUMMYFUNCTION("""COMPUTED_VALUE"""),44788.6666666666)</f>
        <v>44788.666666666599</v>
      </c>
      <c r="B1124" s="2">
        <f ca="1">IFERROR(__xludf.DUMMYFUNCTION("""COMPUTED_VALUE"""),309.32)</f>
        <v>309.32</v>
      </c>
      <c r="C1124" s="3">
        <v>249.321306428995</v>
      </c>
    </row>
    <row r="1125" spans="1:3" ht="13" x14ac:dyDescent="0.15">
      <c r="A1125" s="1">
        <f ca="1">IFERROR(__xludf.DUMMYFUNCTION("""COMPUTED_VALUE"""),44789.6666666666)</f>
        <v>44789.666666666599</v>
      </c>
      <c r="B1125" s="2">
        <f ca="1">IFERROR(__xludf.DUMMYFUNCTION("""COMPUTED_VALUE"""),306.56)</f>
        <v>306.56</v>
      </c>
      <c r="C1125" s="3">
        <v>248.003136663123</v>
      </c>
    </row>
    <row r="1126" spans="1:3" ht="13" x14ac:dyDescent="0.15">
      <c r="A1126" s="1">
        <f ca="1">IFERROR(__xludf.DUMMYFUNCTION("""COMPUTED_VALUE"""),44790.6666666666)</f>
        <v>44790.666666666599</v>
      </c>
      <c r="B1126" s="2">
        <f ca="1">IFERROR(__xludf.DUMMYFUNCTION("""COMPUTED_VALUE"""),304)</f>
        <v>304</v>
      </c>
      <c r="C1126" s="3">
        <v>247.681075772236</v>
      </c>
    </row>
    <row r="1127" spans="1:3" ht="13" x14ac:dyDescent="0.15">
      <c r="A1127" s="1">
        <f ca="1">IFERROR(__xludf.DUMMYFUNCTION("""COMPUTED_VALUE"""),44791.6666666666)</f>
        <v>44791.666666666599</v>
      </c>
      <c r="B1127" s="2">
        <f ca="1">IFERROR(__xludf.DUMMYFUNCTION("""COMPUTED_VALUE"""),302.87)</f>
        <v>302.87</v>
      </c>
      <c r="C1127" s="3">
        <v>246.71784405375899</v>
      </c>
    </row>
    <row r="1128" spans="1:3" ht="13" x14ac:dyDescent="0.15">
      <c r="A1128" s="1">
        <f ca="1">IFERROR(__xludf.DUMMYFUNCTION("""COMPUTED_VALUE"""),44792.6666666666)</f>
        <v>44792.666666666599</v>
      </c>
      <c r="B1128" s="2">
        <f ca="1">IFERROR(__xludf.DUMMYFUNCTION("""COMPUTED_VALUE"""),296.67)</f>
        <v>296.67</v>
      </c>
      <c r="C1128" s="3">
        <v>245.62932114334501</v>
      </c>
    </row>
    <row r="1129" spans="1:3" ht="13" x14ac:dyDescent="0.15">
      <c r="A1129" s="1">
        <f ca="1">IFERROR(__xludf.DUMMYFUNCTION("""COMPUTED_VALUE"""),44795.6666666666)</f>
        <v>44795.666666666599</v>
      </c>
      <c r="B1129" s="2">
        <f ca="1">IFERROR(__xludf.DUMMYFUNCTION("""COMPUTED_VALUE"""),289.91)</f>
        <v>289.91000000000003</v>
      </c>
      <c r="C1129" s="3">
        <v>245.436686993677</v>
      </c>
    </row>
    <row r="1130" spans="1:3" ht="13" x14ac:dyDescent="0.15">
      <c r="A1130" s="1">
        <f ca="1">IFERROR(__xludf.DUMMYFUNCTION("""COMPUTED_VALUE"""),44796.6666666666)</f>
        <v>44796.666666666599</v>
      </c>
      <c r="B1130" s="2">
        <f ca="1">IFERROR(__xludf.DUMMYFUNCTION("""COMPUTED_VALUE"""),296.45)</f>
        <v>296.45</v>
      </c>
      <c r="C1130" s="3">
        <v>243.72022143309999</v>
      </c>
    </row>
    <row r="1131" spans="1:3" ht="13" x14ac:dyDescent="0.15">
      <c r="A1131" s="1">
        <f ca="1">IFERROR(__xludf.DUMMYFUNCTION("""COMPUTED_VALUE"""),44797.6666666666)</f>
        <v>44797.666666666599</v>
      </c>
      <c r="B1131" s="2">
        <f ca="1">IFERROR(__xludf.DUMMYFUNCTION("""COMPUTED_VALUE"""),297.1)</f>
        <v>297.10000000000002</v>
      </c>
      <c r="C1131" s="3">
        <v>243.08002697255699</v>
      </c>
    </row>
    <row r="1132" spans="1:3" ht="13" x14ac:dyDescent="0.15">
      <c r="A1132" s="1">
        <f ca="1">IFERROR(__xludf.DUMMYFUNCTION("""COMPUTED_VALUE"""),44798.6666666666)</f>
        <v>44798.666666666599</v>
      </c>
      <c r="B1132" s="2">
        <f ca="1">IFERROR(__xludf.DUMMYFUNCTION("""COMPUTED_VALUE"""),296.07)</f>
        <v>296.07</v>
      </c>
      <c r="C1132" s="3">
        <v>241.888099763051</v>
      </c>
    </row>
    <row r="1133" spans="1:3" ht="13" x14ac:dyDescent="0.15">
      <c r="A1133" s="1">
        <f ca="1">IFERROR(__xludf.DUMMYFUNCTION("""COMPUTED_VALUE"""),44799.6666666666)</f>
        <v>44799.666666666599</v>
      </c>
      <c r="B1133" s="2">
        <f ca="1">IFERROR(__xludf.DUMMYFUNCTION("""COMPUTED_VALUE"""),288.09)</f>
        <v>288.08999999999997</v>
      </c>
      <c r="C1133" s="3">
        <v>240.66696158611401</v>
      </c>
    </row>
    <row r="1134" spans="1:3" ht="13" x14ac:dyDescent="0.15">
      <c r="A1134" s="1">
        <f ca="1">IFERROR(__xludf.DUMMYFUNCTION("""COMPUTED_VALUE"""),44802.6666666666)</f>
        <v>44802.666666666599</v>
      </c>
      <c r="B1134" s="2">
        <f ca="1">IFERROR(__xludf.DUMMYFUNCTION("""COMPUTED_VALUE"""),284.82)</f>
        <v>284.82</v>
      </c>
      <c r="C1134" s="3">
        <v>240.675136103916</v>
      </c>
    </row>
    <row r="1135" spans="1:3" ht="13" x14ac:dyDescent="0.15">
      <c r="A1135" s="1">
        <f ca="1">IFERROR(__xludf.DUMMYFUNCTION("""COMPUTED_VALUE"""),44803.6666666666)</f>
        <v>44803.666666666599</v>
      </c>
      <c r="B1135" s="2">
        <f ca="1">IFERROR(__xludf.DUMMYFUNCTION("""COMPUTED_VALUE"""),277.7)</f>
        <v>277.7</v>
      </c>
      <c r="C1135" s="3">
        <v>239.217035675521</v>
      </c>
    </row>
    <row r="1136" spans="1:3" ht="13" x14ac:dyDescent="0.15">
      <c r="A1136" s="1">
        <f ca="1">IFERROR(__xludf.DUMMYFUNCTION("""COMPUTED_VALUE"""),44804.6666666666)</f>
        <v>44804.666666666599</v>
      </c>
      <c r="B1136" s="2">
        <f ca="1">IFERROR(__xludf.DUMMYFUNCTION("""COMPUTED_VALUE"""),275.61)</f>
        <v>275.61</v>
      </c>
      <c r="C1136" s="3">
        <v>238.91915532629599</v>
      </c>
    </row>
    <row r="1137" spans="1:3" ht="13" x14ac:dyDescent="0.15">
      <c r="A1137" s="1">
        <f ca="1">IFERROR(__xludf.DUMMYFUNCTION("""COMPUTED_VALUE"""),44805.6666666666)</f>
        <v>44805.666666666599</v>
      </c>
      <c r="B1137" s="2">
        <f ca="1">IFERROR(__xludf.DUMMYFUNCTION("""COMPUTED_VALUE"""),277.16)</f>
        <v>277.16000000000003</v>
      </c>
      <c r="C1137" s="3">
        <v>238.14210517664901</v>
      </c>
    </row>
    <row r="1138" spans="1:3" ht="13" x14ac:dyDescent="0.15">
      <c r="A1138" s="1">
        <f ca="1">IFERROR(__xludf.DUMMYFUNCTION("""COMPUTED_VALUE"""),44806.6666666666)</f>
        <v>44806.666666666599</v>
      </c>
      <c r="B1138" s="2">
        <f ca="1">IFERROR(__xludf.DUMMYFUNCTION("""COMPUTED_VALUE"""),270.21)</f>
        <v>270.20999999999998</v>
      </c>
      <c r="C1138" s="3">
        <v>237.394503527376</v>
      </c>
    </row>
    <row r="1139" spans="1:3" ht="13" x14ac:dyDescent="0.15">
      <c r="A1139" s="1">
        <f ca="1">IFERROR(__xludf.DUMMYFUNCTION("""COMPUTED_VALUE"""),44810.6666666666)</f>
        <v>44810.666666666599</v>
      </c>
      <c r="B1139" s="2">
        <f ca="1">IFERROR(__xludf.DUMMYFUNCTION("""COMPUTED_VALUE"""),274.42)</f>
        <v>274.42</v>
      </c>
      <c r="C1139" s="3">
        <v>238.08192373852299</v>
      </c>
    </row>
    <row r="1140" spans="1:3" ht="13" x14ac:dyDescent="0.15">
      <c r="A1140" s="1">
        <f ca="1">IFERROR(__xludf.DUMMYFUNCTION("""COMPUTED_VALUE"""),44811.6666666666)</f>
        <v>44811.666666666599</v>
      </c>
      <c r="B1140" s="2">
        <f ca="1">IFERROR(__xludf.DUMMYFUNCTION("""COMPUTED_VALUE"""),283.7)</f>
        <v>283.7</v>
      </c>
      <c r="C1140" s="3">
        <v>238.283958482884</v>
      </c>
    </row>
    <row r="1141" spans="1:3" ht="13" x14ac:dyDescent="0.15">
      <c r="A1141" s="1">
        <f ca="1">IFERROR(__xludf.DUMMYFUNCTION("""COMPUTED_VALUE"""),44812.6666666666)</f>
        <v>44812.666666666599</v>
      </c>
      <c r="B1141" s="2">
        <f ca="1">IFERROR(__xludf.DUMMYFUNCTION("""COMPUTED_VALUE"""),289.26)</f>
        <v>289.26</v>
      </c>
      <c r="C1141" s="3">
        <v>237.95433533921499</v>
      </c>
    </row>
    <row r="1142" spans="1:3" ht="13" x14ac:dyDescent="0.15">
      <c r="A1142" s="1">
        <f ca="1">IFERROR(__xludf.DUMMYFUNCTION("""COMPUTED_VALUE"""),44813.6666666666)</f>
        <v>44813.666666666599</v>
      </c>
      <c r="B1142" s="2">
        <f ca="1">IFERROR(__xludf.DUMMYFUNCTION("""COMPUTED_VALUE"""),299.68)</f>
        <v>299.68</v>
      </c>
      <c r="C1142" s="3">
        <v>237.583627734088</v>
      </c>
    </row>
    <row r="1143" spans="1:3" ht="13" x14ac:dyDescent="0.15">
      <c r="A1143" s="1">
        <f ca="1">IFERROR(__xludf.DUMMYFUNCTION("""COMPUTED_VALUE"""),44816.6666666666)</f>
        <v>44816.666666666599</v>
      </c>
      <c r="B1143" s="2">
        <f ca="1">IFERROR(__xludf.DUMMYFUNCTION("""COMPUTED_VALUE"""),304.42)</f>
        <v>304.42</v>
      </c>
      <c r="C1143" s="3">
        <v>239.75099494387601</v>
      </c>
    </row>
    <row r="1144" spans="1:3" ht="13" x14ac:dyDescent="0.15">
      <c r="A1144" s="1">
        <f ca="1">IFERROR(__xludf.DUMMYFUNCTION("""COMPUTED_VALUE"""),44817.6666666666)</f>
        <v>44817.666666666599</v>
      </c>
      <c r="B1144" s="2">
        <f ca="1">IFERROR(__xludf.DUMMYFUNCTION("""COMPUTED_VALUE"""),292.13)</f>
        <v>292.13</v>
      </c>
      <c r="C1144" s="3">
        <v>238.78127905859901</v>
      </c>
    </row>
    <row r="1145" spans="1:3" ht="13" x14ac:dyDescent="0.15">
      <c r="A1145" s="1">
        <f ca="1">IFERROR(__xludf.DUMMYFUNCTION("""COMPUTED_VALUE"""),44818.6666666666)</f>
        <v>44818.666666666599</v>
      </c>
      <c r="B1145" s="2">
        <f ca="1">IFERROR(__xludf.DUMMYFUNCTION("""COMPUTED_VALUE"""),302.61)</f>
        <v>302.61</v>
      </c>
      <c r="C1145" s="3">
        <v>238.81222571696799</v>
      </c>
    </row>
    <row r="1146" spans="1:3" ht="13" x14ac:dyDescent="0.15">
      <c r="A1146" s="1">
        <f ca="1">IFERROR(__xludf.DUMMYFUNCTION("""COMPUTED_VALUE"""),44819.6666666666)</f>
        <v>44819.666666666599</v>
      </c>
      <c r="B1146" s="2">
        <f ca="1">IFERROR(__xludf.DUMMYFUNCTION("""COMPUTED_VALUE"""),303.75)</f>
        <v>303.75</v>
      </c>
      <c r="C1146" s="3">
        <v>238.18379065690701</v>
      </c>
    </row>
    <row r="1147" spans="1:3" ht="13" x14ac:dyDescent="0.15">
      <c r="A1147" s="1">
        <f ca="1">IFERROR(__xludf.DUMMYFUNCTION("""COMPUTED_VALUE"""),44820.6666666666)</f>
        <v>44820.666666666599</v>
      </c>
      <c r="B1147" s="2">
        <f ca="1">IFERROR(__xludf.DUMMYFUNCTION("""COMPUTED_VALUE"""),303.35)</f>
        <v>303.35000000000002</v>
      </c>
      <c r="C1147" s="3">
        <v>237.388761153405</v>
      </c>
    </row>
    <row r="1148" spans="1:3" ht="13" x14ac:dyDescent="0.15">
      <c r="A1148" s="1">
        <f ca="1">IFERROR(__xludf.DUMMYFUNCTION("""COMPUTED_VALUE"""),44823.6666666666)</f>
        <v>44823.666666666599</v>
      </c>
      <c r="B1148" s="2">
        <f ca="1">IFERROR(__xludf.DUMMYFUNCTION("""COMPUTED_VALUE"""),309.07)</f>
        <v>309.07</v>
      </c>
      <c r="C1148" s="3">
        <v>237.60768118130599</v>
      </c>
    </row>
    <row r="1149" spans="1:3" ht="13" x14ac:dyDescent="0.15">
      <c r="A1149" s="1">
        <f ca="1">IFERROR(__xludf.DUMMYFUNCTION("""COMPUTED_VALUE"""),44824.6666666666)</f>
        <v>44824.666666666599</v>
      </c>
      <c r="B1149" s="2">
        <f ca="1">IFERROR(__xludf.DUMMYFUNCTION("""COMPUTED_VALUE"""),308.73)</f>
        <v>308.73</v>
      </c>
      <c r="C1149" s="3">
        <v>235.80654546014699</v>
      </c>
    </row>
    <row r="1150" spans="1:3" ht="13" x14ac:dyDescent="0.15">
      <c r="A1150" s="1">
        <f ca="1">IFERROR(__xludf.DUMMYFUNCTION("""COMPUTED_VALUE"""),44825.6666666666)</f>
        <v>44825.666666666599</v>
      </c>
      <c r="B1150" s="2">
        <f ca="1">IFERROR(__xludf.DUMMYFUNCTION("""COMPUTED_VALUE"""),300.8)</f>
        <v>300.8</v>
      </c>
      <c r="C1150" s="3">
        <v>234.94436278968101</v>
      </c>
    </row>
    <row r="1151" spans="1:3" ht="13" x14ac:dyDescent="0.15">
      <c r="A1151" s="1">
        <f ca="1">IFERROR(__xludf.DUMMYFUNCTION("""COMPUTED_VALUE"""),44826.6666666666)</f>
        <v>44826.666666666599</v>
      </c>
      <c r="B1151" s="2">
        <f ca="1">IFERROR(__xludf.DUMMYFUNCTION("""COMPUTED_VALUE"""),288.59)</f>
        <v>288.58999999999997</v>
      </c>
      <c r="C1151" s="3">
        <v>233.38235294810701</v>
      </c>
    </row>
    <row r="1152" spans="1:3" ht="13" x14ac:dyDescent="0.15">
      <c r="A1152" s="1">
        <f ca="1">IFERROR(__xludf.DUMMYFUNCTION("""COMPUTED_VALUE"""),44827.6666666666)</f>
        <v>44827.666666666599</v>
      </c>
      <c r="B1152" s="2">
        <f ca="1">IFERROR(__xludf.DUMMYFUNCTION("""COMPUTED_VALUE"""),275.33)</f>
        <v>275.33</v>
      </c>
      <c r="C1152" s="3">
        <v>231.63630529117</v>
      </c>
    </row>
    <row r="1153" spans="1:3" ht="13" x14ac:dyDescent="0.15">
      <c r="A1153" s="1">
        <f ca="1">IFERROR(__xludf.DUMMYFUNCTION("""COMPUTED_VALUE"""),44830.6666666666)</f>
        <v>44830.666666666599</v>
      </c>
      <c r="B1153" s="2">
        <f ca="1">IFERROR(__xludf.DUMMYFUNCTION("""COMPUTED_VALUE"""),276.01)</f>
        <v>276.01</v>
      </c>
      <c r="C1153" s="3">
        <v>229.14059995853401</v>
      </c>
    </row>
    <row r="1154" spans="1:3" ht="13" x14ac:dyDescent="0.15">
      <c r="A1154" s="1">
        <f ca="1">IFERROR(__xludf.DUMMYFUNCTION("""COMPUTED_VALUE"""),44831.6666666666)</f>
        <v>44831.666666666599</v>
      </c>
      <c r="B1154" s="2">
        <f ca="1">IFERROR(__xludf.DUMMYFUNCTION("""COMPUTED_VALUE"""),282.94)</f>
        <v>282.94</v>
      </c>
      <c r="C1154" s="3">
        <v>226.56150076537901</v>
      </c>
    </row>
    <row r="1155" spans="1:3" ht="13" x14ac:dyDescent="0.15">
      <c r="A1155" s="1">
        <f ca="1">IFERROR(__xludf.DUMMYFUNCTION("""COMPUTED_VALUE"""),44832.6666666666)</f>
        <v>44832.666666666599</v>
      </c>
      <c r="B1155" s="2">
        <f ca="1">IFERROR(__xludf.DUMMYFUNCTION("""COMPUTED_VALUE"""),287.81)</f>
        <v>287.81</v>
      </c>
      <c r="C1155" s="3">
        <v>225.022724645577</v>
      </c>
    </row>
    <row r="1156" spans="1:3" ht="13" x14ac:dyDescent="0.15">
      <c r="A1156" s="1">
        <f ca="1">IFERROR(__xludf.DUMMYFUNCTION("""COMPUTED_VALUE"""),44833.6666666666)</f>
        <v>44833.666666666599</v>
      </c>
      <c r="B1156" s="2">
        <f ca="1">IFERROR(__xludf.DUMMYFUNCTION("""COMPUTED_VALUE"""),268.21)</f>
        <v>268.20999999999998</v>
      </c>
      <c r="C1156" s="3">
        <v>222.90540362174099</v>
      </c>
    </row>
    <row r="1157" spans="1:3" ht="13" x14ac:dyDescent="0.15">
      <c r="A1157" s="1">
        <f ca="1">IFERROR(__xludf.DUMMYFUNCTION("""COMPUTED_VALUE"""),44834.6666666666)</f>
        <v>44834.666666666599</v>
      </c>
      <c r="B1157" s="2">
        <f ca="1">IFERROR(__xludf.DUMMYFUNCTION("""COMPUTED_VALUE"""),265.25)</f>
        <v>265.25</v>
      </c>
      <c r="C1157" s="3">
        <v>220.742523031053</v>
      </c>
    </row>
    <row r="1158" spans="1:3" ht="13" x14ac:dyDescent="0.15">
      <c r="A1158" s="1">
        <f ca="1">IFERROR(__xludf.DUMMYFUNCTION("""COMPUTED_VALUE"""),44837.6666666666)</f>
        <v>44837.666666666599</v>
      </c>
      <c r="B1158" s="2">
        <f ca="1">IFERROR(__xludf.DUMMYFUNCTION("""COMPUTED_VALUE"""),242.4)</f>
        <v>242.4</v>
      </c>
      <c r="C1158" s="3">
        <v>217.948401652998</v>
      </c>
    </row>
    <row r="1159" spans="1:3" ht="13" x14ac:dyDescent="0.15">
      <c r="A1159" s="1">
        <f ca="1">IFERROR(__xludf.DUMMYFUNCTION("""COMPUTED_VALUE"""),44838.6666666666)</f>
        <v>44838.666666666599</v>
      </c>
      <c r="B1159" s="2">
        <f ca="1">IFERROR(__xludf.DUMMYFUNCTION("""COMPUTED_VALUE"""),249.44)</f>
        <v>249.44</v>
      </c>
      <c r="C1159" s="3">
        <v>215.60818815611401</v>
      </c>
    </row>
    <row r="1160" spans="1:3" ht="13" x14ac:dyDescent="0.15">
      <c r="A1160" s="1">
        <f ca="1">IFERROR(__xludf.DUMMYFUNCTION("""COMPUTED_VALUE"""),44839.6666666666)</f>
        <v>44839.666666666599</v>
      </c>
      <c r="B1160" s="2">
        <f ca="1">IFERROR(__xludf.DUMMYFUNCTION("""COMPUTED_VALUE"""),240.81)</f>
        <v>240.81</v>
      </c>
      <c r="C1160" s="3">
        <v>214.47750950812599</v>
      </c>
    </row>
    <row r="1161" spans="1:3" ht="13" x14ac:dyDescent="0.15">
      <c r="A1161" s="1">
        <f ca="1">IFERROR(__xludf.DUMMYFUNCTION("""COMPUTED_VALUE"""),44840.6666666666)</f>
        <v>44840.666666666599</v>
      </c>
      <c r="B1161" s="2">
        <f ca="1">IFERROR(__xludf.DUMMYFUNCTION("""COMPUTED_VALUE"""),238.13)</f>
        <v>238.13</v>
      </c>
      <c r="C1161" s="3">
        <v>212.931096873435</v>
      </c>
    </row>
    <row r="1162" spans="1:3" ht="13" x14ac:dyDescent="0.15">
      <c r="A1162" s="1">
        <f ca="1">IFERROR(__xludf.DUMMYFUNCTION("""COMPUTED_VALUE"""),44841.6666666666)</f>
        <v>44841.666666666599</v>
      </c>
      <c r="B1162" s="2">
        <f ca="1">IFERROR(__xludf.DUMMYFUNCTION("""COMPUTED_VALUE"""),223.07)</f>
        <v>223.07</v>
      </c>
      <c r="C1162" s="3">
        <v>211.49137780070399</v>
      </c>
    </row>
    <row r="1163" spans="1:3" ht="13" x14ac:dyDescent="0.15">
      <c r="A1163" s="1">
        <f ca="1">IFERROR(__xludf.DUMMYFUNCTION("""COMPUTED_VALUE"""),44844.6666666666)</f>
        <v>44844.666666666599</v>
      </c>
      <c r="B1163" s="2">
        <f ca="1">IFERROR(__xludf.DUMMYFUNCTION("""COMPUTED_VALUE"""),222.96)</f>
        <v>222.96</v>
      </c>
      <c r="C1163" s="3">
        <v>211.61815707829899</v>
      </c>
    </row>
    <row r="1164" spans="1:3" ht="13" x14ac:dyDescent="0.15">
      <c r="A1164" s="1">
        <f ca="1">IFERROR(__xludf.DUMMYFUNCTION("""COMPUTED_VALUE"""),44845.6666666666)</f>
        <v>44845.666666666599</v>
      </c>
      <c r="B1164" s="2">
        <f ca="1">IFERROR(__xludf.DUMMYFUNCTION("""COMPUTED_VALUE"""),216.5)</f>
        <v>216.5</v>
      </c>
      <c r="C1164" s="3">
        <v>210.432078109363</v>
      </c>
    </row>
    <row r="1165" spans="1:3" ht="13" x14ac:dyDescent="0.15">
      <c r="A1165" s="1">
        <f ca="1">IFERROR(__xludf.DUMMYFUNCTION("""COMPUTED_VALUE"""),44846.6666666666)</f>
        <v>44846.666666666599</v>
      </c>
      <c r="B1165" s="2">
        <f ca="1">IFERROR(__xludf.DUMMYFUNCTION("""COMPUTED_VALUE"""),217.24)</f>
        <v>217.24</v>
      </c>
      <c r="C1165" s="3">
        <v>210.50469653853901</v>
      </c>
    </row>
    <row r="1166" spans="1:3" ht="13" x14ac:dyDescent="0.15">
      <c r="A1166" s="1">
        <f ca="1">IFERROR(__xludf.DUMMYFUNCTION("""COMPUTED_VALUE"""),44847.6666666666)</f>
        <v>44847.666666666599</v>
      </c>
      <c r="B1166" s="2">
        <f ca="1">IFERROR(__xludf.DUMMYFUNCTION("""COMPUTED_VALUE"""),221.72)</f>
        <v>221.72</v>
      </c>
      <c r="C1166" s="3">
        <v>210.183745269166</v>
      </c>
    </row>
    <row r="1167" spans="1:3" ht="13" x14ac:dyDescent="0.15">
      <c r="A1167" s="1">
        <f ca="1">IFERROR(__xludf.DUMMYFUNCTION("""COMPUTED_VALUE"""),44848.6666666666)</f>
        <v>44848.666666666599</v>
      </c>
      <c r="B1167" s="2">
        <f ca="1">IFERROR(__xludf.DUMMYFUNCTION("""COMPUTED_VALUE"""),204.99)</f>
        <v>204.99</v>
      </c>
      <c r="C1167" s="3">
        <v>209.964057362548</v>
      </c>
    </row>
    <row r="1168" spans="1:3" ht="13" x14ac:dyDescent="0.15">
      <c r="A1168" s="1">
        <f ca="1">IFERROR(__xludf.DUMMYFUNCTION("""COMPUTED_VALUE"""),44851.6666666666)</f>
        <v>44851.666666666599</v>
      </c>
      <c r="B1168" s="2">
        <f ca="1">IFERROR(__xludf.DUMMYFUNCTION("""COMPUTED_VALUE"""),219.35)</f>
        <v>219.35</v>
      </c>
      <c r="C1168" s="3">
        <v>213.44861530341799</v>
      </c>
    </row>
    <row r="1169" spans="1:3" ht="13" x14ac:dyDescent="0.15">
      <c r="A1169" s="1">
        <f ca="1">IFERROR(__xludf.DUMMYFUNCTION("""COMPUTED_VALUE"""),44852.6666666666)</f>
        <v>44852.666666666599</v>
      </c>
      <c r="B1169" s="2">
        <f ca="1">IFERROR(__xludf.DUMMYFUNCTION("""COMPUTED_VALUE"""),220.19)</f>
        <v>220.19</v>
      </c>
      <c r="C1169" s="3">
        <v>213.19811421656999</v>
      </c>
    </row>
    <row r="1170" spans="1:3" ht="13" x14ac:dyDescent="0.15">
      <c r="A1170" s="1">
        <f ca="1">IFERROR(__xludf.DUMMYFUNCTION("""COMPUTED_VALUE"""),44853.6666666666)</f>
        <v>44853.666666666599</v>
      </c>
      <c r="B1170" s="2">
        <f ca="1">IFERROR(__xludf.DUMMYFUNCTION("""COMPUTED_VALUE"""),222.04)</f>
        <v>222.04</v>
      </c>
      <c r="C1170" s="3">
        <v>214.07880264373799</v>
      </c>
    </row>
    <row r="1171" spans="1:3" ht="13" x14ac:dyDescent="0.15">
      <c r="A1171" s="1">
        <f ca="1">IFERROR(__xludf.DUMMYFUNCTION("""COMPUTED_VALUE"""),44854.6666666666)</f>
        <v>44854.666666666599</v>
      </c>
      <c r="B1171" s="2">
        <f ca="1">IFERROR(__xludf.DUMMYFUNCTION("""COMPUTED_VALUE"""),207.28)</f>
        <v>207.28</v>
      </c>
      <c r="C1171" s="3">
        <v>214.42168582420601</v>
      </c>
    </row>
    <row r="1172" spans="1:3" ht="13" x14ac:dyDescent="0.15">
      <c r="A1172" s="1">
        <f ca="1">IFERROR(__xludf.DUMMYFUNCTION("""COMPUTED_VALUE"""),44855.6666666666)</f>
        <v>44855.666666666599</v>
      </c>
      <c r="B1172" s="2">
        <f ca="1">IFERROR(__xludf.DUMMYFUNCTION("""COMPUTED_VALUE"""),214.44)</f>
        <v>214.44</v>
      </c>
      <c r="C1172" s="3">
        <v>214.708630037299</v>
      </c>
    </row>
    <row r="1173" spans="1:3" ht="13" x14ac:dyDescent="0.15">
      <c r="A1173" s="1">
        <f ca="1">IFERROR(__xludf.DUMMYFUNCTION("""COMPUTED_VALUE"""),44858.6666666666)</f>
        <v>44858.666666666599</v>
      </c>
      <c r="B1173" s="2">
        <f ca="1">IFERROR(__xludf.DUMMYFUNCTION("""COMPUTED_VALUE"""),211.25)</f>
        <v>211.25</v>
      </c>
      <c r="C1173" s="3">
        <v>218.70271702305701</v>
      </c>
    </row>
    <row r="1174" spans="1:3" ht="13" x14ac:dyDescent="0.15">
      <c r="A1174" s="1">
        <f ca="1">IFERROR(__xludf.DUMMYFUNCTION("""COMPUTED_VALUE"""),44859.6666666666)</f>
        <v>44859.666666666599</v>
      </c>
      <c r="B1174" s="2">
        <f ca="1">IFERROR(__xludf.DUMMYFUNCTION("""COMPUTED_VALUE"""),222.42)</f>
        <v>222.42</v>
      </c>
      <c r="C1174" s="3">
        <v>218.28467766961001</v>
      </c>
    </row>
    <row r="1175" spans="1:3" ht="13" x14ac:dyDescent="0.15">
      <c r="A1175" s="1">
        <f ca="1">IFERROR(__xludf.DUMMYFUNCTION("""COMPUTED_VALUE"""),44860.6666666666)</f>
        <v>44860.666666666599</v>
      </c>
      <c r="B1175" s="2">
        <f ca="1">IFERROR(__xludf.DUMMYFUNCTION("""COMPUTED_VALUE"""),224.64)</f>
        <v>224.64</v>
      </c>
      <c r="C1175" s="3">
        <v>218.839653066621</v>
      </c>
    </row>
    <row r="1176" spans="1:3" ht="13" x14ac:dyDescent="0.15">
      <c r="A1176" s="1">
        <f ca="1">IFERROR(__xludf.DUMMYFUNCTION("""COMPUTED_VALUE"""),44861.6666666666)</f>
        <v>44861.666666666599</v>
      </c>
      <c r="B1176" s="2">
        <f ca="1">IFERROR(__xludf.DUMMYFUNCTION("""COMPUTED_VALUE"""),225.09)</f>
        <v>225.09</v>
      </c>
      <c r="C1176" s="3">
        <v>218.71106040689099</v>
      </c>
    </row>
    <row r="1177" spans="1:3" ht="13" x14ac:dyDescent="0.15">
      <c r="A1177" s="1">
        <f ca="1">IFERROR(__xludf.DUMMYFUNCTION("""COMPUTED_VALUE"""),44862.6666666666)</f>
        <v>44862.666666666599</v>
      </c>
      <c r="B1177" s="2">
        <f ca="1">IFERROR(__xludf.DUMMYFUNCTION("""COMPUTED_VALUE"""),228.52)</f>
        <v>228.52</v>
      </c>
      <c r="C1177" s="3">
        <v>218.39677869362501</v>
      </c>
    </row>
    <row r="1178" spans="1:3" ht="13" x14ac:dyDescent="0.15">
      <c r="A1178" s="1">
        <f ca="1">IFERROR(__xludf.DUMMYFUNCTION("""COMPUTED_VALUE"""),44865.6666666666)</f>
        <v>44865.666666666599</v>
      </c>
      <c r="B1178" s="2">
        <f ca="1">IFERROR(__xludf.DUMMYFUNCTION("""COMPUTED_VALUE"""),227.54)</f>
        <v>227.54</v>
      </c>
      <c r="C1178" s="3">
        <v>220.01238979334701</v>
      </c>
    </row>
    <row r="1179" spans="1:3" ht="13" x14ac:dyDescent="0.15">
      <c r="A1179" s="1">
        <f ca="1">IFERROR(__xludf.DUMMYFUNCTION("""COMPUTED_VALUE"""),44866.6666666666)</f>
        <v>44866.666666666599</v>
      </c>
      <c r="B1179" s="2">
        <f ca="1">IFERROR(__xludf.DUMMYFUNCTION("""COMPUTED_VALUE"""),227.82)</f>
        <v>227.82</v>
      </c>
      <c r="C1179" s="3">
        <v>218.68816303951701</v>
      </c>
    </row>
    <row r="1180" spans="1:3" ht="13" x14ac:dyDescent="0.15">
      <c r="A1180" s="1">
        <f ca="1">IFERROR(__xludf.DUMMYFUNCTION("""COMPUTED_VALUE"""),44867.6666666666)</f>
        <v>44867.666666666599</v>
      </c>
      <c r="B1180" s="2">
        <f ca="1">IFERROR(__xludf.DUMMYFUNCTION("""COMPUTED_VALUE"""),214.98)</f>
        <v>214.98</v>
      </c>
      <c r="C1180" s="3">
        <v>218.32221071112099</v>
      </c>
    </row>
    <row r="1181" spans="1:3" ht="13" x14ac:dyDescent="0.15">
      <c r="A1181" s="1">
        <f ca="1">IFERROR(__xludf.DUMMYFUNCTION("""COMPUTED_VALUE"""),44868.6666666666)</f>
        <v>44868.666666666599</v>
      </c>
      <c r="B1181" s="2">
        <f ca="1">IFERROR(__xludf.DUMMYFUNCTION("""COMPUTED_VALUE"""),215.31)</f>
        <v>215.31</v>
      </c>
      <c r="C1181" s="3">
        <v>217.283317606813</v>
      </c>
    </row>
    <row r="1182" spans="1:3" ht="13" x14ac:dyDescent="0.15">
      <c r="A1182" s="1">
        <f ca="1">IFERROR(__xludf.DUMMYFUNCTION("""COMPUTED_VALUE"""),44869.6666666666)</f>
        <v>44869.666666666599</v>
      </c>
      <c r="B1182" s="2">
        <f ca="1">IFERROR(__xludf.DUMMYFUNCTION("""COMPUTED_VALUE"""),207.47)</f>
        <v>207.47</v>
      </c>
      <c r="C1182" s="3">
        <v>216.093865819852</v>
      </c>
    </row>
    <row r="1183" spans="1:3" ht="13" x14ac:dyDescent="0.15">
      <c r="A1183" s="1">
        <f ca="1">IFERROR(__xludf.DUMMYFUNCTION("""COMPUTED_VALUE"""),44872.6666666666)</f>
        <v>44872.666666666599</v>
      </c>
      <c r="B1183" s="2">
        <f ca="1">IFERROR(__xludf.DUMMYFUNCTION("""COMPUTED_VALUE"""),197.08)</f>
        <v>197.08</v>
      </c>
      <c r="C1183" s="3">
        <v>215.51279981865699</v>
      </c>
    </row>
    <row r="1184" spans="1:3" ht="13" x14ac:dyDescent="0.15">
      <c r="A1184" s="1">
        <f ca="1">IFERROR(__xludf.DUMMYFUNCTION("""COMPUTED_VALUE"""),44873.6666666666)</f>
        <v>44873.666666666599</v>
      </c>
      <c r="B1184" s="2">
        <f ca="1">IFERROR(__xludf.DUMMYFUNCTION("""COMPUTED_VALUE"""),191.3)</f>
        <v>191.3</v>
      </c>
      <c r="C1184" s="3">
        <v>213.65885277144901</v>
      </c>
    </row>
    <row r="1185" spans="1:3" ht="13" x14ac:dyDescent="0.15">
      <c r="A1185" s="1">
        <f ca="1">IFERROR(__xludf.DUMMYFUNCTION("""COMPUTED_VALUE"""),44874.6666666666)</f>
        <v>44874.666666666599</v>
      </c>
      <c r="B1185" s="2">
        <f ca="1">IFERROR(__xludf.DUMMYFUNCTION("""COMPUTED_VALUE"""),177.59)</f>
        <v>177.59</v>
      </c>
      <c r="C1185" s="3">
        <v>212.88595761790799</v>
      </c>
    </row>
    <row r="1186" spans="1:3" ht="13" x14ac:dyDescent="0.15">
      <c r="A1186" s="1">
        <f ca="1">IFERROR(__xludf.DUMMYFUNCTION("""COMPUTED_VALUE"""),44875.6666666666)</f>
        <v>44875.666666666599</v>
      </c>
      <c r="B1186" s="2">
        <f ca="1">IFERROR(__xludf.DUMMYFUNCTION("""COMPUTED_VALUE"""),190.72)</f>
        <v>190.72</v>
      </c>
      <c r="C1186" s="3">
        <v>211.57011531197301</v>
      </c>
    </row>
    <row r="1187" spans="1:3" ht="13" x14ac:dyDescent="0.15">
      <c r="A1187" s="1">
        <f ca="1">IFERROR(__xludf.DUMMYFUNCTION("""COMPUTED_VALUE"""),44876.6666666666)</f>
        <v>44876.666666666599</v>
      </c>
      <c r="B1187" s="2">
        <f ca="1">IFERROR(__xludf.DUMMYFUNCTION("""COMPUTED_VALUE"""),195.97)</f>
        <v>195.97</v>
      </c>
      <c r="C1187" s="3">
        <v>210.236833605057</v>
      </c>
    </row>
    <row r="1188" spans="1:3" ht="13" x14ac:dyDescent="0.15">
      <c r="A1188" s="1">
        <f ca="1">IFERROR(__xludf.DUMMYFUNCTION("""COMPUTED_VALUE"""),44879.6666666666)</f>
        <v>44879.666666666599</v>
      </c>
      <c r="B1188" s="2">
        <f ca="1">IFERROR(__xludf.DUMMYFUNCTION("""COMPUTED_VALUE"""),190.95)</f>
        <v>190.95</v>
      </c>
      <c r="C1188" s="3">
        <v>209.992673822001</v>
      </c>
    </row>
    <row r="1189" spans="1:3" ht="13" x14ac:dyDescent="0.15">
      <c r="A1189" s="1">
        <f ca="1">IFERROR(__xludf.DUMMYFUNCTION("""COMPUTED_VALUE"""),44880.6666666666)</f>
        <v>44880.666666666599</v>
      </c>
      <c r="B1189" s="2">
        <f ca="1">IFERROR(__xludf.DUMMYFUNCTION("""COMPUTED_VALUE"""),194.42)</f>
        <v>194.42</v>
      </c>
      <c r="C1189" s="3">
        <v>208.477567681994</v>
      </c>
    </row>
    <row r="1190" spans="1:3" ht="13" x14ac:dyDescent="0.15">
      <c r="A1190" s="1">
        <f ca="1">IFERROR(__xludf.DUMMYFUNCTION("""COMPUTED_VALUE"""),44881.6666666666)</f>
        <v>44881.666666666599</v>
      </c>
      <c r="B1190" s="2">
        <f ca="1">IFERROR(__xludf.DUMMYFUNCTION("""COMPUTED_VALUE"""),186.92)</f>
        <v>186.92</v>
      </c>
      <c r="C1190" s="3">
        <v>208.13328933007</v>
      </c>
    </row>
    <row r="1191" spans="1:3" ht="13" x14ac:dyDescent="0.15">
      <c r="A1191" s="1">
        <f ca="1">IFERROR(__xludf.DUMMYFUNCTION("""COMPUTED_VALUE"""),44882.6666666666)</f>
        <v>44882.666666666599</v>
      </c>
      <c r="B1191" s="2">
        <f ca="1">IFERROR(__xludf.DUMMYFUNCTION("""COMPUTED_VALUE"""),183.17)</f>
        <v>183.17</v>
      </c>
      <c r="C1191" s="3">
        <v>207.31743738486699</v>
      </c>
    </row>
    <row r="1192" spans="1:3" ht="13" x14ac:dyDescent="0.15">
      <c r="A1192" s="1">
        <f ca="1">IFERROR(__xludf.DUMMYFUNCTION("""COMPUTED_VALUE"""),44883.6666666666)</f>
        <v>44883.666666666599</v>
      </c>
      <c r="B1192" s="2">
        <f ca="1">IFERROR(__xludf.DUMMYFUNCTION("""COMPUTED_VALUE"""),180.19)</f>
        <v>180.19</v>
      </c>
      <c r="C1192" s="3">
        <v>206.53501366357301</v>
      </c>
    </row>
    <row r="1193" spans="1:3" ht="13" x14ac:dyDescent="0.15">
      <c r="A1193" s="1">
        <f ca="1">IFERROR(__xludf.DUMMYFUNCTION("""COMPUTED_VALUE"""),44886.6666666666)</f>
        <v>44886.666666666599</v>
      </c>
      <c r="B1193" s="2">
        <f ca="1">IFERROR(__xludf.DUMMYFUNCTION("""COMPUTED_VALUE"""),167.87)</f>
        <v>167.87</v>
      </c>
      <c r="C1193" s="3">
        <v>208.025624901909</v>
      </c>
    </row>
    <row r="1194" spans="1:3" ht="13" x14ac:dyDescent="0.15">
      <c r="A1194" s="1">
        <f ca="1">IFERROR(__xludf.DUMMYFUNCTION("""COMPUTED_VALUE"""),44887.6666666666)</f>
        <v>44887.666666666599</v>
      </c>
      <c r="B1194" s="2">
        <f ca="1">IFERROR(__xludf.DUMMYFUNCTION("""COMPUTED_VALUE"""),169.91)</f>
        <v>169.91</v>
      </c>
      <c r="C1194" s="3">
        <v>207.04067421870101</v>
      </c>
    </row>
    <row r="1195" spans="1:3" ht="13" x14ac:dyDescent="0.15">
      <c r="A1195" s="1">
        <f ca="1">IFERROR(__xludf.DUMMYFUNCTION("""COMPUTED_VALUE"""),44888.6666666666)</f>
        <v>44888.666666666599</v>
      </c>
      <c r="B1195" s="2">
        <f ca="1">IFERROR(__xludf.DUMMYFUNCTION("""COMPUTED_VALUE"""),183.2)</f>
        <v>183.2</v>
      </c>
      <c r="C1195" s="3">
        <v>207.16659835371601</v>
      </c>
    </row>
    <row r="1196" spans="1:3" ht="13" x14ac:dyDescent="0.15">
      <c r="A1196" s="1">
        <f ca="1">IFERROR(__xludf.DUMMYFUNCTION("""COMPUTED_VALUE"""),44890.5451388888)</f>
        <v>44890.545138888803</v>
      </c>
      <c r="B1196" s="2">
        <f ca="1">IFERROR(__xludf.DUMMYFUNCTION("""COMPUTED_VALUE"""),182.86)</f>
        <v>182.86</v>
      </c>
      <c r="C1196" s="3">
        <v>206.255244495406</v>
      </c>
    </row>
    <row r="1197" spans="1:3" ht="13" x14ac:dyDescent="0.15">
      <c r="A1197" s="1">
        <f ca="1">IFERROR(__xludf.DUMMYFUNCTION("""COMPUTED_VALUE"""),44893.6666666666)</f>
        <v>44893.666666666599</v>
      </c>
      <c r="B1197" s="2">
        <f ca="1">IFERROR(__xludf.DUMMYFUNCTION("""COMPUTED_VALUE"""),182.92)</f>
        <v>182.92</v>
      </c>
      <c r="C1197" s="3">
        <v>207.94253867294199</v>
      </c>
    </row>
    <row r="1198" spans="1:3" ht="13" x14ac:dyDescent="0.15">
      <c r="A1198" s="1">
        <f ca="1">IFERROR(__xludf.DUMMYFUNCTION("""COMPUTED_VALUE"""),44894.6666666666)</f>
        <v>44894.666666666599</v>
      </c>
      <c r="B1198" s="2">
        <f ca="1">IFERROR(__xludf.DUMMYFUNCTION("""COMPUTED_VALUE"""),180.83)</f>
        <v>180.83</v>
      </c>
      <c r="C1198" s="3">
        <v>206.77226228090299</v>
      </c>
    </row>
    <row r="1199" spans="1:3" ht="13" x14ac:dyDescent="0.15">
      <c r="A1199" s="1">
        <f ca="1">IFERROR(__xludf.DUMMYFUNCTION("""COMPUTED_VALUE"""),44895.6666666666)</f>
        <v>44895.666666666599</v>
      </c>
      <c r="B1199" s="2">
        <f ca="1">IFERROR(__xludf.DUMMYFUNCTION("""COMPUTED_VALUE"""),194.7)</f>
        <v>194.7</v>
      </c>
      <c r="C1199" s="3">
        <v>206.58696066044499</v>
      </c>
    </row>
    <row r="1200" spans="1:3" ht="13" x14ac:dyDescent="0.15">
      <c r="A1200" s="1">
        <f ca="1">IFERROR(__xludf.DUMMYFUNCTION("""COMPUTED_VALUE"""),44896.6666666666)</f>
        <v>44896.666666666599</v>
      </c>
      <c r="B1200" s="2">
        <f ca="1">IFERROR(__xludf.DUMMYFUNCTION("""COMPUTED_VALUE"""),194.7)</f>
        <v>194.7</v>
      </c>
      <c r="C1200" s="3">
        <v>205.7309743319</v>
      </c>
    </row>
    <row r="1201" spans="1:3" ht="13" x14ac:dyDescent="0.15">
      <c r="A1201" s="1">
        <f ca="1">IFERROR(__xludf.DUMMYFUNCTION("""COMPUTED_VALUE"""),44897.6666666666)</f>
        <v>44897.666666666599</v>
      </c>
      <c r="B1201" s="2">
        <f ca="1">IFERROR(__xludf.DUMMYFUNCTION("""COMPUTED_VALUE"""),194.86)</f>
        <v>194.86</v>
      </c>
      <c r="C1201" s="3">
        <v>204.70244156455999</v>
      </c>
    </row>
    <row r="1202" spans="1:3" ht="13" x14ac:dyDescent="0.15">
      <c r="A1202" s="1">
        <f ca="1">IFERROR(__xludf.DUMMYFUNCTION("""COMPUTED_VALUE"""),44900.6666666666)</f>
        <v>44900.666666666599</v>
      </c>
      <c r="B1202" s="2">
        <f ca="1">IFERROR(__xludf.DUMMYFUNCTION("""COMPUTED_VALUE"""),182.45)</f>
        <v>182.45</v>
      </c>
      <c r="C1202" s="3">
        <v>204.24991331582399</v>
      </c>
    </row>
    <row r="1203" spans="1:3" ht="13" x14ac:dyDescent="0.15">
      <c r="A1203" s="1">
        <f ca="1">IFERROR(__xludf.DUMMYFUNCTION("""COMPUTED_VALUE"""),44901.6666666666)</f>
        <v>44901.666666666599</v>
      </c>
      <c r="B1203" s="2">
        <f ca="1">IFERROR(__xludf.DUMMYFUNCTION("""COMPUTED_VALUE"""),179.82)</f>
        <v>179.82</v>
      </c>
      <c r="C1203" s="3">
        <v>202.25862149373299</v>
      </c>
    </row>
    <row r="1204" spans="1:3" ht="13" x14ac:dyDescent="0.15">
      <c r="A1204" s="1">
        <f ca="1">IFERROR(__xludf.DUMMYFUNCTION("""COMPUTED_VALUE"""),44902.6666666666)</f>
        <v>44902.666666666599</v>
      </c>
      <c r="B1204" s="2">
        <f ca="1">IFERROR(__xludf.DUMMYFUNCTION("""COMPUTED_VALUE"""),174.04)</f>
        <v>174.04</v>
      </c>
      <c r="C1204" s="3">
        <v>201.23549232804399</v>
      </c>
    </row>
    <row r="1205" spans="1:3" ht="13" x14ac:dyDescent="0.15">
      <c r="A1205" s="1">
        <f ca="1">IFERROR(__xludf.DUMMYFUNCTION("""COMPUTED_VALUE"""),44903.6666666666)</f>
        <v>44903.666666666599</v>
      </c>
      <c r="B1205" s="2">
        <f ca="1">IFERROR(__xludf.DUMMYFUNCTION("""COMPUTED_VALUE"""),173.44)</f>
        <v>173.44</v>
      </c>
      <c r="C1205" s="3">
        <v>199.548890029685</v>
      </c>
    </row>
    <row r="1206" spans="1:3" ht="13" x14ac:dyDescent="0.15">
      <c r="A1206" s="1">
        <f ca="1">IFERROR(__xludf.DUMMYFUNCTION("""COMPUTED_VALUE"""),44904.6666666666)</f>
        <v>44904.666666666599</v>
      </c>
      <c r="B1206" s="2">
        <f ca="1">IFERROR(__xludf.DUMMYFUNCTION("""COMPUTED_VALUE"""),179.05)</f>
        <v>179.05</v>
      </c>
      <c r="C1206" s="3">
        <v>197.72120532418899</v>
      </c>
    </row>
    <row r="1207" spans="1:3" ht="13" x14ac:dyDescent="0.15">
      <c r="A1207" s="1">
        <f ca="1">IFERROR(__xludf.DUMMYFUNCTION("""COMPUTED_VALUE"""),44907.6666666666)</f>
        <v>44907.666666666599</v>
      </c>
      <c r="B1207" s="2">
        <f ca="1">IFERROR(__xludf.DUMMYFUNCTION("""COMPUTED_VALUE"""),167.82)</f>
        <v>167.82</v>
      </c>
      <c r="C1207" s="3">
        <v>195.29118249602999</v>
      </c>
    </row>
    <row r="1208" spans="1:3" ht="13" x14ac:dyDescent="0.15">
      <c r="A1208" s="1">
        <f ca="1">IFERROR(__xludf.DUMMYFUNCTION("""COMPUTED_VALUE"""),44908.6666666666)</f>
        <v>44908.666666666599</v>
      </c>
      <c r="B1208" s="2">
        <f ca="1">IFERROR(__xludf.DUMMYFUNCTION("""COMPUTED_VALUE"""),160.95)</f>
        <v>160.94999999999999</v>
      </c>
      <c r="C1208" s="3">
        <v>192.849275846675</v>
      </c>
    </row>
    <row r="1209" spans="1:3" ht="13" x14ac:dyDescent="0.15">
      <c r="A1209" s="1">
        <f ca="1">IFERROR(__xludf.DUMMYFUNCTION("""COMPUTED_VALUE"""),44909.6666666666)</f>
        <v>44909.666666666599</v>
      </c>
      <c r="B1209" s="2">
        <f ca="1">IFERROR(__xludf.DUMMYFUNCTION("""COMPUTED_VALUE"""),156.8)</f>
        <v>156.80000000000001</v>
      </c>
      <c r="C1209" s="3">
        <v>191.50770733957401</v>
      </c>
    </row>
    <row r="1210" spans="1:3" ht="13" x14ac:dyDescent="0.15">
      <c r="A1210" s="1">
        <f ca="1">IFERROR(__xludf.DUMMYFUNCTION("""COMPUTED_VALUE"""),44910.6666666666)</f>
        <v>44910.666666666599</v>
      </c>
      <c r="B1210" s="2">
        <f ca="1">IFERROR(__xludf.DUMMYFUNCTION("""COMPUTED_VALUE"""),157.67)</f>
        <v>157.66999999999999</v>
      </c>
      <c r="C1210" s="3">
        <v>189.64667155761501</v>
      </c>
    </row>
    <row r="1211" spans="1:3" ht="13" x14ac:dyDescent="0.15">
      <c r="A1211" s="1">
        <f ca="1">IFERROR(__xludf.DUMMYFUNCTION("""COMPUTED_VALUE"""),44911.6666666666)</f>
        <v>44911.666666666599</v>
      </c>
      <c r="B1211" s="2">
        <f ca="1">IFERROR(__xludf.DUMMYFUNCTION("""COMPUTED_VALUE"""),150.23)</f>
        <v>150.22999999999999</v>
      </c>
      <c r="C1211" s="3">
        <v>187.79656450724099</v>
      </c>
    </row>
    <row r="1212" spans="1:3" ht="13" x14ac:dyDescent="0.15">
      <c r="A1212" s="1">
        <f ca="1">IFERROR(__xludf.DUMMYFUNCTION("""COMPUTED_VALUE"""),44914.6666666666)</f>
        <v>44914.666666666599</v>
      </c>
      <c r="B1212" s="2">
        <f ca="1">IFERROR(__xludf.DUMMYFUNCTION("""COMPUTED_VALUE"""),149.87)</f>
        <v>149.87</v>
      </c>
      <c r="C1212" s="3">
        <v>186.22953342857099</v>
      </c>
    </row>
    <row r="1213" spans="1:3" ht="13" x14ac:dyDescent="0.15">
      <c r="A1213" s="1">
        <f ca="1">IFERROR(__xludf.DUMMYFUNCTION("""COMPUTED_VALUE"""),44915.6666666666)</f>
        <v>44915.666666666599</v>
      </c>
      <c r="B1213" s="2">
        <f ca="1">IFERROR(__xludf.DUMMYFUNCTION("""COMPUTED_VALUE"""),137.8)</f>
        <v>137.80000000000001</v>
      </c>
      <c r="C1213" s="3">
        <v>184.37043466803999</v>
      </c>
    </row>
    <row r="1214" spans="1:3" ht="13" x14ac:dyDescent="0.15">
      <c r="A1214" s="1">
        <f ca="1">IFERROR(__xludf.DUMMYFUNCTION("""COMPUTED_VALUE"""),44916.6666666666)</f>
        <v>44916.666666666599</v>
      </c>
      <c r="B1214" s="2">
        <f ca="1">IFERROR(__xludf.DUMMYFUNCTION("""COMPUTED_VALUE"""),137.57)</f>
        <v>137.57</v>
      </c>
      <c r="C1214" s="3">
        <v>183.741642330975</v>
      </c>
    </row>
    <row r="1215" spans="1:3" ht="13" x14ac:dyDescent="0.15">
      <c r="A1215" s="1">
        <f ca="1">IFERROR(__xludf.DUMMYFUNCTION("""COMPUTED_VALUE"""),44917.6666666666)</f>
        <v>44917.666666666599</v>
      </c>
      <c r="B1215" s="2">
        <f ca="1">IFERROR(__xludf.DUMMYFUNCTION("""COMPUTED_VALUE"""),125.35)</f>
        <v>125.35</v>
      </c>
      <c r="C1215" s="3">
        <v>182.707259453224</v>
      </c>
    </row>
    <row r="1216" spans="1:3" ht="13" x14ac:dyDescent="0.15">
      <c r="A1216" s="1">
        <f ca="1">IFERROR(__xludf.DUMMYFUNCTION("""COMPUTED_VALUE"""),44918.6666666666)</f>
        <v>44918.666666666599</v>
      </c>
      <c r="B1216" s="2">
        <f ca="1">IFERROR(__xludf.DUMMYFUNCTION("""COMPUTED_VALUE"""),123.15)</f>
        <v>123.15</v>
      </c>
      <c r="C1216" s="3">
        <v>181.77847259515499</v>
      </c>
    </row>
    <row r="1217" spans="1:3" ht="13" x14ac:dyDescent="0.15">
      <c r="A1217" s="1">
        <f ca="1">IFERROR(__xludf.DUMMYFUNCTION("""COMPUTED_VALUE"""),44922.6666666666)</f>
        <v>44922.666666666599</v>
      </c>
      <c r="B1217" s="2">
        <f ca="1">IFERROR(__xludf.DUMMYFUNCTION("""COMPUTED_VALUE"""),109.1)</f>
        <v>109.1</v>
      </c>
      <c r="C1217" s="3">
        <v>182.52267098490799</v>
      </c>
    </row>
    <row r="1218" spans="1:3" ht="13" x14ac:dyDescent="0.15">
      <c r="A1218" s="1">
        <f ca="1">IFERROR(__xludf.DUMMYFUNCTION("""COMPUTED_VALUE"""),44923.6666666666)</f>
        <v>44923.666666666599</v>
      </c>
      <c r="B1218" s="2">
        <f ca="1">IFERROR(__xludf.DUMMYFUNCTION("""COMPUTED_VALUE"""),112.71)</f>
        <v>112.71</v>
      </c>
      <c r="C1218" s="3">
        <v>182.93213059520201</v>
      </c>
    </row>
    <row r="1219" spans="1:3" ht="13" x14ac:dyDescent="0.15">
      <c r="A1219" s="1">
        <f ca="1">IFERROR(__xludf.DUMMYFUNCTION("""COMPUTED_VALUE"""),44924.6666666666)</f>
        <v>44924.666666666599</v>
      </c>
      <c r="B1219" s="2">
        <f ca="1">IFERROR(__xludf.DUMMYFUNCTION("""COMPUTED_VALUE"""),121.82)</f>
        <v>121.82</v>
      </c>
      <c r="C1219" s="3">
        <v>182.88389797244901</v>
      </c>
    </row>
    <row r="1220" spans="1:3" ht="13" x14ac:dyDescent="0.15">
      <c r="A1220" s="1">
        <f ca="1">IFERROR(__xludf.DUMMYFUNCTION("""COMPUTED_VALUE"""),44925.6666666666)</f>
        <v>44925.666666666599</v>
      </c>
      <c r="B1220" s="2">
        <f ca="1">IFERROR(__xludf.DUMMYFUNCTION("""COMPUTED_VALUE"""),123.18)</f>
        <v>123.18</v>
      </c>
      <c r="C1220" s="3">
        <v>182.865893195794</v>
      </c>
    </row>
    <row r="1221" spans="1:3" ht="13" x14ac:dyDescent="0.15">
      <c r="A1221" s="1">
        <f ca="1">IFERROR(__xludf.DUMMYFUNCTION("""COMPUTED_VALUE"""),44929.6666666666)</f>
        <v>44929.666666666599</v>
      </c>
      <c r="B1221" s="2">
        <f ca="1">IFERROR(__xludf.DUMMYFUNCTION("""COMPUTED_VALUE"""),108.1)</f>
        <v>108.1</v>
      </c>
      <c r="C1221" s="3">
        <v>186.12188526314199</v>
      </c>
    </row>
    <row r="1222" spans="1:3" ht="13" x14ac:dyDescent="0.15">
      <c r="A1222" s="1">
        <f ca="1">IFERROR(__xludf.DUMMYFUNCTION("""COMPUTED_VALUE"""),44930.6666666666)</f>
        <v>44930.666666666599</v>
      </c>
      <c r="B1222" s="2">
        <f ca="1">IFERROR(__xludf.DUMMYFUNCTION("""COMPUTED_VALUE"""),113.64)</f>
        <v>113.64</v>
      </c>
      <c r="C1222" s="3">
        <v>186.81101298731701</v>
      </c>
    </row>
    <row r="1223" spans="1:3" ht="13" x14ac:dyDescent="0.15">
      <c r="A1223" s="1">
        <f ca="1">IFERROR(__xludf.DUMMYFUNCTION("""COMPUTED_VALUE"""),44931.6666666666)</f>
        <v>44931.666666666599</v>
      </c>
      <c r="B1223" s="2">
        <f ca="1">IFERROR(__xludf.DUMMYFUNCTION("""COMPUTED_VALUE"""),110.34)</f>
        <v>110.34</v>
      </c>
      <c r="C1223" s="3">
        <v>186.89055215339499</v>
      </c>
    </row>
    <row r="1224" spans="1:3" ht="13" x14ac:dyDescent="0.15">
      <c r="A1224" s="1">
        <f ca="1">IFERROR(__xludf.DUMMYFUNCTION("""COMPUTED_VALUE"""),44932.6666666666)</f>
        <v>44932.666666666599</v>
      </c>
      <c r="B1224" s="2">
        <f ca="1">IFERROR(__xludf.DUMMYFUNCTION("""COMPUTED_VALUE"""),113.06)</f>
        <v>113.06</v>
      </c>
      <c r="C1224" s="3">
        <v>186.849463541901</v>
      </c>
    </row>
    <row r="1225" spans="1:3" ht="13" x14ac:dyDescent="0.15">
      <c r="A1225" s="1">
        <f ca="1">IFERROR(__xludf.DUMMYFUNCTION("""COMPUTED_VALUE"""),44935.6666666666)</f>
        <v>44935.666666666599</v>
      </c>
      <c r="B1225" s="2">
        <f ca="1">IFERROR(__xludf.DUMMYFUNCTION("""COMPUTED_VALUE"""),119.77)</f>
        <v>119.77</v>
      </c>
      <c r="C1225" s="3">
        <v>189.56862777961001</v>
      </c>
    </row>
    <row r="1226" spans="1:3" ht="13" x14ac:dyDescent="0.15">
      <c r="A1226" s="1">
        <f ca="1">IFERROR(__xludf.DUMMYFUNCTION("""COMPUTED_VALUE"""),44936.6666666666)</f>
        <v>44936.666666666599</v>
      </c>
      <c r="B1226" s="2">
        <f ca="1">IFERROR(__xludf.DUMMYFUNCTION("""COMPUTED_VALUE"""),118.85)</f>
        <v>118.85</v>
      </c>
      <c r="C1226" s="3">
        <v>188.66823119323999</v>
      </c>
    </row>
    <row r="1227" spans="1:3" ht="13" x14ac:dyDescent="0.15">
      <c r="A1227" s="1">
        <f ca="1">IFERROR(__xludf.DUMMYFUNCTION("""COMPUTED_VALUE"""),44937.6666666666)</f>
        <v>44937.666666666599</v>
      </c>
      <c r="B1227" s="2">
        <f ca="1">IFERROR(__xludf.DUMMYFUNCTION("""COMPUTED_VALUE"""),123.22)</f>
        <v>123.22</v>
      </c>
      <c r="C1227" s="3">
        <v>188.73446875500301</v>
      </c>
    </row>
    <row r="1228" spans="1:3" ht="13" x14ac:dyDescent="0.15">
      <c r="A1228" s="1">
        <f ca="1">IFERROR(__xludf.DUMMYFUNCTION("""COMPUTED_VALUE"""),44938.6666666666)</f>
        <v>44938.666666666599</v>
      </c>
      <c r="B1228" s="2">
        <f ca="1">IFERROR(__xludf.DUMMYFUNCTION("""COMPUTED_VALUE"""),123.56)</f>
        <v>123.56</v>
      </c>
      <c r="C1228" s="3">
        <v>188.124955013076</v>
      </c>
    </row>
    <row r="1229" spans="1:3" ht="13" x14ac:dyDescent="0.15">
      <c r="A1229" s="1">
        <f ca="1">IFERROR(__xludf.DUMMYFUNCTION("""COMPUTED_VALUE"""),44939.6666666666)</f>
        <v>44939.666666666599</v>
      </c>
      <c r="B1229" s="2">
        <f ca="1">IFERROR(__xludf.DUMMYFUNCTION("""COMPUTED_VALUE"""),122.4)</f>
        <v>122.4</v>
      </c>
      <c r="C1229" s="3">
        <v>187.35179567470999</v>
      </c>
    </row>
    <row r="1230" spans="1:3" ht="13" x14ac:dyDescent="0.15">
      <c r="A1230" s="1">
        <f ca="1">IFERROR(__xludf.DUMMYFUNCTION("""COMPUTED_VALUE"""),44943.6666666666)</f>
        <v>44943.666666666599</v>
      </c>
      <c r="B1230" s="2">
        <f ca="1">IFERROR(__xludf.DUMMYFUNCTION("""COMPUTED_VALUE"""),131.49)</f>
        <v>131.49</v>
      </c>
      <c r="C1230" s="3">
        <v>186.29279504860801</v>
      </c>
    </row>
    <row r="1231" spans="1:3" ht="13" x14ac:dyDescent="0.15">
      <c r="A1231" s="1">
        <f ca="1">IFERROR(__xludf.DUMMYFUNCTION("""COMPUTED_VALUE"""),44944.6666666666)</f>
        <v>44944.666666666599</v>
      </c>
      <c r="B1231" s="2">
        <f ca="1">IFERROR(__xludf.DUMMYFUNCTION("""COMPUTED_VALUE"""),128.78)</f>
        <v>128.78</v>
      </c>
      <c r="C1231" s="3">
        <v>185.766798275626</v>
      </c>
    </row>
    <row r="1232" spans="1:3" ht="13" x14ac:dyDescent="0.15">
      <c r="A1232" s="1">
        <f ca="1">IFERROR(__xludf.DUMMYFUNCTION("""COMPUTED_VALUE"""),44945.6666666666)</f>
        <v>44945.666666666599</v>
      </c>
      <c r="B1232" s="2">
        <f ca="1">IFERROR(__xludf.DUMMYFUNCTION("""COMPUTED_VALUE"""),127.17)</f>
        <v>127.17</v>
      </c>
      <c r="C1232" s="3">
        <v>184.65567773747401</v>
      </c>
    </row>
    <row r="1233" spans="1:3" ht="13" x14ac:dyDescent="0.15">
      <c r="A1233" s="1">
        <f ca="1">IFERROR(__xludf.DUMMYFUNCTION("""COMPUTED_VALUE"""),44946.6666666666)</f>
        <v>44946.666666666599</v>
      </c>
      <c r="B1233" s="2">
        <f ca="1">IFERROR(__xludf.DUMMYFUNCTION("""COMPUTED_VALUE"""),133.42)</f>
        <v>133.41999999999999</v>
      </c>
      <c r="C1233" s="3">
        <v>183.48664686725999</v>
      </c>
    </row>
    <row r="1234" spans="1:3" ht="13" x14ac:dyDescent="0.15">
      <c r="A1234" s="1">
        <f ca="1">IFERROR(__xludf.DUMMYFUNCTION("""COMPUTED_VALUE"""),44949.6666666666)</f>
        <v>44949.666666666599</v>
      </c>
      <c r="B1234" s="2">
        <f ca="1">IFERROR(__xludf.DUMMYFUNCTION("""COMPUTED_VALUE"""),143.75)</f>
        <v>143.75</v>
      </c>
      <c r="C1234" s="3">
        <v>183.53566128756199</v>
      </c>
    </row>
    <row r="1235" spans="1:3" ht="13" x14ac:dyDescent="0.15">
      <c r="A1235" s="1">
        <f ca="1">IFERROR(__xludf.DUMMYFUNCTION("""COMPUTED_VALUE"""),44950.6666666666)</f>
        <v>44950.666666666599</v>
      </c>
      <c r="B1235" s="2">
        <f ca="1">IFERROR(__xludf.DUMMYFUNCTION("""COMPUTED_VALUE"""),143.89)</f>
        <v>143.88999999999999</v>
      </c>
      <c r="C1235" s="3">
        <v>182.07349361105801</v>
      </c>
    </row>
    <row r="1236" spans="1:3" ht="13" x14ac:dyDescent="0.15">
      <c r="A1236" s="1">
        <f ca="1">IFERROR(__xludf.DUMMYFUNCTION("""COMPUTED_VALUE"""),44951.6666666666)</f>
        <v>44951.666666666599</v>
      </c>
      <c r="B1236" s="2">
        <f ca="1">IFERROR(__xludf.DUMMYFUNCTION("""COMPUTED_VALUE"""),144.43)</f>
        <v>144.43</v>
      </c>
      <c r="C1236" s="3">
        <v>181.773353779377</v>
      </c>
    </row>
    <row r="1237" spans="1:3" ht="13" x14ac:dyDescent="0.15">
      <c r="A1237" s="1">
        <f ca="1">IFERROR(__xludf.DUMMYFUNCTION("""COMPUTED_VALUE"""),44952.6666666666)</f>
        <v>44952.666666666599</v>
      </c>
      <c r="B1237" s="2">
        <f ca="1">IFERROR(__xludf.DUMMYFUNCTION("""COMPUTED_VALUE"""),160.27)</f>
        <v>160.27000000000001</v>
      </c>
      <c r="C1237" s="3">
        <v>181.00195510597899</v>
      </c>
    </row>
    <row r="1238" spans="1:3" ht="13" x14ac:dyDescent="0.15">
      <c r="A1238" s="1">
        <f ca="1">IFERROR(__xludf.DUMMYFUNCTION("""COMPUTED_VALUE"""),44953.6666666666)</f>
        <v>44953.666666666599</v>
      </c>
      <c r="B1238" s="2">
        <f ca="1">IFERROR(__xludf.DUMMYFUNCTION("""COMPUTED_VALUE"""),177.9)</f>
        <v>177.9</v>
      </c>
      <c r="C1238" s="3">
        <v>180.273551995861</v>
      </c>
    </row>
    <row r="1239" spans="1:3" ht="13" x14ac:dyDescent="0.15">
      <c r="A1239" s="1">
        <f ca="1">IFERROR(__xludf.DUMMYFUNCTION("""COMPUTED_VALUE"""),44956.6666666666)</f>
        <v>44956.666666666599</v>
      </c>
      <c r="B1239" s="2">
        <f ca="1">IFERROR(__xludf.DUMMYFUNCTION("""COMPUTED_VALUE"""),166.66)</f>
        <v>166.66</v>
      </c>
      <c r="C1239" s="3">
        <v>182.07035207227901</v>
      </c>
    </row>
    <row r="1240" spans="1:3" ht="13" x14ac:dyDescent="0.15">
      <c r="A1240" s="1">
        <f ca="1">IFERROR(__xludf.DUMMYFUNCTION("""COMPUTED_VALUE"""),44957.6666666666)</f>
        <v>44957.666666666599</v>
      </c>
      <c r="B1240" s="2">
        <f ca="1">IFERROR(__xludf.DUMMYFUNCTION("""COMPUTED_VALUE"""),173.22)</f>
        <v>173.22</v>
      </c>
      <c r="C1240" s="3">
        <v>181.25993293092</v>
      </c>
    </row>
    <row r="1241" spans="1:3" ht="13" x14ac:dyDescent="0.15">
      <c r="A1241" s="1">
        <f ca="1">IFERROR(__xludf.DUMMYFUNCTION("""COMPUTED_VALUE"""),44958.6666666666)</f>
        <v>44958.666666666599</v>
      </c>
      <c r="B1241" s="2">
        <f ca="1">IFERROR(__xludf.DUMMYFUNCTION("""COMPUTED_VALUE"""),181.41)</f>
        <v>181.41</v>
      </c>
      <c r="C1241" s="3">
        <v>181.60542897854299</v>
      </c>
    </row>
    <row r="1242" spans="1:3" ht="13" x14ac:dyDescent="0.15">
      <c r="A1242" s="1">
        <f ca="1">IFERROR(__xludf.DUMMYFUNCTION("""COMPUTED_VALUE"""),44959.6666666666)</f>
        <v>44959.666666666599</v>
      </c>
      <c r="B1242" s="2">
        <f ca="1">IFERROR(__xludf.DUMMYFUNCTION("""COMPUTED_VALUE"""),188.27)</f>
        <v>188.27</v>
      </c>
      <c r="C1242" s="3">
        <v>181.44804650225899</v>
      </c>
    </row>
    <row r="1243" spans="1:3" ht="13" x14ac:dyDescent="0.15">
      <c r="A1243" s="1">
        <f ca="1">IFERROR(__xludf.DUMMYFUNCTION("""COMPUTED_VALUE"""),44960.6666666666)</f>
        <v>44960.666666666599</v>
      </c>
      <c r="B1243" s="2">
        <f ca="1">IFERROR(__xludf.DUMMYFUNCTION("""COMPUTED_VALUE"""),189.98)</f>
        <v>189.98</v>
      </c>
      <c r="C1243" s="3">
        <v>181.276843219885</v>
      </c>
    </row>
    <row r="1244" spans="1:3" ht="13" x14ac:dyDescent="0.15">
      <c r="A1244" s="1">
        <f ca="1">IFERROR(__xludf.DUMMYFUNCTION("""COMPUTED_VALUE"""),44963.6666666666)</f>
        <v>44963.666666666599</v>
      </c>
      <c r="B1244" s="2">
        <f ca="1">IFERROR(__xludf.DUMMYFUNCTION("""COMPUTED_VALUE"""),194.76)</f>
        <v>194.76</v>
      </c>
      <c r="C1244" s="3">
        <v>184.17250488069499</v>
      </c>
    </row>
    <row r="1245" spans="1:3" ht="13" x14ac:dyDescent="0.15">
      <c r="A1245" s="1">
        <f ca="1">IFERROR(__xludf.DUMMYFUNCTION("""COMPUTED_VALUE"""),44964.6666666666)</f>
        <v>44964.666666666599</v>
      </c>
      <c r="B1245" s="2">
        <f ca="1">IFERROR(__xludf.DUMMYFUNCTION("""COMPUTED_VALUE"""),196.81)</f>
        <v>196.81</v>
      </c>
      <c r="C1245" s="3">
        <v>183.47170870522899</v>
      </c>
    </row>
    <row r="1246" spans="1:3" ht="13" x14ac:dyDescent="0.15">
      <c r="A1246" s="1">
        <f ca="1">IFERROR(__xludf.DUMMYFUNCTION("""COMPUTED_VALUE"""),44965.6666666666)</f>
        <v>44965.666666666599</v>
      </c>
      <c r="B1246" s="2">
        <f ca="1">IFERROR(__xludf.DUMMYFUNCTION("""COMPUTED_VALUE"""),201.29)</f>
        <v>201.29</v>
      </c>
      <c r="C1246" s="3">
        <v>183.773507233326</v>
      </c>
    </row>
    <row r="1247" spans="1:3" ht="13" x14ac:dyDescent="0.15">
      <c r="A1247" s="1">
        <f ca="1">IFERROR(__xludf.DUMMYFUNCTION("""COMPUTED_VALUE"""),44966.6666666666)</f>
        <v>44966.666666666599</v>
      </c>
      <c r="B1247" s="2">
        <f ca="1">IFERROR(__xludf.DUMMYFUNCTION("""COMPUTED_VALUE"""),207.32)</f>
        <v>207.32</v>
      </c>
      <c r="C1247" s="3">
        <v>183.409885747782</v>
      </c>
    </row>
    <row r="1248" spans="1:3" ht="13" x14ac:dyDescent="0.15">
      <c r="A1248" s="1">
        <f ca="1">IFERROR(__xludf.DUMMYFUNCTION("""COMPUTED_VALUE"""),44967.6666666666)</f>
        <v>44967.666666666599</v>
      </c>
      <c r="B1248" s="2">
        <f ca="1">IFERROR(__xludf.DUMMYFUNCTION("""COMPUTED_VALUE"""),196.89)</f>
        <v>196.89</v>
      </c>
      <c r="C1248" s="3">
        <v>182.86503099933</v>
      </c>
    </row>
    <row r="1249" spans="1:3" ht="13" x14ac:dyDescent="0.15">
      <c r="A1249" s="1">
        <f ca="1">IFERROR(__xludf.DUMMYFUNCTION("""COMPUTED_VALUE"""),44970.6666666666)</f>
        <v>44970.666666666599</v>
      </c>
      <c r="B1249" s="2">
        <f ca="1">IFERROR(__xludf.DUMMYFUNCTION("""COMPUTED_VALUE"""),194.64)</f>
        <v>194.64</v>
      </c>
      <c r="C1249" s="3">
        <v>183.65519652830901</v>
      </c>
    </row>
    <row r="1250" spans="1:3" ht="13" x14ac:dyDescent="0.15">
      <c r="A1250" s="1">
        <f ca="1">IFERROR(__xludf.DUMMYFUNCTION("""COMPUTED_VALUE"""),44971.6666666666)</f>
        <v>44971.666666666599</v>
      </c>
      <c r="B1250" s="2">
        <f ca="1">IFERROR(__xludf.DUMMYFUNCTION("""COMPUTED_VALUE"""),209.25)</f>
        <v>209.25</v>
      </c>
      <c r="C1250" s="3">
        <v>181.95386448706799</v>
      </c>
    </row>
    <row r="1251" spans="1:3" ht="13" x14ac:dyDescent="0.15">
      <c r="A1251" s="1">
        <f ca="1">IFERROR(__xludf.DUMMYFUNCTION("""COMPUTED_VALUE"""),44972.6666666666)</f>
        <v>44972.666666666599</v>
      </c>
      <c r="B1251" s="2">
        <f ca="1">IFERROR(__xludf.DUMMYFUNCTION("""COMPUTED_VALUE"""),214.24)</f>
        <v>214.24</v>
      </c>
      <c r="C1251" s="3">
        <v>181.13131677370899</v>
      </c>
    </row>
    <row r="1252" spans="1:3" ht="13" x14ac:dyDescent="0.15">
      <c r="A1252" s="1">
        <f ca="1">IFERROR(__xludf.DUMMYFUNCTION("""COMPUTED_VALUE"""),44973.6666666666)</f>
        <v>44973.666666666599</v>
      </c>
      <c r="B1252" s="2">
        <f ca="1">IFERROR(__xludf.DUMMYFUNCTION("""COMPUTED_VALUE"""),202.04)</f>
        <v>202.04</v>
      </c>
      <c r="C1252" s="3">
        <v>179.54064074334701</v>
      </c>
    </row>
    <row r="1253" spans="1:3" ht="13" x14ac:dyDescent="0.15">
      <c r="A1253" s="1">
        <f ca="1">IFERROR(__xludf.DUMMYFUNCTION("""COMPUTED_VALUE"""),44974.6666666666)</f>
        <v>44974.666666666599</v>
      </c>
      <c r="B1253" s="2">
        <f ca="1">IFERROR(__xludf.DUMMYFUNCTION("""COMPUTED_VALUE"""),208.31)</f>
        <v>208.31</v>
      </c>
      <c r="C1253" s="3">
        <v>177.69030326104101</v>
      </c>
    </row>
    <row r="1254" spans="1:3" ht="13" x14ac:dyDescent="0.15">
      <c r="A1254" s="1">
        <f ca="1">IFERROR(__xludf.DUMMYFUNCTION("""COMPUTED_VALUE"""),44978.6666666666)</f>
        <v>44978.666666666599</v>
      </c>
      <c r="B1254" s="2">
        <f ca="1">IFERROR(__xludf.DUMMYFUNCTION("""COMPUTED_VALUE"""),197.37)</f>
        <v>197.37</v>
      </c>
      <c r="C1254" s="3">
        <v>171.334013197551</v>
      </c>
    </row>
    <row r="1255" spans="1:3" ht="13" x14ac:dyDescent="0.15">
      <c r="A1255" s="1">
        <f ca="1">IFERROR(__xludf.DUMMYFUNCTION("""COMPUTED_VALUE"""),44979.6666666666)</f>
        <v>44979.666666666599</v>
      </c>
      <c r="B1255" s="2">
        <f ca="1">IFERROR(__xludf.DUMMYFUNCTION("""COMPUTED_VALUE"""),200.86)</f>
        <v>200.86</v>
      </c>
      <c r="C1255" s="3">
        <v>169.243417557703</v>
      </c>
    </row>
    <row r="1256" spans="1:3" ht="13" x14ac:dyDescent="0.15">
      <c r="A1256" s="1">
        <f ca="1">IFERROR(__xludf.DUMMYFUNCTION("""COMPUTED_VALUE"""),44980.6666666666)</f>
        <v>44980.666666666599</v>
      </c>
      <c r="B1256" s="2">
        <f ca="1">IFERROR(__xludf.DUMMYFUNCTION("""COMPUTED_VALUE"""),202.07)</f>
        <v>202.07</v>
      </c>
      <c r="C1256" s="3">
        <v>166.48082580356601</v>
      </c>
    </row>
    <row r="1257" spans="1:3" ht="13" x14ac:dyDescent="0.15">
      <c r="A1257" s="1">
        <f ca="1">IFERROR(__xludf.DUMMYFUNCTION("""COMPUTED_VALUE"""),44981.6666666666)</f>
        <v>44981.666666666599</v>
      </c>
      <c r="B1257" s="2">
        <f ca="1">IFERROR(__xludf.DUMMYFUNCTION("""COMPUTED_VALUE"""),196.88)</f>
        <v>196.88</v>
      </c>
      <c r="C1257" s="3">
        <v>163.581608528321</v>
      </c>
    </row>
    <row r="1258" spans="1:3" ht="13" x14ac:dyDescent="0.15">
      <c r="A1258" s="1">
        <f ca="1">IFERROR(__xludf.DUMMYFUNCTION("""COMPUTED_VALUE"""),44984.6666666666)</f>
        <v>44984.666666666599</v>
      </c>
      <c r="B1258" s="2">
        <f ca="1">IFERROR(__xludf.DUMMYFUNCTION("""COMPUTED_VALUE"""),207.63)</f>
        <v>207.63</v>
      </c>
      <c r="C1258" s="3">
        <v>158.08033798529999</v>
      </c>
    </row>
    <row r="1259" spans="1:3" ht="13" x14ac:dyDescent="0.15">
      <c r="A1259" s="1"/>
      <c r="B1259" s="2"/>
      <c r="C1259" s="3">
        <v>154.69554800478099</v>
      </c>
    </row>
    <row r="1260" spans="1:3" ht="13" x14ac:dyDescent="0.15">
      <c r="A1260" s="1"/>
      <c r="B1260" s="2"/>
      <c r="C1260" s="3">
        <v>152.46467487259699</v>
      </c>
    </row>
    <row r="1261" spans="1:3" ht="13" x14ac:dyDescent="0.15">
      <c r="A1261" s="1"/>
      <c r="B1261" s="2"/>
      <c r="C1261" s="3">
        <v>149.77358662031801</v>
      </c>
    </row>
    <row r="1262" spans="1:3" ht="13" x14ac:dyDescent="0.15">
      <c r="A1262" s="1"/>
      <c r="B1262" s="2"/>
      <c r="C1262" s="3">
        <v>147.15684345031599</v>
      </c>
    </row>
    <row r="1263" spans="1:3" ht="13" x14ac:dyDescent="0.15">
      <c r="A1263" s="1"/>
      <c r="B1263" s="2"/>
      <c r="C1263" s="3">
        <v>143.187285375215</v>
      </c>
    </row>
    <row r="1264" spans="1:3" ht="13" x14ac:dyDescent="0.15">
      <c r="A1264" s="1"/>
      <c r="B1264" s="2"/>
      <c r="C1264" s="3">
        <v>141.41078405809</v>
      </c>
    </row>
    <row r="1265" spans="1:3" ht="13" x14ac:dyDescent="0.15">
      <c r="A1265" s="1"/>
      <c r="B1265" s="2"/>
      <c r="C1265" s="3">
        <v>143.69041023153201</v>
      </c>
    </row>
    <row r="1266" spans="1:3" ht="13" x14ac:dyDescent="0.15">
      <c r="A1266" s="1"/>
      <c r="B1266" s="2"/>
      <c r="C1266" s="3">
        <v>141.33182333497501</v>
      </c>
    </row>
    <row r="1267" spans="1:3" ht="13" x14ac:dyDescent="0.15">
      <c r="A1267" s="1"/>
      <c r="B1267" s="2"/>
      <c r="C1267" s="3">
        <v>140.26766270056899</v>
      </c>
    </row>
    <row r="1268" spans="1:3" ht="13" x14ac:dyDescent="0.15">
      <c r="A1268" s="1"/>
      <c r="B1268" s="2"/>
      <c r="C1268" s="3">
        <v>138.859101875676</v>
      </c>
    </row>
    <row r="1269" spans="1:3" ht="13" x14ac:dyDescent="0.15">
      <c r="A1269" s="1"/>
      <c r="B1269" s="2"/>
      <c r="C1269" s="3">
        <v>137.613791091309</v>
      </c>
    </row>
    <row r="1270" spans="1:3" ht="13" x14ac:dyDescent="0.15">
      <c r="A1270" s="1"/>
      <c r="B1270" s="2"/>
      <c r="C1270" s="3">
        <v>135.076136912198</v>
      </c>
    </row>
    <row r="1271" spans="1:3" ht="13" x14ac:dyDescent="0.15">
      <c r="A1271" s="1"/>
      <c r="B1271" s="2"/>
      <c r="C1271" s="3">
        <v>134.76277648291301</v>
      </c>
    </row>
    <row r="1272" spans="1:3" ht="13" x14ac:dyDescent="0.15">
      <c r="A1272" s="1"/>
      <c r="B1272" s="2"/>
      <c r="C1272" s="3">
        <v>138.50747776762</v>
      </c>
    </row>
    <row r="1273" spans="1:3" ht="13" x14ac:dyDescent="0.15">
      <c r="A1273" s="1"/>
      <c r="B1273" s="2"/>
      <c r="C1273" s="3">
        <v>137.58725235068201</v>
      </c>
    </row>
    <row r="1274" spans="1:3" ht="13" x14ac:dyDescent="0.15">
      <c r="A1274" s="1"/>
      <c r="B1274" s="2"/>
      <c r="C1274" s="3">
        <v>137.90744053485901</v>
      </c>
    </row>
    <row r="1275" spans="1:3" ht="13" x14ac:dyDescent="0.15">
      <c r="A1275" s="1"/>
      <c r="B1275" s="2"/>
      <c r="C1275" s="3">
        <v>137.803911760419</v>
      </c>
    </row>
    <row r="1276" spans="1:3" ht="13" x14ac:dyDescent="0.15">
      <c r="A1276" s="1"/>
      <c r="B1276" s="2"/>
      <c r="C1276" s="3">
        <v>137.76158833640099</v>
      </c>
    </row>
    <row r="1277" spans="1:3" ht="13" x14ac:dyDescent="0.15">
      <c r="A1277" s="1"/>
      <c r="B1277" s="2"/>
      <c r="C1277" s="3">
        <v>136.30522651719099</v>
      </c>
    </row>
    <row r="1278" spans="1:3" ht="13" x14ac:dyDescent="0.15">
      <c r="A1278" s="1"/>
      <c r="B1278" s="2"/>
      <c r="C1278" s="3">
        <v>136.93529976009799</v>
      </c>
    </row>
    <row r="1279" spans="1:3" ht="13" x14ac:dyDescent="0.15">
      <c r="A1279" s="1"/>
      <c r="B1279" s="2"/>
      <c r="C1279" s="3">
        <v>141.47320574108801</v>
      </c>
    </row>
    <row r="1280" spans="1:3" ht="13" x14ac:dyDescent="0.15">
      <c r="A1280" s="1"/>
      <c r="B1280" s="2"/>
      <c r="C1280" s="3">
        <v>141.187576887115</v>
      </c>
    </row>
    <row r="1281" spans="1:3" ht="13" x14ac:dyDescent="0.15">
      <c r="A1281" s="1"/>
      <c r="B1281" s="2"/>
      <c r="C1281" s="3">
        <v>141.97945052852899</v>
      </c>
    </row>
    <row r="1282" spans="1:3" ht="13" x14ac:dyDescent="0.15">
      <c r="A1282" s="1"/>
      <c r="B1282" s="2"/>
      <c r="C1282" s="3">
        <v>142.184441308457</v>
      </c>
    </row>
    <row r="1283" spans="1:3" ht="13" x14ac:dyDescent="0.15">
      <c r="A1283" s="1"/>
      <c r="B1283" s="2"/>
      <c r="C1283" s="3">
        <v>142.291126677964</v>
      </c>
    </row>
    <row r="1284" spans="1:3" ht="13" x14ac:dyDescent="0.15">
      <c r="A1284" s="1"/>
      <c r="B1284" s="2"/>
      <c r="C1284" s="3">
        <v>140.83158545506899</v>
      </c>
    </row>
    <row r="1285" spans="1:3" ht="13" x14ac:dyDescent="0.15">
      <c r="A1285" s="1"/>
      <c r="B1285" s="2"/>
      <c r="C1285" s="3">
        <v>141.31694313126999</v>
      </c>
    </row>
    <row r="1286" spans="1:3" ht="13" x14ac:dyDescent="0.15">
      <c r="A1286" s="1"/>
      <c r="B1286" s="2"/>
      <c r="C1286" s="3">
        <v>145.58215696549601</v>
      </c>
    </row>
    <row r="1287" spans="1:3" ht="13" x14ac:dyDescent="0.15">
      <c r="A1287" s="1"/>
      <c r="B1287" s="2"/>
      <c r="C1287" s="3">
        <v>144.91183434151401</v>
      </c>
    </row>
    <row r="1288" spans="1:3" ht="13" x14ac:dyDescent="0.15">
      <c r="A1288" s="1"/>
      <c r="B1288" s="2"/>
      <c r="C1288" s="3">
        <v>145.22485604062001</v>
      </c>
    </row>
    <row r="1289" spans="1:3" ht="13" x14ac:dyDescent="0.15">
      <c r="A1289" s="1"/>
      <c r="B1289" s="2"/>
      <c r="C1289" s="3">
        <v>144.87596397411599</v>
      </c>
    </row>
    <row r="1290" spans="1:3" ht="13" x14ac:dyDescent="0.15">
      <c r="A1290" s="1"/>
      <c r="B1290" s="2"/>
      <c r="C1290" s="3"/>
    </row>
    <row r="1291" spans="1:3" ht="13" x14ac:dyDescent="0.15">
      <c r="A1291" s="1"/>
      <c r="B1291" s="2"/>
      <c r="C1291" s="3"/>
    </row>
    <row r="1292" spans="1:3" ht="13" x14ac:dyDescent="0.15">
      <c r="A1292" s="1"/>
      <c r="B1292" s="2"/>
      <c r="C1292" s="5"/>
    </row>
    <row r="1293" spans="1:3" ht="13" x14ac:dyDescent="0.15">
      <c r="A1293" s="1"/>
      <c r="B1293" s="2"/>
      <c r="C1293" s="5"/>
    </row>
    <row r="1294" spans="1:3" ht="13" x14ac:dyDescent="0.15">
      <c r="A1294" s="1"/>
      <c r="B1294" s="2"/>
      <c r="C1294" s="5"/>
    </row>
    <row r="1295" spans="1:3" ht="13" x14ac:dyDescent="0.15">
      <c r="A1295" s="1"/>
      <c r="B1295" s="2"/>
      <c r="C1295" s="5"/>
    </row>
    <row r="1296" spans="1:3" ht="13" x14ac:dyDescent="0.15">
      <c r="A1296" s="1"/>
      <c r="B1296" s="2"/>
      <c r="C1296" s="5"/>
    </row>
    <row r="1297" spans="1:3" ht="13" x14ac:dyDescent="0.15">
      <c r="A1297" s="1"/>
      <c r="B1297" s="2"/>
      <c r="C1297" s="5"/>
    </row>
    <row r="1298" spans="1:3" ht="13" x14ac:dyDescent="0.15">
      <c r="A1298" s="1"/>
      <c r="B1298" s="2"/>
      <c r="C1298" s="5"/>
    </row>
    <row r="1299" spans="1:3" ht="13" x14ac:dyDescent="0.15">
      <c r="A1299" s="1"/>
      <c r="B1299" s="2"/>
      <c r="C1299" s="5"/>
    </row>
    <row r="1300" spans="1:3" ht="13" x14ac:dyDescent="0.15">
      <c r="A1300" s="1"/>
      <c r="B1300" s="2"/>
      <c r="C1300" s="5"/>
    </row>
    <row r="1301" spans="1:3" ht="13" x14ac:dyDescent="0.15">
      <c r="A1301" s="1"/>
      <c r="B1301" s="2"/>
      <c r="C1301" s="5"/>
    </row>
    <row r="1302" spans="1:3" ht="13" x14ac:dyDescent="0.15">
      <c r="A1302" s="1"/>
      <c r="B1302" s="2"/>
      <c r="C1302" s="5"/>
    </row>
    <row r="1303" spans="1:3" ht="13" x14ac:dyDescent="0.15">
      <c r="A1303" s="1"/>
      <c r="B1303" s="2"/>
      <c r="C1303" s="5"/>
    </row>
    <row r="1304" spans="1:3" ht="13" x14ac:dyDescent="0.15">
      <c r="A1304" s="1"/>
      <c r="B1304" s="2"/>
      <c r="C1304" s="5"/>
    </row>
    <row r="1305" spans="1:3" ht="13" x14ac:dyDescent="0.15">
      <c r="A1305" s="1"/>
      <c r="B1305" s="2"/>
      <c r="C1305" s="5"/>
    </row>
    <row r="1306" spans="1:3" ht="13" x14ac:dyDescent="0.15">
      <c r="A1306" s="1"/>
      <c r="B1306" s="2"/>
      <c r="C1306" s="5"/>
    </row>
    <row r="1307" spans="1:3" ht="13" x14ac:dyDescent="0.15">
      <c r="A1307" s="1"/>
      <c r="B1307" s="2"/>
      <c r="C1307" s="5"/>
    </row>
    <row r="1308" spans="1:3" ht="13" x14ac:dyDescent="0.15">
      <c r="A1308" s="1"/>
      <c r="B1308" s="2"/>
      <c r="C1308" s="5"/>
    </row>
    <row r="1309" spans="1:3" ht="13" x14ac:dyDescent="0.15">
      <c r="A1309" s="1"/>
      <c r="B1309" s="2"/>
      <c r="C1309" s="5"/>
    </row>
    <row r="1310" spans="1:3" ht="13" x14ac:dyDescent="0.15">
      <c r="A1310" s="1"/>
      <c r="B1310" s="2"/>
      <c r="C1310" s="5"/>
    </row>
    <row r="1311" spans="1:3" ht="13" x14ac:dyDescent="0.15">
      <c r="A1311" s="1"/>
      <c r="B1311" s="2"/>
      <c r="C1311" s="5"/>
    </row>
    <row r="1312" spans="1:3" ht="13" x14ac:dyDescent="0.15">
      <c r="A1312" s="1"/>
      <c r="B1312" s="2"/>
      <c r="C1312" s="5"/>
    </row>
    <row r="1313" spans="1:3" ht="13" x14ac:dyDescent="0.15">
      <c r="A1313" s="1"/>
      <c r="B1313" s="2"/>
      <c r="C1313" s="5"/>
    </row>
    <row r="1314" spans="1:3" ht="13" x14ac:dyDescent="0.15">
      <c r="A1314" s="1"/>
      <c r="B1314" s="2"/>
      <c r="C1314" s="5"/>
    </row>
    <row r="1315" spans="1:3" ht="13" x14ac:dyDescent="0.15">
      <c r="A1315" s="1"/>
      <c r="B1315" s="2"/>
      <c r="C1315" s="5"/>
    </row>
    <row r="1316" spans="1:3" ht="13" x14ac:dyDescent="0.15">
      <c r="A1316" s="1"/>
      <c r="B1316" s="2"/>
      <c r="C1316" s="5"/>
    </row>
    <row r="1317" spans="1:3" ht="13" x14ac:dyDescent="0.15">
      <c r="A1317" s="1"/>
      <c r="B1317" s="2"/>
      <c r="C1317" s="5"/>
    </row>
    <row r="1318" spans="1:3" ht="13" x14ac:dyDescent="0.15">
      <c r="A1318" s="1"/>
      <c r="B1318" s="2"/>
      <c r="C1318" s="5"/>
    </row>
    <row r="1319" spans="1:3" ht="13" x14ac:dyDescent="0.15">
      <c r="A1319" s="1"/>
      <c r="B1319" s="2"/>
      <c r="C1319" s="5"/>
    </row>
    <row r="1320" spans="1:3" ht="13" x14ac:dyDescent="0.15">
      <c r="A1320" s="1"/>
      <c r="B1320" s="2"/>
      <c r="C1320" s="5"/>
    </row>
    <row r="1321" spans="1:3" ht="13" x14ac:dyDescent="0.15">
      <c r="A1321" s="1"/>
      <c r="B1321" s="2"/>
      <c r="C1321" s="5"/>
    </row>
    <row r="1322" spans="1:3" ht="13" x14ac:dyDescent="0.15">
      <c r="A1322" s="1"/>
      <c r="B1322" s="2"/>
      <c r="C1322" s="5"/>
    </row>
    <row r="1323" spans="1:3" ht="13" x14ac:dyDescent="0.15">
      <c r="A1323" s="1"/>
      <c r="B1323" s="2"/>
      <c r="C1323" s="5"/>
    </row>
    <row r="1324" spans="1:3" ht="13" x14ac:dyDescent="0.15">
      <c r="A1324" s="1"/>
      <c r="B1324" s="2"/>
      <c r="C1324" s="5"/>
    </row>
    <row r="1325" spans="1:3" ht="13" x14ac:dyDescent="0.15">
      <c r="A1325" s="1"/>
      <c r="B1325" s="2"/>
      <c r="C1325" s="5"/>
    </row>
    <row r="1326" spans="1:3" ht="13" x14ac:dyDescent="0.15">
      <c r="A1326" s="1"/>
      <c r="B1326" s="2"/>
      <c r="C1326" s="5"/>
    </row>
    <row r="1327" spans="1:3" ht="13" x14ac:dyDescent="0.15">
      <c r="A1327" s="1"/>
      <c r="B1327" s="2"/>
      <c r="C1327" s="5"/>
    </row>
    <row r="1328" spans="1:3" ht="13" x14ac:dyDescent="0.15">
      <c r="A1328" s="1"/>
      <c r="B1328" s="2"/>
      <c r="C1328" s="5"/>
    </row>
    <row r="1329" spans="1:3" ht="13" x14ac:dyDescent="0.15">
      <c r="A1329" s="1"/>
      <c r="B1329" s="2"/>
      <c r="C1329" s="5"/>
    </row>
    <row r="1330" spans="1:3" ht="13" x14ac:dyDescent="0.15">
      <c r="A1330" s="1"/>
      <c r="B1330" s="2"/>
      <c r="C1330" s="5"/>
    </row>
    <row r="1331" spans="1:3" ht="13" x14ac:dyDescent="0.15">
      <c r="A1331" s="1"/>
      <c r="B1331" s="2"/>
      <c r="C1331" s="5"/>
    </row>
    <row r="1332" spans="1:3" ht="13" x14ac:dyDescent="0.15">
      <c r="A1332" s="1"/>
      <c r="B1332" s="2"/>
      <c r="C1332" s="5"/>
    </row>
    <row r="1333" spans="1:3" ht="13" x14ac:dyDescent="0.15">
      <c r="A1333" s="1"/>
      <c r="B1333" s="2"/>
      <c r="C1333" s="5"/>
    </row>
    <row r="1334" spans="1:3" ht="13" x14ac:dyDescent="0.15">
      <c r="A1334" s="1"/>
      <c r="B1334" s="2"/>
      <c r="C1334" s="5"/>
    </row>
    <row r="1335" spans="1:3" ht="13" x14ac:dyDescent="0.15">
      <c r="A1335" s="1"/>
      <c r="B1335" s="2"/>
      <c r="C1335" s="5"/>
    </row>
    <row r="1336" spans="1:3" ht="13" x14ac:dyDescent="0.15">
      <c r="A1336" s="1"/>
      <c r="B1336" s="2"/>
      <c r="C1336" s="5"/>
    </row>
    <row r="1337" spans="1:3" ht="13" x14ac:dyDescent="0.15">
      <c r="A1337" s="1"/>
      <c r="B1337" s="2"/>
      <c r="C1337" s="5"/>
    </row>
    <row r="1338" spans="1:3" ht="13" x14ac:dyDescent="0.15">
      <c r="A1338" s="1"/>
      <c r="B1338" s="2"/>
      <c r="C1338" s="5"/>
    </row>
    <row r="1339" spans="1:3" ht="13" x14ac:dyDescent="0.15">
      <c r="A1339" s="1"/>
      <c r="B1339" s="2"/>
      <c r="C1339" s="5"/>
    </row>
    <row r="1340" spans="1:3" ht="13" x14ac:dyDescent="0.15">
      <c r="A1340" s="1"/>
      <c r="B1340" s="2"/>
      <c r="C1340" s="5"/>
    </row>
    <row r="1341" spans="1:3" ht="13" x14ac:dyDescent="0.15">
      <c r="A1341" s="1"/>
      <c r="B1341" s="2"/>
      <c r="C1341" s="5"/>
    </row>
    <row r="1342" spans="1:3" ht="13" x14ac:dyDescent="0.15">
      <c r="A1342" s="1"/>
      <c r="B1342" s="2"/>
      <c r="C1342" s="5"/>
    </row>
    <row r="1343" spans="1:3" ht="13" x14ac:dyDescent="0.15">
      <c r="A1343" s="1"/>
      <c r="B1343" s="2"/>
      <c r="C1343" s="5"/>
    </row>
    <row r="1344" spans="1:3" ht="13" x14ac:dyDescent="0.15">
      <c r="A1344" s="1"/>
      <c r="B1344" s="2"/>
      <c r="C1344" s="5"/>
    </row>
    <row r="1345" spans="1:3" ht="13" x14ac:dyDescent="0.15">
      <c r="A1345" s="1"/>
      <c r="B1345" s="2"/>
      <c r="C1345" s="5"/>
    </row>
    <row r="1346" spans="1:3" ht="13" x14ac:dyDescent="0.15">
      <c r="A1346" s="1"/>
      <c r="B1346" s="2"/>
      <c r="C1346" s="5"/>
    </row>
    <row r="1347" spans="1:3" ht="13" x14ac:dyDescent="0.15">
      <c r="A1347" s="1"/>
      <c r="B1347" s="2"/>
      <c r="C1347" s="5"/>
    </row>
    <row r="1348" spans="1:3" ht="13" x14ac:dyDescent="0.15">
      <c r="A1348" s="1"/>
      <c r="B1348" s="2"/>
      <c r="C1348" s="5"/>
    </row>
    <row r="1349" spans="1:3" ht="13" x14ac:dyDescent="0.15">
      <c r="A1349" s="1"/>
      <c r="B1349" s="2"/>
      <c r="C1349" s="5"/>
    </row>
    <row r="1350" spans="1:3" ht="13" x14ac:dyDescent="0.15">
      <c r="A1350" s="1"/>
      <c r="B1350" s="2"/>
      <c r="C1350" s="5"/>
    </row>
    <row r="1351" spans="1:3" ht="13" x14ac:dyDescent="0.15">
      <c r="A1351" s="1"/>
      <c r="B1351" s="2"/>
      <c r="C1351" s="5"/>
    </row>
    <row r="1352" spans="1:3" ht="13" x14ac:dyDescent="0.15">
      <c r="A1352" s="1"/>
      <c r="B1352" s="2"/>
      <c r="C1352" s="5"/>
    </row>
    <row r="1353" spans="1:3" ht="13" x14ac:dyDescent="0.15">
      <c r="A1353" s="1"/>
      <c r="B1353" s="2"/>
      <c r="C1353" s="5"/>
    </row>
    <row r="1354" spans="1:3" ht="13" x14ac:dyDescent="0.15">
      <c r="A1354" s="1"/>
      <c r="B1354" s="2"/>
      <c r="C1354" s="5"/>
    </row>
    <row r="1355" spans="1:3" ht="13" x14ac:dyDescent="0.15">
      <c r="A1355" s="1"/>
      <c r="B1355" s="2"/>
      <c r="C1355" s="5"/>
    </row>
    <row r="1356" spans="1:3" ht="13" x14ac:dyDescent="0.15">
      <c r="A1356" s="1"/>
      <c r="B1356" s="2"/>
      <c r="C1356" s="5"/>
    </row>
    <row r="1357" spans="1:3" ht="13" x14ac:dyDescent="0.15">
      <c r="A1357" s="1"/>
      <c r="B1357" s="2"/>
      <c r="C1357" s="5"/>
    </row>
    <row r="1358" spans="1:3" ht="13" x14ac:dyDescent="0.15">
      <c r="A1358" s="1"/>
      <c r="B1358" s="2"/>
      <c r="C1358" s="5"/>
    </row>
    <row r="1359" spans="1:3" ht="13" x14ac:dyDescent="0.15">
      <c r="A1359" s="1"/>
      <c r="B1359" s="2"/>
      <c r="C1359" s="5"/>
    </row>
    <row r="1360" spans="1:3" ht="13" x14ac:dyDescent="0.15">
      <c r="A1360" s="1"/>
      <c r="B1360" s="2"/>
      <c r="C1360" s="5"/>
    </row>
    <row r="1361" spans="1:3" ht="13" x14ac:dyDescent="0.15">
      <c r="A1361" s="1"/>
      <c r="B1361" s="2"/>
      <c r="C1361" s="5"/>
    </row>
    <row r="1362" spans="1:3" ht="13" x14ac:dyDescent="0.15">
      <c r="A1362" s="1"/>
      <c r="B1362" s="2"/>
      <c r="C1362" s="5"/>
    </row>
    <row r="1363" spans="1:3" ht="13" x14ac:dyDescent="0.15">
      <c r="A1363" s="1"/>
      <c r="B1363" s="2"/>
      <c r="C1363" s="5"/>
    </row>
    <row r="1364" spans="1:3" ht="13" x14ac:dyDescent="0.15">
      <c r="A1364" s="1"/>
      <c r="B1364" s="2"/>
      <c r="C1364" s="5"/>
    </row>
    <row r="1365" spans="1:3" ht="13" x14ac:dyDescent="0.15">
      <c r="A1365" s="1"/>
      <c r="B1365" s="2"/>
      <c r="C1365" s="5"/>
    </row>
    <row r="1366" spans="1:3" ht="13" x14ac:dyDescent="0.15">
      <c r="A1366" s="1"/>
      <c r="B1366" s="2"/>
      <c r="C1366" s="5"/>
    </row>
    <row r="1367" spans="1:3" ht="13" x14ac:dyDescent="0.15">
      <c r="A1367" s="1"/>
      <c r="B1367" s="2"/>
      <c r="C1367" s="5"/>
    </row>
    <row r="1368" spans="1:3" ht="13" x14ac:dyDescent="0.15">
      <c r="A1368" s="1"/>
      <c r="B1368" s="2"/>
      <c r="C1368" s="5"/>
    </row>
    <row r="1369" spans="1:3" ht="13" x14ac:dyDescent="0.15">
      <c r="A1369" s="1"/>
      <c r="B1369" s="2"/>
      <c r="C1369" s="5"/>
    </row>
    <row r="1370" spans="1:3" ht="13" x14ac:dyDescent="0.15">
      <c r="A1370" s="1"/>
      <c r="B1370" s="2"/>
      <c r="C1370" s="5"/>
    </row>
    <row r="1371" spans="1:3" ht="13" x14ac:dyDescent="0.15">
      <c r="A1371" s="1"/>
      <c r="B1371" s="2"/>
      <c r="C1371" s="5"/>
    </row>
    <row r="1372" spans="1:3" ht="13" x14ac:dyDescent="0.15">
      <c r="A1372" s="1"/>
      <c r="B1372" s="2"/>
      <c r="C1372" s="5"/>
    </row>
    <row r="1373" spans="1:3" ht="13" x14ac:dyDescent="0.15">
      <c r="A1373" s="1"/>
      <c r="B1373" s="2"/>
      <c r="C1373" s="5"/>
    </row>
    <row r="1374" spans="1:3" ht="13" x14ac:dyDescent="0.15">
      <c r="A1374" s="1"/>
      <c r="B1374" s="2"/>
      <c r="C1374" s="5"/>
    </row>
    <row r="1375" spans="1:3" ht="13" x14ac:dyDescent="0.15">
      <c r="A1375" s="1"/>
      <c r="B1375" s="2"/>
      <c r="C1375" s="5"/>
    </row>
    <row r="1376" spans="1:3" ht="13" x14ac:dyDescent="0.15">
      <c r="A1376" s="1"/>
      <c r="B1376" s="2"/>
      <c r="C1376" s="5"/>
    </row>
    <row r="1377" spans="1:3" ht="13" x14ac:dyDescent="0.15">
      <c r="A1377" s="1"/>
      <c r="B1377" s="2"/>
      <c r="C1377" s="5"/>
    </row>
    <row r="1378" spans="1:3" ht="13" x14ac:dyDescent="0.15">
      <c r="A1378" s="1"/>
      <c r="B1378" s="2"/>
      <c r="C1378" s="5"/>
    </row>
    <row r="1379" spans="1:3" ht="13" x14ac:dyDescent="0.15">
      <c r="A1379" s="1"/>
      <c r="B1379" s="2"/>
      <c r="C1379" s="5"/>
    </row>
    <row r="1380" spans="1:3" ht="13" x14ac:dyDescent="0.15">
      <c r="A1380" s="1"/>
      <c r="B1380" s="2"/>
      <c r="C1380" s="5"/>
    </row>
    <row r="1381" spans="1:3" ht="13" x14ac:dyDescent="0.15">
      <c r="A1381" s="1"/>
      <c r="B1381" s="2"/>
      <c r="C1381" s="5"/>
    </row>
    <row r="1382" spans="1:3" ht="13" x14ac:dyDescent="0.15">
      <c r="A1382" s="1"/>
      <c r="B1382" s="2"/>
      <c r="C1382" s="5"/>
    </row>
    <row r="1383" spans="1:3" ht="13" x14ac:dyDescent="0.15">
      <c r="A1383" s="1"/>
      <c r="B1383" s="2"/>
      <c r="C1383" s="5"/>
    </row>
    <row r="1384" spans="1:3" ht="13" x14ac:dyDescent="0.15">
      <c r="A1384" s="1"/>
      <c r="B1384" s="2"/>
      <c r="C1384" s="5"/>
    </row>
    <row r="1385" spans="1:3" ht="13" x14ac:dyDescent="0.15">
      <c r="A1385" s="1"/>
      <c r="B1385" s="2"/>
      <c r="C1385" s="5"/>
    </row>
    <row r="1386" spans="1:3" ht="13" x14ac:dyDescent="0.15">
      <c r="A1386" s="1"/>
      <c r="B1386" s="2"/>
      <c r="C1386" s="5"/>
    </row>
    <row r="1387" spans="1:3" ht="13" x14ac:dyDescent="0.15">
      <c r="A1387" s="1"/>
      <c r="B1387" s="2"/>
      <c r="C1387" s="5"/>
    </row>
    <row r="1388" spans="1:3" ht="13" x14ac:dyDescent="0.15">
      <c r="A1388" s="1"/>
      <c r="B1388" s="2"/>
      <c r="C1388" s="5"/>
    </row>
    <row r="1389" spans="1:3" ht="13" x14ac:dyDescent="0.15">
      <c r="A1389" s="1"/>
      <c r="B1389" s="2"/>
      <c r="C1389" s="5"/>
    </row>
    <row r="1390" spans="1:3" ht="13" x14ac:dyDescent="0.15">
      <c r="A1390" s="1"/>
      <c r="B1390" s="2"/>
      <c r="C1390" s="5"/>
    </row>
    <row r="1391" spans="1:3" ht="13" x14ac:dyDescent="0.15">
      <c r="A1391" s="1"/>
      <c r="B1391" s="2"/>
      <c r="C1391" s="5"/>
    </row>
    <row r="1392" spans="1:3" ht="13" x14ac:dyDescent="0.15">
      <c r="A1392" s="1"/>
      <c r="B1392" s="2"/>
      <c r="C1392" s="5"/>
    </row>
    <row r="1393" spans="1:3" ht="13" x14ac:dyDescent="0.15">
      <c r="A1393" s="1"/>
      <c r="B1393" s="2"/>
      <c r="C1393" s="5"/>
    </row>
    <row r="1394" spans="1:3" ht="13" x14ac:dyDescent="0.15">
      <c r="A1394" s="1"/>
      <c r="B1394" s="2"/>
      <c r="C1394" s="5"/>
    </row>
    <row r="1395" spans="1:3" ht="13" x14ac:dyDescent="0.15">
      <c r="A1395" s="1"/>
      <c r="B1395" s="2"/>
      <c r="C1395" s="5"/>
    </row>
    <row r="1396" spans="1:3" ht="13" x14ac:dyDescent="0.15">
      <c r="A1396" s="1"/>
      <c r="B1396" s="2"/>
      <c r="C1396" s="5"/>
    </row>
    <row r="1397" spans="1:3" ht="13" x14ac:dyDescent="0.15">
      <c r="A1397" s="1"/>
      <c r="B1397" s="2"/>
      <c r="C1397" s="5"/>
    </row>
    <row r="1398" spans="1:3" ht="13" x14ac:dyDescent="0.15">
      <c r="A1398" s="1"/>
      <c r="B1398" s="2"/>
      <c r="C1398" s="5"/>
    </row>
    <row r="1399" spans="1:3" ht="13" x14ac:dyDescent="0.15">
      <c r="A1399" s="1"/>
      <c r="B1399" s="2"/>
      <c r="C1399" s="5"/>
    </row>
    <row r="1400" spans="1:3" ht="13" x14ac:dyDescent="0.15">
      <c r="A1400" s="1"/>
      <c r="B1400" s="2"/>
      <c r="C1400" s="5"/>
    </row>
    <row r="1401" spans="1:3" ht="13" x14ac:dyDescent="0.15">
      <c r="A1401" s="1"/>
      <c r="B1401" s="2"/>
      <c r="C1401" s="5"/>
    </row>
    <row r="1402" spans="1:3" ht="13" x14ac:dyDescent="0.15">
      <c r="A1402" s="1"/>
      <c r="B1402" s="2"/>
      <c r="C1402" s="5"/>
    </row>
    <row r="1403" spans="1:3" ht="13" x14ac:dyDescent="0.15">
      <c r="A1403" s="1"/>
      <c r="B1403" s="2"/>
      <c r="C1403" s="5"/>
    </row>
    <row r="1404" spans="1:3" ht="13" x14ac:dyDescent="0.15">
      <c r="A1404" s="1"/>
      <c r="B1404" s="2"/>
      <c r="C1404" s="5"/>
    </row>
    <row r="1405" spans="1:3" ht="13" x14ac:dyDescent="0.15">
      <c r="A1405" s="1"/>
      <c r="B1405" s="2"/>
      <c r="C1405" s="5"/>
    </row>
    <row r="1406" spans="1:3" ht="13" x14ac:dyDescent="0.15">
      <c r="A1406" s="1"/>
      <c r="B1406" s="2"/>
      <c r="C1406" s="5"/>
    </row>
    <row r="1407" spans="1:3" ht="13" x14ac:dyDescent="0.15">
      <c r="A1407" s="1"/>
      <c r="B1407" s="2"/>
      <c r="C1407" s="5"/>
    </row>
    <row r="1408" spans="1:3" ht="13" x14ac:dyDescent="0.15">
      <c r="A1408" s="1"/>
      <c r="B1408" s="2"/>
      <c r="C1408" s="5"/>
    </row>
    <row r="1409" spans="1:3" ht="13" x14ac:dyDescent="0.15">
      <c r="A1409" s="1"/>
      <c r="B1409" s="2"/>
      <c r="C1409" s="5"/>
    </row>
    <row r="1410" spans="1:3" ht="13" x14ac:dyDescent="0.15">
      <c r="A1410" s="1"/>
      <c r="B1410" s="2"/>
      <c r="C1410" s="5"/>
    </row>
    <row r="1411" spans="1:3" ht="13" x14ac:dyDescent="0.15">
      <c r="A1411" s="1"/>
      <c r="B1411" s="2"/>
      <c r="C1411" s="5"/>
    </row>
    <row r="1412" spans="1:3" ht="13" x14ac:dyDescent="0.15">
      <c r="A1412" s="1"/>
      <c r="B1412" s="2"/>
      <c r="C1412" s="5"/>
    </row>
    <row r="1413" spans="1:3" ht="13" x14ac:dyDescent="0.15">
      <c r="A1413" s="1"/>
      <c r="B1413" s="2"/>
      <c r="C1413" s="5"/>
    </row>
    <row r="1414" spans="1:3" ht="13" x14ac:dyDescent="0.15">
      <c r="A1414" s="1"/>
      <c r="B1414" s="2"/>
      <c r="C1414" s="5"/>
    </row>
    <row r="1415" spans="1:3" ht="13" x14ac:dyDescent="0.15">
      <c r="A1415" s="1"/>
      <c r="B1415" s="2"/>
      <c r="C1415" s="5"/>
    </row>
    <row r="1416" spans="1:3" ht="13" x14ac:dyDescent="0.15">
      <c r="A1416" s="1"/>
      <c r="B1416" s="2"/>
      <c r="C1416" s="5"/>
    </row>
    <row r="1417" spans="1:3" ht="13" x14ac:dyDescent="0.15">
      <c r="A1417" s="1"/>
      <c r="B1417" s="2"/>
      <c r="C1417" s="5"/>
    </row>
    <row r="1418" spans="1:3" ht="13" x14ac:dyDescent="0.15">
      <c r="A1418" s="1"/>
      <c r="B1418" s="2"/>
      <c r="C1418" s="5"/>
    </row>
    <row r="1419" spans="1:3" ht="13" x14ac:dyDescent="0.15">
      <c r="A1419" s="1"/>
      <c r="B1419" s="2"/>
      <c r="C1419" s="5"/>
    </row>
    <row r="1420" spans="1:3" ht="13" x14ac:dyDescent="0.15">
      <c r="A1420" s="1"/>
      <c r="B1420" s="2"/>
      <c r="C1420" s="5"/>
    </row>
    <row r="1421" spans="1:3" ht="13" x14ac:dyDescent="0.15">
      <c r="A1421" s="1"/>
      <c r="B1421" s="2"/>
      <c r="C1421" s="5"/>
    </row>
    <row r="1422" spans="1:3" ht="13" x14ac:dyDescent="0.15">
      <c r="A1422" s="1"/>
      <c r="B1422" s="2"/>
      <c r="C1422" s="5"/>
    </row>
    <row r="1423" spans="1:3" ht="13" x14ac:dyDescent="0.15">
      <c r="A1423" s="1"/>
      <c r="B1423" s="2"/>
      <c r="C1423" s="5"/>
    </row>
    <row r="1424" spans="1:3" ht="13" x14ac:dyDescent="0.15">
      <c r="A1424" s="1"/>
      <c r="B1424" s="2"/>
      <c r="C1424" s="5"/>
    </row>
    <row r="1425" spans="1:3" ht="13" x14ac:dyDescent="0.15">
      <c r="A1425" s="1"/>
      <c r="B1425" s="2"/>
      <c r="C1425" s="5"/>
    </row>
    <row r="1426" spans="1:3" ht="13" x14ac:dyDescent="0.15">
      <c r="A1426" s="1"/>
      <c r="B1426" s="2"/>
      <c r="C1426" s="5"/>
    </row>
    <row r="1427" spans="1:3" ht="13" x14ac:dyDescent="0.15">
      <c r="A1427" s="1"/>
      <c r="B1427" s="2"/>
      <c r="C1427" s="5"/>
    </row>
    <row r="1428" spans="1:3" ht="13" x14ac:dyDescent="0.15">
      <c r="A1428" s="1"/>
      <c r="B1428" s="2"/>
      <c r="C1428" s="5"/>
    </row>
    <row r="1429" spans="1:3" ht="13" x14ac:dyDescent="0.15">
      <c r="A1429" s="1"/>
      <c r="B1429" s="2"/>
      <c r="C1429" s="5"/>
    </row>
    <row r="1430" spans="1:3" ht="13" x14ac:dyDescent="0.15">
      <c r="A1430" s="1"/>
      <c r="B1430" s="2"/>
      <c r="C1430" s="5"/>
    </row>
    <row r="1431" spans="1:3" ht="13" x14ac:dyDescent="0.15">
      <c r="A1431" s="1"/>
      <c r="B1431" s="2"/>
      <c r="C1431" s="5"/>
    </row>
    <row r="1432" spans="1:3" ht="13" x14ac:dyDescent="0.15">
      <c r="A1432" s="1"/>
      <c r="B1432" s="2"/>
      <c r="C1432" s="5"/>
    </row>
    <row r="1433" spans="1:3" ht="13" x14ac:dyDescent="0.15">
      <c r="A1433" s="1"/>
      <c r="B1433" s="2"/>
      <c r="C1433" s="5"/>
    </row>
    <row r="1434" spans="1:3" ht="13" x14ac:dyDescent="0.15">
      <c r="A1434" s="1"/>
      <c r="B1434" s="2"/>
      <c r="C1434" s="5"/>
    </row>
    <row r="1435" spans="1:3" ht="13" x14ac:dyDescent="0.15">
      <c r="A1435" s="1"/>
      <c r="B1435" s="2"/>
      <c r="C1435" s="5"/>
    </row>
    <row r="1436" spans="1:3" ht="13" x14ac:dyDescent="0.15">
      <c r="A1436" s="1"/>
      <c r="B1436" s="2"/>
      <c r="C1436" s="5"/>
    </row>
    <row r="1437" spans="1:3" ht="13" x14ac:dyDescent="0.15">
      <c r="A1437" s="1"/>
      <c r="B1437" s="2"/>
      <c r="C1437" s="5"/>
    </row>
    <row r="1438" spans="1:3" ht="13" x14ac:dyDescent="0.15">
      <c r="A1438" s="1"/>
      <c r="B1438" s="2"/>
      <c r="C1438" s="5"/>
    </row>
    <row r="1439" spans="1:3" ht="13" x14ac:dyDescent="0.15">
      <c r="A1439" s="1"/>
      <c r="B1439" s="2"/>
      <c r="C1439" s="5"/>
    </row>
    <row r="1440" spans="1:3" ht="13" x14ac:dyDescent="0.15">
      <c r="A1440" s="1"/>
      <c r="B1440" s="2"/>
      <c r="C1440" s="5"/>
    </row>
    <row r="1441" spans="1:3" ht="13" x14ac:dyDescent="0.15">
      <c r="A1441" s="1"/>
      <c r="B1441" s="2"/>
      <c r="C1441" s="5"/>
    </row>
    <row r="1442" spans="1:3" ht="13" x14ac:dyDescent="0.15">
      <c r="A1442" s="1"/>
      <c r="B1442" s="2"/>
      <c r="C1442" s="5"/>
    </row>
    <row r="1443" spans="1:3" ht="13" x14ac:dyDescent="0.15">
      <c r="A1443" s="1"/>
      <c r="B1443" s="2"/>
      <c r="C1443" s="5"/>
    </row>
    <row r="1444" spans="1:3" ht="13" x14ac:dyDescent="0.15">
      <c r="A1444" s="1"/>
      <c r="B1444" s="2"/>
      <c r="C1444" s="5"/>
    </row>
    <row r="1445" spans="1:3" ht="13" x14ac:dyDescent="0.15">
      <c r="A1445" s="1"/>
      <c r="B1445" s="2"/>
      <c r="C1445" s="5"/>
    </row>
    <row r="1446" spans="1:3" ht="13" x14ac:dyDescent="0.15">
      <c r="A1446" s="1"/>
      <c r="B1446" s="2"/>
      <c r="C1446" s="5"/>
    </row>
    <row r="1447" spans="1:3" ht="13" x14ac:dyDescent="0.15">
      <c r="A1447" s="1"/>
      <c r="B1447" s="2"/>
      <c r="C1447" s="5"/>
    </row>
    <row r="1448" spans="1:3" ht="13" x14ac:dyDescent="0.15">
      <c r="A1448" s="1"/>
      <c r="B1448" s="2"/>
      <c r="C1448" s="5"/>
    </row>
    <row r="1449" spans="1:3" ht="13" x14ac:dyDescent="0.15">
      <c r="A1449" s="1"/>
      <c r="B1449" s="2"/>
      <c r="C1449" s="5"/>
    </row>
    <row r="1450" spans="1:3" ht="13" x14ac:dyDescent="0.15">
      <c r="A1450" s="1"/>
      <c r="B1450" s="2"/>
      <c r="C1450" s="5"/>
    </row>
    <row r="1451" spans="1:3" ht="13" x14ac:dyDescent="0.15">
      <c r="A1451" s="1"/>
      <c r="B1451" s="2"/>
      <c r="C1451" s="5"/>
    </row>
    <row r="1452" spans="1:3" ht="13" x14ac:dyDescent="0.15">
      <c r="A1452" s="1"/>
      <c r="B1452" s="2"/>
      <c r="C1452" s="5"/>
    </row>
    <row r="1453" spans="1:3" ht="13" x14ac:dyDescent="0.15">
      <c r="A1453" s="1"/>
      <c r="B1453" s="2"/>
      <c r="C1453" s="5"/>
    </row>
    <row r="1454" spans="1:3" ht="13" x14ac:dyDescent="0.15">
      <c r="A1454" s="1"/>
      <c r="B1454" s="2"/>
      <c r="C1454" s="5"/>
    </row>
    <row r="1455" spans="1:3" ht="13" x14ac:dyDescent="0.15">
      <c r="A1455" s="1"/>
      <c r="B1455" s="2"/>
      <c r="C1455" s="5"/>
    </row>
    <row r="1456" spans="1:3" ht="13" x14ac:dyDescent="0.15">
      <c r="A1456" s="1"/>
      <c r="B1456" s="2"/>
      <c r="C1456" s="5"/>
    </row>
    <row r="1457" spans="1:3" ht="13" x14ac:dyDescent="0.15">
      <c r="A1457" s="1"/>
      <c r="B1457" s="2"/>
      <c r="C1457" s="5"/>
    </row>
    <row r="1458" spans="1:3" ht="13" x14ac:dyDescent="0.15">
      <c r="A1458" s="1"/>
      <c r="B1458" s="2"/>
      <c r="C1458" s="5"/>
    </row>
    <row r="1459" spans="1:3" ht="13" x14ac:dyDescent="0.15">
      <c r="A1459" s="1"/>
      <c r="B1459" s="2"/>
      <c r="C1459" s="5"/>
    </row>
    <row r="1460" spans="1:3" ht="13" x14ac:dyDescent="0.15">
      <c r="A1460" s="1"/>
      <c r="B1460" s="2"/>
      <c r="C1460" s="5"/>
    </row>
    <row r="1461" spans="1:3" ht="13" x14ac:dyDescent="0.15">
      <c r="A1461" s="1"/>
      <c r="B1461" s="2"/>
      <c r="C1461" s="5"/>
    </row>
    <row r="1462" spans="1:3" ht="13" x14ac:dyDescent="0.15">
      <c r="A1462" s="1"/>
      <c r="B1462" s="2"/>
      <c r="C1462" s="5"/>
    </row>
    <row r="1463" spans="1:3" ht="13" x14ac:dyDescent="0.15">
      <c r="A1463" s="1"/>
      <c r="B1463" s="2"/>
      <c r="C1463" s="5"/>
    </row>
    <row r="1464" spans="1:3" ht="13" x14ac:dyDescent="0.15">
      <c r="A1464" s="1"/>
      <c r="B1464" s="2"/>
      <c r="C1464" s="5"/>
    </row>
    <row r="1465" spans="1:3" ht="13" x14ac:dyDescent="0.15">
      <c r="A1465" s="1"/>
      <c r="B1465" s="2"/>
      <c r="C1465" s="5"/>
    </row>
    <row r="1466" spans="1:3" ht="13" x14ac:dyDescent="0.15">
      <c r="A1466" s="1"/>
      <c r="B1466" s="2"/>
      <c r="C1466" s="5"/>
    </row>
    <row r="1467" spans="1:3" ht="13" x14ac:dyDescent="0.15">
      <c r="A1467" s="1"/>
      <c r="B1467" s="2"/>
      <c r="C1467" s="5"/>
    </row>
    <row r="1468" spans="1:3" ht="13" x14ac:dyDescent="0.15">
      <c r="A1468" s="1"/>
      <c r="B1468" s="2"/>
      <c r="C1468" s="5"/>
    </row>
    <row r="1469" spans="1:3" ht="13" x14ac:dyDescent="0.15">
      <c r="A1469" s="1"/>
      <c r="B1469" s="2"/>
      <c r="C1469" s="5"/>
    </row>
    <row r="1470" spans="1:3" ht="13" x14ac:dyDescent="0.15">
      <c r="A1470" s="1"/>
      <c r="B1470" s="2"/>
      <c r="C1470" s="5"/>
    </row>
    <row r="1471" spans="1:3" ht="13" x14ac:dyDescent="0.15">
      <c r="A1471" s="1"/>
      <c r="B1471" s="2"/>
      <c r="C1471" s="5"/>
    </row>
    <row r="1472" spans="1:3" ht="13" x14ac:dyDescent="0.15">
      <c r="A1472" s="1"/>
      <c r="B1472" s="2"/>
      <c r="C1472" s="5"/>
    </row>
    <row r="1473" spans="1:3" ht="13" x14ac:dyDescent="0.15">
      <c r="A1473" s="1"/>
      <c r="B1473" s="2"/>
      <c r="C1473" s="5"/>
    </row>
    <row r="1474" spans="1:3" ht="13" x14ac:dyDescent="0.15">
      <c r="A1474" s="1"/>
      <c r="B1474" s="2"/>
      <c r="C1474" s="5"/>
    </row>
    <row r="1475" spans="1:3" ht="13" x14ac:dyDescent="0.15">
      <c r="A1475" s="1"/>
      <c r="B1475" s="2"/>
      <c r="C1475" s="5"/>
    </row>
    <row r="1476" spans="1:3" ht="13" x14ac:dyDescent="0.15">
      <c r="A1476" s="1"/>
      <c r="B1476" s="2"/>
      <c r="C1476" s="5"/>
    </row>
    <row r="1477" spans="1:3" ht="13" x14ac:dyDescent="0.15">
      <c r="A1477" s="1"/>
      <c r="B1477" s="2"/>
      <c r="C1477" s="5"/>
    </row>
    <row r="1478" spans="1:3" ht="13" x14ac:dyDescent="0.15">
      <c r="A1478" s="1"/>
      <c r="B1478" s="2"/>
      <c r="C1478" s="5"/>
    </row>
    <row r="1479" spans="1:3" ht="13" x14ac:dyDescent="0.15">
      <c r="A1479" s="1"/>
      <c r="B1479" s="2"/>
      <c r="C1479" s="5"/>
    </row>
    <row r="1480" spans="1:3" ht="13" x14ac:dyDescent="0.15">
      <c r="A1480" s="1"/>
      <c r="B1480" s="2"/>
      <c r="C1480" s="5"/>
    </row>
    <row r="1481" spans="1:3" ht="13" x14ac:dyDescent="0.15">
      <c r="A1481" s="1"/>
      <c r="B1481" s="2"/>
      <c r="C1481" s="5"/>
    </row>
    <row r="1482" spans="1:3" ht="13" x14ac:dyDescent="0.15">
      <c r="A1482" s="1"/>
      <c r="B1482" s="2"/>
      <c r="C1482" s="5"/>
    </row>
    <row r="1483" spans="1:3" ht="13" x14ac:dyDescent="0.15">
      <c r="A1483" s="1"/>
      <c r="B1483" s="2"/>
      <c r="C1483" s="5"/>
    </row>
    <row r="1484" spans="1:3" ht="13" x14ac:dyDescent="0.15">
      <c r="A1484" s="1"/>
      <c r="B1484" s="2"/>
      <c r="C1484" s="5"/>
    </row>
    <row r="1485" spans="1:3" ht="13" x14ac:dyDescent="0.15">
      <c r="A1485" s="1"/>
      <c r="B1485" s="2"/>
      <c r="C1485" s="5"/>
    </row>
    <row r="1486" spans="1:3" ht="13" x14ac:dyDescent="0.15">
      <c r="A1486" s="1"/>
      <c r="B1486" s="2"/>
      <c r="C1486" s="5"/>
    </row>
    <row r="1487" spans="1:3" ht="13" x14ac:dyDescent="0.15">
      <c r="A1487" s="1"/>
      <c r="B1487" s="2"/>
      <c r="C1487" s="5"/>
    </row>
    <row r="1488" spans="1:3" ht="13" x14ac:dyDescent="0.15">
      <c r="A1488" s="1"/>
      <c r="B1488" s="2"/>
      <c r="C1488" s="5"/>
    </row>
    <row r="1489" spans="1:3" ht="13" x14ac:dyDescent="0.15">
      <c r="A1489" s="1"/>
      <c r="B1489" s="2"/>
      <c r="C1489" s="5"/>
    </row>
    <row r="1490" spans="1:3" ht="13" x14ac:dyDescent="0.15">
      <c r="A1490" s="1"/>
      <c r="B1490" s="2"/>
      <c r="C1490" s="5"/>
    </row>
    <row r="1491" spans="1:3" ht="13" x14ac:dyDescent="0.15">
      <c r="A1491" s="1"/>
      <c r="B1491" s="2"/>
      <c r="C1491" s="5"/>
    </row>
    <row r="1492" spans="1:3" ht="13" x14ac:dyDescent="0.15">
      <c r="A1492" s="1"/>
      <c r="B1492" s="2"/>
      <c r="C1492" s="5"/>
    </row>
    <row r="1493" spans="1:3" ht="13" x14ac:dyDescent="0.15">
      <c r="A1493" s="1"/>
      <c r="B1493" s="2"/>
      <c r="C1493" s="5"/>
    </row>
    <row r="1494" spans="1:3" ht="13" x14ac:dyDescent="0.15">
      <c r="A1494" s="1"/>
      <c r="B1494" s="2"/>
      <c r="C1494" s="5"/>
    </row>
    <row r="1495" spans="1:3" ht="13" x14ac:dyDescent="0.15">
      <c r="A1495" s="1"/>
      <c r="B1495" s="2"/>
      <c r="C1495" s="5"/>
    </row>
    <row r="1496" spans="1:3" ht="13" x14ac:dyDescent="0.15">
      <c r="A1496" s="1"/>
      <c r="B1496" s="2"/>
      <c r="C1496" s="5"/>
    </row>
    <row r="1497" spans="1:3" ht="13" x14ac:dyDescent="0.15">
      <c r="A1497" s="1"/>
      <c r="B1497" s="2"/>
      <c r="C1497" s="5"/>
    </row>
    <row r="1498" spans="1:3" ht="13" x14ac:dyDescent="0.15">
      <c r="A1498" s="1"/>
      <c r="B1498" s="2"/>
      <c r="C1498" s="5"/>
    </row>
    <row r="1499" spans="1:3" ht="13" x14ac:dyDescent="0.15">
      <c r="A1499" s="1"/>
      <c r="B1499" s="2"/>
      <c r="C1499" s="5"/>
    </row>
    <row r="1500" spans="1:3" ht="13" x14ac:dyDescent="0.15">
      <c r="A1500" s="1"/>
      <c r="B1500" s="2"/>
      <c r="C1500" s="5"/>
    </row>
    <row r="1501" spans="1:3" ht="13" x14ac:dyDescent="0.15">
      <c r="A1501" s="1"/>
      <c r="B1501" s="2"/>
      <c r="C1501" s="5"/>
    </row>
    <row r="1502" spans="1:3" ht="13" x14ac:dyDescent="0.15">
      <c r="A1502" s="1"/>
      <c r="B1502" s="2"/>
      <c r="C1502" s="5"/>
    </row>
    <row r="1503" spans="1:3" ht="13" x14ac:dyDescent="0.15">
      <c r="A1503" s="1"/>
      <c r="B1503" s="2"/>
      <c r="C1503" s="5"/>
    </row>
    <row r="1504" spans="1:3" ht="13" x14ac:dyDescent="0.15">
      <c r="A1504" s="1"/>
      <c r="B1504" s="2"/>
      <c r="C1504" s="5"/>
    </row>
    <row r="1505" spans="1:3" ht="13" x14ac:dyDescent="0.15">
      <c r="A1505" s="1"/>
      <c r="B1505" s="2"/>
      <c r="C1505" s="5"/>
    </row>
    <row r="1506" spans="1:3" ht="13" x14ac:dyDescent="0.15">
      <c r="A1506" s="1"/>
      <c r="B1506" s="2"/>
      <c r="C1506" s="5"/>
    </row>
    <row r="1507" spans="1:3" ht="13" x14ac:dyDescent="0.15">
      <c r="A1507" s="1"/>
      <c r="B1507" s="2"/>
      <c r="C1507" s="5"/>
    </row>
    <row r="1508" spans="1:3" ht="13" x14ac:dyDescent="0.15">
      <c r="A1508" s="1"/>
      <c r="B1508" s="2"/>
      <c r="C1508" s="5"/>
    </row>
    <row r="1509" spans="1:3" ht="13" x14ac:dyDescent="0.15">
      <c r="A1509" s="1"/>
      <c r="B1509" s="2"/>
      <c r="C1509" s="5"/>
    </row>
    <row r="1510" spans="1:3" ht="13" x14ac:dyDescent="0.15">
      <c r="A1510" s="1"/>
      <c r="B1510" s="2"/>
      <c r="C1510" s="5"/>
    </row>
    <row r="1511" spans="1:3" ht="13" x14ac:dyDescent="0.15">
      <c r="A1511" s="1"/>
      <c r="B1511" s="2"/>
      <c r="C1511" s="5"/>
    </row>
    <row r="1512" spans="1:3" ht="13" x14ac:dyDescent="0.15">
      <c r="A1512" s="1"/>
      <c r="B1512" s="2"/>
      <c r="C1512" s="5"/>
    </row>
    <row r="1513" spans="1:3" ht="13" x14ac:dyDescent="0.15">
      <c r="A1513" s="1"/>
      <c r="B1513" s="2"/>
      <c r="C1513" s="5"/>
    </row>
    <row r="1514" spans="1:3" ht="13" x14ac:dyDescent="0.15">
      <c r="A1514" s="1"/>
      <c r="B1514" s="2"/>
      <c r="C1514" s="5"/>
    </row>
    <row r="1515" spans="1:3" ht="13" x14ac:dyDescent="0.15">
      <c r="A1515" s="1"/>
      <c r="B1515" s="2"/>
      <c r="C1515" s="5"/>
    </row>
    <row r="1516" spans="1:3" ht="13" x14ac:dyDescent="0.15">
      <c r="A1516" s="1"/>
      <c r="B1516" s="2"/>
      <c r="C1516" s="5"/>
    </row>
    <row r="1517" spans="1:3" ht="13" x14ac:dyDescent="0.15">
      <c r="A1517" s="1"/>
      <c r="B1517" s="2"/>
      <c r="C1517" s="5"/>
    </row>
    <row r="1518" spans="1:3" ht="13" x14ac:dyDescent="0.15">
      <c r="A1518" s="1"/>
      <c r="B1518" s="2"/>
      <c r="C1518" s="5"/>
    </row>
    <row r="1519" spans="1:3" ht="13" x14ac:dyDescent="0.15">
      <c r="A1519" s="1"/>
      <c r="B1519" s="2"/>
      <c r="C1519" s="5"/>
    </row>
    <row r="1520" spans="1:3" ht="13" x14ac:dyDescent="0.15">
      <c r="A1520" s="1"/>
      <c r="B1520" s="2"/>
      <c r="C1520" s="5"/>
    </row>
    <row r="1521" spans="1:3" ht="13" x14ac:dyDescent="0.15">
      <c r="A1521" s="1"/>
      <c r="B1521" s="2"/>
      <c r="C1521" s="5"/>
    </row>
    <row r="1522" spans="1:3" ht="13" x14ac:dyDescent="0.15">
      <c r="A1522" s="1"/>
      <c r="B1522" s="2"/>
      <c r="C1522" s="5"/>
    </row>
    <row r="1523" spans="1:3" ht="13" x14ac:dyDescent="0.15">
      <c r="A1523" s="1"/>
      <c r="B1523" s="2"/>
      <c r="C1523" s="5"/>
    </row>
    <row r="1524" spans="1:3" ht="13" x14ac:dyDescent="0.15">
      <c r="A1524" s="1"/>
      <c r="B1524" s="2"/>
      <c r="C1524" s="5"/>
    </row>
    <row r="1525" spans="1:3" ht="13" x14ac:dyDescent="0.15">
      <c r="A1525" s="1"/>
      <c r="B1525" s="2"/>
      <c r="C1525" s="5"/>
    </row>
    <row r="1526" spans="1:3" ht="13" x14ac:dyDescent="0.15">
      <c r="A1526" s="1"/>
      <c r="B1526" s="2"/>
      <c r="C1526" s="5"/>
    </row>
    <row r="1527" spans="1:3" ht="13" x14ac:dyDescent="0.15">
      <c r="A1527" s="1"/>
      <c r="B1527" s="2"/>
      <c r="C1527" s="5"/>
    </row>
    <row r="1528" spans="1:3" ht="13" x14ac:dyDescent="0.15">
      <c r="A1528" s="1"/>
      <c r="B1528" s="2"/>
      <c r="C1528" s="5"/>
    </row>
    <row r="1529" spans="1:3" ht="13" x14ac:dyDescent="0.15">
      <c r="A1529" s="1"/>
      <c r="B1529" s="2"/>
      <c r="C1529" s="5"/>
    </row>
    <row r="1530" spans="1:3" ht="13" x14ac:dyDescent="0.15">
      <c r="A1530" s="1"/>
      <c r="B1530" s="2"/>
      <c r="C1530" s="5"/>
    </row>
    <row r="1531" spans="1:3" ht="13" x14ac:dyDescent="0.15">
      <c r="A1531" s="1"/>
      <c r="B1531" s="2"/>
      <c r="C1531" s="5"/>
    </row>
    <row r="1532" spans="1:3" ht="13" x14ac:dyDescent="0.15">
      <c r="A1532" s="1"/>
      <c r="B1532" s="2"/>
      <c r="C1532" s="5"/>
    </row>
    <row r="1533" spans="1:3" ht="13" x14ac:dyDescent="0.15">
      <c r="A1533" s="1"/>
      <c r="B1533" s="2"/>
      <c r="C1533" s="5"/>
    </row>
    <row r="1534" spans="1:3" ht="13" x14ac:dyDescent="0.15">
      <c r="A1534" s="1"/>
      <c r="B1534" s="2"/>
      <c r="C1534" s="5"/>
    </row>
    <row r="1535" spans="1:3" ht="13" x14ac:dyDescent="0.15">
      <c r="A1535" s="1"/>
      <c r="B1535" s="2"/>
      <c r="C1535" s="5"/>
    </row>
    <row r="1536" spans="1:3" ht="13" x14ac:dyDescent="0.15">
      <c r="A1536" s="1"/>
      <c r="B1536" s="2"/>
      <c r="C1536" s="5"/>
    </row>
    <row r="1537" spans="1:3" ht="13" x14ac:dyDescent="0.15">
      <c r="A1537" s="1"/>
      <c r="B1537" s="2"/>
      <c r="C1537" s="5"/>
    </row>
    <row r="1538" spans="1:3" ht="13" x14ac:dyDescent="0.15">
      <c r="A1538" s="1"/>
      <c r="B1538" s="2"/>
      <c r="C1538" s="5"/>
    </row>
    <row r="1539" spans="1:3" ht="13" x14ac:dyDescent="0.15">
      <c r="A1539" s="1"/>
      <c r="B1539" s="2"/>
      <c r="C1539" s="5"/>
    </row>
    <row r="1540" spans="1:3" ht="13" x14ac:dyDescent="0.15">
      <c r="A1540" s="1"/>
      <c r="B1540" s="2"/>
      <c r="C1540" s="5"/>
    </row>
    <row r="1541" spans="1:3" ht="13" x14ac:dyDescent="0.15">
      <c r="A1541" s="1"/>
      <c r="B1541" s="2"/>
      <c r="C1541" s="5"/>
    </row>
    <row r="1542" spans="1:3" ht="13" x14ac:dyDescent="0.15">
      <c r="A1542" s="1"/>
      <c r="B1542" s="2"/>
      <c r="C1542" s="5"/>
    </row>
    <row r="1543" spans="1:3" ht="13" x14ac:dyDescent="0.15">
      <c r="A1543" s="1"/>
      <c r="B1543" s="2"/>
      <c r="C1543" s="5"/>
    </row>
    <row r="1544" spans="1:3" ht="13" x14ac:dyDescent="0.15">
      <c r="A1544" s="1"/>
      <c r="B1544" s="2"/>
      <c r="C1544" s="5"/>
    </row>
    <row r="1545" spans="1:3" ht="13" x14ac:dyDescent="0.15">
      <c r="A1545" s="1"/>
      <c r="B1545" s="2"/>
      <c r="C1545" s="5"/>
    </row>
    <row r="1546" spans="1:3" ht="13" x14ac:dyDescent="0.15">
      <c r="A1546" s="1"/>
      <c r="B1546" s="2"/>
      <c r="C1546" s="5"/>
    </row>
    <row r="1547" spans="1:3" ht="13" x14ac:dyDescent="0.15">
      <c r="A1547" s="1"/>
      <c r="B1547" s="2"/>
      <c r="C1547" s="5"/>
    </row>
    <row r="1548" spans="1:3" ht="13" x14ac:dyDescent="0.15">
      <c r="A1548" s="1"/>
      <c r="B1548" s="2"/>
      <c r="C1548" s="5"/>
    </row>
    <row r="1549" spans="1:3" ht="13" x14ac:dyDescent="0.15">
      <c r="A1549" s="1"/>
      <c r="B1549" s="2"/>
      <c r="C1549" s="5"/>
    </row>
    <row r="1550" spans="1:3" ht="13" x14ac:dyDescent="0.15">
      <c r="A1550" s="1"/>
      <c r="B1550" s="2"/>
      <c r="C1550" s="5"/>
    </row>
    <row r="1551" spans="1:3" ht="13" x14ac:dyDescent="0.15">
      <c r="A1551" s="1"/>
      <c r="B1551" s="2"/>
      <c r="C1551" s="5"/>
    </row>
    <row r="1552" spans="1:3" ht="13" x14ac:dyDescent="0.15">
      <c r="A1552" s="1"/>
      <c r="B1552" s="2"/>
      <c r="C1552" s="5"/>
    </row>
    <row r="1553" spans="1:3" ht="13" x14ac:dyDescent="0.15">
      <c r="A1553" s="1"/>
      <c r="B1553" s="2"/>
      <c r="C1553" s="5"/>
    </row>
    <row r="1554" spans="1:3" ht="13" x14ac:dyDescent="0.15">
      <c r="A1554" s="1"/>
      <c r="B1554" s="2"/>
      <c r="C1554" s="5"/>
    </row>
    <row r="1555" spans="1:3" ht="13" x14ac:dyDescent="0.15">
      <c r="A1555" s="1"/>
      <c r="B1555" s="2"/>
      <c r="C1555" s="5"/>
    </row>
    <row r="1556" spans="1:3" ht="13" x14ac:dyDescent="0.15">
      <c r="A1556" s="1"/>
      <c r="B1556" s="2"/>
      <c r="C1556" s="5"/>
    </row>
    <row r="1557" spans="1:3" ht="13" x14ac:dyDescent="0.15">
      <c r="A1557" s="1"/>
      <c r="B1557" s="2"/>
      <c r="C1557" s="5"/>
    </row>
    <row r="1558" spans="1:3" ht="13" x14ac:dyDescent="0.15">
      <c r="A1558" s="1"/>
      <c r="B1558" s="2"/>
      <c r="C1558" s="5"/>
    </row>
    <row r="1559" spans="1:3" ht="13" x14ac:dyDescent="0.15">
      <c r="A1559" s="1"/>
      <c r="B1559" s="2"/>
      <c r="C1559" s="5"/>
    </row>
    <row r="1560" spans="1:3" ht="13" x14ac:dyDescent="0.15">
      <c r="A1560" s="1"/>
      <c r="B1560" s="2"/>
      <c r="C1560" s="5"/>
    </row>
    <row r="1561" spans="1:3" ht="13" x14ac:dyDescent="0.15">
      <c r="A1561" s="1"/>
      <c r="B1561" s="2"/>
      <c r="C1561" s="5"/>
    </row>
    <row r="1562" spans="1:3" ht="13" x14ac:dyDescent="0.15">
      <c r="A1562" s="1"/>
      <c r="B1562" s="2"/>
      <c r="C1562" s="5"/>
    </row>
    <row r="1563" spans="1:3" ht="13" x14ac:dyDescent="0.15">
      <c r="A1563" s="1"/>
      <c r="B1563" s="2"/>
      <c r="C1563" s="5"/>
    </row>
    <row r="1564" spans="1:3" ht="13" x14ac:dyDescent="0.15">
      <c r="A1564" s="1"/>
      <c r="B1564" s="2"/>
      <c r="C1564" s="5"/>
    </row>
    <row r="1565" spans="1:3" ht="13" x14ac:dyDescent="0.15">
      <c r="A1565" s="1"/>
      <c r="B1565" s="2"/>
      <c r="C1565" s="5"/>
    </row>
    <row r="1566" spans="1:3" ht="13" x14ac:dyDescent="0.15">
      <c r="A1566" s="1"/>
      <c r="B1566" s="2"/>
      <c r="C1566" s="5"/>
    </row>
    <row r="1567" spans="1:3" ht="13" x14ac:dyDescent="0.15">
      <c r="A1567" s="1"/>
      <c r="B1567" s="2"/>
      <c r="C1567" s="5"/>
    </row>
    <row r="1568" spans="1:3" ht="13" x14ac:dyDescent="0.15">
      <c r="A1568" s="1"/>
      <c r="B1568" s="2"/>
      <c r="C1568" s="5"/>
    </row>
    <row r="1569" spans="1:3" ht="13" x14ac:dyDescent="0.15">
      <c r="A1569" s="1"/>
      <c r="B1569" s="2"/>
      <c r="C1569" s="5"/>
    </row>
    <row r="1570" spans="1:3" ht="13" x14ac:dyDescent="0.15">
      <c r="A1570" s="1"/>
      <c r="B1570" s="2"/>
      <c r="C1570" s="5"/>
    </row>
    <row r="1571" spans="1:3" ht="13" x14ac:dyDescent="0.15">
      <c r="A1571" s="1"/>
      <c r="B1571" s="2"/>
      <c r="C1571" s="5"/>
    </row>
    <row r="1572" spans="1:3" ht="13" x14ac:dyDescent="0.15">
      <c r="A1572" s="1"/>
      <c r="B1572" s="2"/>
      <c r="C1572" s="5"/>
    </row>
    <row r="1573" spans="1:3" ht="13" x14ac:dyDescent="0.15">
      <c r="A1573" s="1"/>
      <c r="B1573" s="2"/>
      <c r="C1573" s="5"/>
    </row>
    <row r="1574" spans="1:3" ht="13" x14ac:dyDescent="0.15">
      <c r="A1574" s="1"/>
      <c r="B1574" s="2"/>
      <c r="C1574" s="5"/>
    </row>
    <row r="1575" spans="1:3" ht="13" x14ac:dyDescent="0.15">
      <c r="A1575" s="1"/>
      <c r="B1575" s="2"/>
      <c r="C1575" s="5"/>
    </row>
    <row r="1576" spans="1:3" ht="13" x14ac:dyDescent="0.15">
      <c r="A1576" s="1"/>
      <c r="B1576" s="2"/>
      <c r="C1576" s="5"/>
    </row>
    <row r="1577" spans="1:3" ht="13" x14ac:dyDescent="0.15">
      <c r="A1577" s="1"/>
      <c r="B1577" s="2"/>
      <c r="C1577" s="5"/>
    </row>
    <row r="1578" spans="1:3" ht="13" x14ac:dyDescent="0.15">
      <c r="A1578" s="1"/>
      <c r="B1578" s="2"/>
      <c r="C1578" s="5"/>
    </row>
    <row r="1579" spans="1:3" ht="13" x14ac:dyDescent="0.15">
      <c r="A1579" s="1"/>
      <c r="B1579" s="2"/>
      <c r="C1579" s="5"/>
    </row>
    <row r="1580" spans="1:3" ht="13" x14ac:dyDescent="0.15">
      <c r="A1580" s="1"/>
      <c r="B1580" s="2"/>
      <c r="C1580" s="5"/>
    </row>
    <row r="1581" spans="1:3" ht="13" x14ac:dyDescent="0.15">
      <c r="A1581" s="1"/>
      <c r="B1581" s="2"/>
      <c r="C1581" s="5"/>
    </row>
    <row r="1582" spans="1:3" ht="13" x14ac:dyDescent="0.15">
      <c r="A1582" s="1"/>
      <c r="B1582" s="2"/>
      <c r="C1582" s="5"/>
    </row>
    <row r="1583" spans="1:3" ht="13" x14ac:dyDescent="0.15">
      <c r="A1583" s="1"/>
      <c r="B1583" s="2"/>
      <c r="C1583" s="5"/>
    </row>
    <row r="1584" spans="1:3" ht="13" x14ac:dyDescent="0.15">
      <c r="A1584" s="1"/>
      <c r="B1584" s="2"/>
      <c r="C1584" s="5"/>
    </row>
    <row r="1585" spans="1:3" ht="13" x14ac:dyDescent="0.15">
      <c r="A1585" s="1"/>
      <c r="B1585" s="2"/>
      <c r="C1585" s="5"/>
    </row>
    <row r="1586" spans="1:3" ht="13" x14ac:dyDescent="0.15">
      <c r="A1586" s="1"/>
      <c r="B1586" s="2"/>
      <c r="C1586" s="5"/>
    </row>
    <row r="1587" spans="1:3" ht="13" x14ac:dyDescent="0.15">
      <c r="A1587" s="1"/>
      <c r="B1587" s="2"/>
      <c r="C1587" s="5"/>
    </row>
    <row r="1588" spans="1:3" ht="13" x14ac:dyDescent="0.15">
      <c r="A1588" s="1"/>
      <c r="B1588" s="2"/>
      <c r="C1588" s="5"/>
    </row>
    <row r="1589" spans="1:3" ht="13" x14ac:dyDescent="0.15">
      <c r="A1589" s="1"/>
      <c r="B1589" s="2"/>
      <c r="C1589" s="5"/>
    </row>
    <row r="1590" spans="1:3" ht="13" x14ac:dyDescent="0.15">
      <c r="A1590" s="1"/>
      <c r="B1590" s="2"/>
      <c r="C1590" s="5"/>
    </row>
    <row r="1591" spans="1:3" ht="13" x14ac:dyDescent="0.15">
      <c r="A1591" s="1"/>
      <c r="B1591" s="2"/>
      <c r="C1591" s="5"/>
    </row>
    <row r="1592" spans="1:3" ht="13" x14ac:dyDescent="0.15">
      <c r="A1592" s="1"/>
      <c r="B1592" s="2"/>
      <c r="C1592" s="5"/>
    </row>
    <row r="1593" spans="1:3" ht="13" x14ac:dyDescent="0.15">
      <c r="A1593" s="1"/>
      <c r="B1593" s="2"/>
      <c r="C1593" s="5"/>
    </row>
    <row r="1594" spans="1:3" ht="13" x14ac:dyDescent="0.15">
      <c r="A1594" s="1"/>
      <c r="B1594" s="2"/>
      <c r="C1594" s="5"/>
    </row>
    <row r="1595" spans="1:3" ht="13" x14ac:dyDescent="0.15">
      <c r="A1595" s="1"/>
      <c r="B1595" s="2"/>
      <c r="C1595" s="5"/>
    </row>
    <row r="1596" spans="1:3" ht="13" x14ac:dyDescent="0.15">
      <c r="A1596" s="1"/>
      <c r="B1596" s="2"/>
      <c r="C1596" s="5"/>
    </row>
    <row r="1597" spans="1:3" ht="13" x14ac:dyDescent="0.15">
      <c r="A1597" s="1"/>
      <c r="B1597" s="2"/>
      <c r="C1597" s="5"/>
    </row>
    <row r="1598" spans="1:3" ht="13" x14ac:dyDescent="0.15">
      <c r="A1598" s="1"/>
      <c r="B1598" s="2"/>
      <c r="C1598" s="5"/>
    </row>
    <row r="1599" spans="1:3" ht="13" x14ac:dyDescent="0.15">
      <c r="A1599" s="1"/>
      <c r="B1599" s="2"/>
      <c r="C1599" s="5"/>
    </row>
    <row r="1600" spans="1:3" ht="13" x14ac:dyDescent="0.15">
      <c r="A1600" s="1"/>
      <c r="B1600" s="2"/>
      <c r="C1600" s="5"/>
    </row>
    <row r="1601" spans="1:3" ht="13" x14ac:dyDescent="0.15">
      <c r="A1601" s="1"/>
      <c r="B1601" s="2"/>
      <c r="C1601" s="5"/>
    </row>
    <row r="1602" spans="1:3" ht="13" x14ac:dyDescent="0.15">
      <c r="A1602" s="1"/>
      <c r="B1602" s="2"/>
      <c r="C1602" s="5"/>
    </row>
    <row r="1603" spans="1:3" ht="13" x14ac:dyDescent="0.15">
      <c r="A1603" s="1"/>
      <c r="B1603" s="2"/>
      <c r="C1603" s="5"/>
    </row>
    <row r="1604" spans="1:3" ht="13" x14ac:dyDescent="0.15">
      <c r="A1604" s="1"/>
      <c r="B1604" s="2"/>
      <c r="C1604" s="5"/>
    </row>
    <row r="1605" spans="1:3" ht="13" x14ac:dyDescent="0.15">
      <c r="A1605" s="1"/>
      <c r="B1605" s="2"/>
      <c r="C1605" s="5"/>
    </row>
    <row r="1606" spans="1:3" ht="13" x14ac:dyDescent="0.15">
      <c r="A1606" s="1"/>
      <c r="B1606" s="2"/>
      <c r="C1606" s="5"/>
    </row>
    <row r="1607" spans="1:3" ht="13" x14ac:dyDescent="0.15">
      <c r="A1607" s="1"/>
      <c r="B1607" s="2"/>
      <c r="C1607" s="5"/>
    </row>
    <row r="1608" spans="1:3" ht="13" x14ac:dyDescent="0.15">
      <c r="A1608" s="1"/>
      <c r="B1608" s="2"/>
      <c r="C1608" s="5"/>
    </row>
    <row r="1609" spans="1:3" ht="13" x14ac:dyDescent="0.15">
      <c r="A1609" s="1"/>
      <c r="B1609" s="2"/>
      <c r="C1609" s="5"/>
    </row>
    <row r="1610" spans="1:3" ht="13" x14ac:dyDescent="0.15">
      <c r="A1610" s="1"/>
      <c r="B1610" s="2"/>
      <c r="C1610" s="5"/>
    </row>
    <row r="1611" spans="1:3" ht="13" x14ac:dyDescent="0.15">
      <c r="A1611" s="1"/>
      <c r="B1611" s="2"/>
      <c r="C1611" s="5"/>
    </row>
    <row r="1612" spans="1:3" ht="13" x14ac:dyDescent="0.15">
      <c r="A1612" s="1"/>
      <c r="B1612" s="2"/>
      <c r="C1612" s="5"/>
    </row>
    <row r="1613" spans="1:3" ht="13" x14ac:dyDescent="0.15">
      <c r="A1613" s="1"/>
      <c r="B1613" s="2"/>
      <c r="C1613" s="5"/>
    </row>
    <row r="1614" spans="1:3" ht="13" x14ac:dyDescent="0.15">
      <c r="A1614" s="1"/>
      <c r="B1614" s="2"/>
      <c r="C1614" s="5"/>
    </row>
    <row r="1615" spans="1:3" ht="13" x14ac:dyDescent="0.15">
      <c r="A1615" s="1"/>
      <c r="B1615" s="2"/>
      <c r="C1615" s="5"/>
    </row>
    <row r="1616" spans="1:3" ht="13" x14ac:dyDescent="0.15">
      <c r="A1616" s="1"/>
      <c r="B1616" s="2"/>
      <c r="C1616" s="5"/>
    </row>
    <row r="1617" spans="1:3" ht="13" x14ac:dyDescent="0.15">
      <c r="A1617" s="1"/>
      <c r="B1617" s="2"/>
      <c r="C1617" s="5"/>
    </row>
    <row r="1618" spans="1:3" ht="13" x14ac:dyDescent="0.15">
      <c r="A1618" s="1"/>
      <c r="B1618" s="2"/>
      <c r="C1618" s="5"/>
    </row>
    <row r="1619" spans="1:3" ht="13" x14ac:dyDescent="0.15">
      <c r="A1619" s="1"/>
      <c r="B1619" s="2"/>
      <c r="C1619" s="5"/>
    </row>
    <row r="1620" spans="1:3" ht="13" x14ac:dyDescent="0.15">
      <c r="A1620" s="1"/>
      <c r="B1620" s="2"/>
      <c r="C1620" s="5"/>
    </row>
    <row r="1621" spans="1:3" ht="13" x14ac:dyDescent="0.15">
      <c r="A1621" s="1"/>
      <c r="B1621" s="2"/>
      <c r="C1621" s="5"/>
    </row>
    <row r="1622" spans="1:3" ht="13" x14ac:dyDescent="0.15">
      <c r="A1622" s="1"/>
      <c r="B1622" s="2"/>
      <c r="C1622" s="5"/>
    </row>
    <row r="1623" spans="1:3" ht="13" x14ac:dyDescent="0.15">
      <c r="A1623" s="1"/>
      <c r="B1623" s="2"/>
      <c r="C1623" s="5"/>
    </row>
    <row r="1624" spans="1:3" ht="13" x14ac:dyDescent="0.15">
      <c r="A1624" s="1"/>
      <c r="B1624" s="2"/>
      <c r="C1624" s="5"/>
    </row>
    <row r="1625" spans="1:3" ht="13" x14ac:dyDescent="0.15">
      <c r="A1625" s="1"/>
      <c r="B1625" s="2"/>
      <c r="C1625" s="5"/>
    </row>
    <row r="1626" spans="1:3" ht="13" x14ac:dyDescent="0.15">
      <c r="A1626" s="1"/>
      <c r="B1626" s="2"/>
      <c r="C1626" s="5"/>
    </row>
    <row r="1627" spans="1:3" ht="13" x14ac:dyDescent="0.15">
      <c r="A1627" s="1"/>
      <c r="B1627" s="2"/>
      <c r="C1627" s="5"/>
    </row>
    <row r="1628" spans="1:3" ht="13" x14ac:dyDescent="0.15">
      <c r="A1628" s="1"/>
      <c r="B1628" s="2"/>
      <c r="C1628" s="5"/>
    </row>
    <row r="1629" spans="1:3" ht="13" x14ac:dyDescent="0.15">
      <c r="A1629" s="1"/>
      <c r="B1629" s="2"/>
      <c r="C1629" s="5"/>
    </row>
    <row r="1630" spans="1:3" ht="13" x14ac:dyDescent="0.15">
      <c r="A1630" s="1"/>
      <c r="B1630" s="2"/>
      <c r="C1630" s="5"/>
    </row>
    <row r="1631" spans="1:3" ht="13" x14ac:dyDescent="0.15">
      <c r="A1631" s="1"/>
      <c r="B1631" s="2"/>
      <c r="C1631" s="5"/>
    </row>
    <row r="1632" spans="1:3" ht="13" x14ac:dyDescent="0.15">
      <c r="A1632" s="1"/>
      <c r="B1632" s="2"/>
      <c r="C1632" s="5"/>
    </row>
    <row r="1633" spans="1:3" ht="13" x14ac:dyDescent="0.15">
      <c r="A1633" s="1"/>
      <c r="B1633" s="2"/>
      <c r="C1633" s="5"/>
    </row>
    <row r="1634" spans="1:3" ht="13" x14ac:dyDescent="0.15">
      <c r="A1634" s="1"/>
      <c r="B1634" s="2"/>
      <c r="C1634" s="5"/>
    </row>
    <row r="1635" spans="1:3" ht="13" x14ac:dyDescent="0.15">
      <c r="A1635" s="1"/>
      <c r="B1635" s="2"/>
      <c r="C1635" s="5"/>
    </row>
    <row r="1636" spans="1:3" ht="13" x14ac:dyDescent="0.15">
      <c r="A1636" s="1"/>
      <c r="B1636" s="2"/>
      <c r="C1636" s="5"/>
    </row>
    <row r="1637" spans="1:3" ht="13" x14ac:dyDescent="0.15">
      <c r="A1637" s="1"/>
      <c r="B1637" s="2"/>
      <c r="C1637" s="5"/>
    </row>
    <row r="1638" spans="1:3" ht="13" x14ac:dyDescent="0.15">
      <c r="A1638" s="1"/>
      <c r="B1638" s="2"/>
      <c r="C1638" s="5"/>
    </row>
    <row r="1639" spans="1:3" ht="13" x14ac:dyDescent="0.15">
      <c r="A1639" s="1"/>
      <c r="B1639" s="2"/>
      <c r="C1639" s="5"/>
    </row>
    <row r="1640" spans="1:3" ht="13" x14ac:dyDescent="0.15">
      <c r="A1640" s="1"/>
      <c r="B1640" s="2"/>
      <c r="C1640" s="5"/>
    </row>
    <row r="1641" spans="1:3" ht="13" x14ac:dyDescent="0.15">
      <c r="A1641" s="1"/>
      <c r="B1641" s="2"/>
      <c r="C1641" s="5"/>
    </row>
    <row r="1642" spans="1:3" ht="13" x14ac:dyDescent="0.15">
      <c r="A1642" s="1"/>
      <c r="B1642" s="2"/>
      <c r="C1642" s="5"/>
    </row>
    <row r="1643" spans="1:3" ht="13" x14ac:dyDescent="0.15">
      <c r="A1643" s="1"/>
      <c r="B1643" s="2"/>
      <c r="C1643" s="5"/>
    </row>
    <row r="1644" spans="1:3" ht="13" x14ac:dyDescent="0.15">
      <c r="A1644" s="1"/>
      <c r="B1644" s="2"/>
      <c r="C1644" s="5"/>
    </row>
    <row r="1645" spans="1:3" ht="13" x14ac:dyDescent="0.15">
      <c r="A1645" s="1"/>
      <c r="B1645" s="2"/>
      <c r="C1645" s="5"/>
    </row>
    <row r="1646" spans="1:3" ht="13" x14ac:dyDescent="0.15">
      <c r="A1646" s="1"/>
      <c r="B1646" s="2"/>
      <c r="C1646" s="5"/>
    </row>
    <row r="1647" spans="1:3" ht="13" x14ac:dyDescent="0.15">
      <c r="A1647" s="1"/>
      <c r="B1647" s="2"/>
      <c r="C1647" s="5"/>
    </row>
    <row r="1648" spans="1:3" ht="13" x14ac:dyDescent="0.15">
      <c r="A1648" s="1"/>
      <c r="B1648" s="2"/>
      <c r="C1648" s="5"/>
    </row>
    <row r="1649" spans="1:3" ht="13" x14ac:dyDescent="0.15">
      <c r="A1649" s="1"/>
      <c r="B1649" s="2"/>
      <c r="C1649" s="5"/>
    </row>
    <row r="1650" spans="1:3" ht="13" x14ac:dyDescent="0.15">
      <c r="A1650" s="1"/>
      <c r="B1650" s="2"/>
      <c r="C1650" s="5"/>
    </row>
    <row r="1651" spans="1:3" ht="13" x14ac:dyDescent="0.15">
      <c r="A1651" s="1"/>
      <c r="B1651" s="2"/>
      <c r="C1651" s="5"/>
    </row>
    <row r="1652" spans="1:3" ht="13" x14ac:dyDescent="0.15">
      <c r="A1652" s="1"/>
      <c r="B1652" s="2"/>
      <c r="C1652" s="5"/>
    </row>
    <row r="1653" spans="1:3" ht="13" x14ac:dyDescent="0.15">
      <c r="A1653" s="1"/>
      <c r="B1653" s="2"/>
      <c r="C1653" s="5"/>
    </row>
    <row r="1654" spans="1:3" ht="13" x14ac:dyDescent="0.15">
      <c r="A1654" s="1"/>
      <c r="B1654" s="2"/>
      <c r="C1654" s="5"/>
    </row>
    <row r="1655" spans="1:3" ht="13" x14ac:dyDescent="0.15">
      <c r="A1655" s="1"/>
      <c r="B1655" s="2"/>
      <c r="C1655" s="5"/>
    </row>
    <row r="1656" spans="1:3" ht="13" x14ac:dyDescent="0.15">
      <c r="A1656" s="1"/>
      <c r="B1656" s="2"/>
      <c r="C1656" s="5"/>
    </row>
    <row r="1657" spans="1:3" ht="13" x14ac:dyDescent="0.15">
      <c r="A1657" s="1"/>
      <c r="B1657" s="2"/>
      <c r="C1657" s="5"/>
    </row>
    <row r="1658" spans="1:3" ht="13" x14ac:dyDescent="0.15">
      <c r="A1658" s="1"/>
      <c r="B1658" s="2"/>
      <c r="C1658" s="5"/>
    </row>
    <row r="1659" spans="1:3" ht="13" x14ac:dyDescent="0.15">
      <c r="A1659" s="1"/>
      <c r="B1659" s="2"/>
      <c r="C1659" s="5"/>
    </row>
    <row r="1660" spans="1:3" ht="13" x14ac:dyDescent="0.15">
      <c r="A1660" s="1"/>
      <c r="B1660" s="2"/>
      <c r="C1660" s="5"/>
    </row>
    <row r="1661" spans="1:3" ht="13" x14ac:dyDescent="0.15">
      <c r="A1661" s="1"/>
      <c r="B1661" s="2"/>
      <c r="C1661" s="5"/>
    </row>
    <row r="1662" spans="1:3" ht="13" x14ac:dyDescent="0.15">
      <c r="A1662" s="1"/>
      <c r="B1662" s="2"/>
      <c r="C1662" s="5"/>
    </row>
    <row r="1663" spans="1:3" ht="13" x14ac:dyDescent="0.15">
      <c r="A1663" s="1"/>
      <c r="B1663" s="2"/>
      <c r="C1663" s="5"/>
    </row>
    <row r="1664" spans="1:3" ht="13" x14ac:dyDescent="0.15">
      <c r="A1664" s="1"/>
      <c r="B1664" s="2"/>
      <c r="C1664" s="5"/>
    </row>
    <row r="1665" spans="1:3" ht="13" x14ac:dyDescent="0.15">
      <c r="A1665" s="1"/>
      <c r="B1665" s="2"/>
      <c r="C1665" s="5"/>
    </row>
    <row r="1666" spans="1:3" ht="13" x14ac:dyDescent="0.15">
      <c r="A1666" s="1"/>
      <c r="B1666" s="2"/>
      <c r="C1666" s="5"/>
    </row>
    <row r="1667" spans="1:3" ht="13" x14ac:dyDescent="0.15">
      <c r="A1667" s="1"/>
      <c r="B1667" s="2"/>
      <c r="C1667" s="5"/>
    </row>
    <row r="1668" spans="1:3" ht="13" x14ac:dyDescent="0.15">
      <c r="A1668" s="1"/>
      <c r="B1668" s="2"/>
      <c r="C1668" s="5"/>
    </row>
    <row r="1669" spans="1:3" ht="13" x14ac:dyDescent="0.15">
      <c r="A1669" s="1"/>
      <c r="B1669" s="2"/>
      <c r="C1669" s="5"/>
    </row>
    <row r="1670" spans="1:3" ht="13" x14ac:dyDescent="0.15">
      <c r="A1670" s="1"/>
      <c r="B1670" s="2"/>
      <c r="C1670" s="5"/>
    </row>
    <row r="1671" spans="1:3" ht="13" x14ac:dyDescent="0.15">
      <c r="A1671" s="1"/>
      <c r="B1671" s="2"/>
      <c r="C1671" s="5"/>
    </row>
    <row r="1672" spans="1:3" ht="13" x14ac:dyDescent="0.15">
      <c r="A1672" s="1"/>
      <c r="B1672" s="2"/>
      <c r="C1672" s="5"/>
    </row>
    <row r="1673" spans="1:3" ht="13" x14ac:dyDescent="0.15">
      <c r="A1673" s="1"/>
      <c r="B1673" s="2"/>
      <c r="C1673" s="5"/>
    </row>
    <row r="1674" spans="1:3" ht="13" x14ac:dyDescent="0.15">
      <c r="A1674" s="1"/>
      <c r="B1674" s="2"/>
      <c r="C1674" s="5"/>
    </row>
    <row r="1675" spans="1:3" ht="13" x14ac:dyDescent="0.15">
      <c r="A1675" s="1"/>
      <c r="B1675" s="2"/>
      <c r="C1675" s="5"/>
    </row>
    <row r="1676" spans="1:3" ht="13" x14ac:dyDescent="0.15">
      <c r="A1676" s="1"/>
      <c r="B1676" s="2"/>
      <c r="C1676" s="5"/>
    </row>
    <row r="1677" spans="1:3" ht="13" x14ac:dyDescent="0.15">
      <c r="A1677" s="1"/>
      <c r="B1677" s="2"/>
      <c r="C1677" s="5"/>
    </row>
    <row r="1678" spans="1:3" ht="13" x14ac:dyDescent="0.15">
      <c r="A1678" s="1"/>
      <c r="B1678" s="2"/>
      <c r="C1678" s="5"/>
    </row>
    <row r="1679" spans="1:3" ht="13" x14ac:dyDescent="0.15">
      <c r="A1679" s="1"/>
      <c r="B1679" s="2"/>
      <c r="C1679" s="5"/>
    </row>
    <row r="1680" spans="1:3" ht="13" x14ac:dyDescent="0.15">
      <c r="A1680" s="1"/>
      <c r="B1680" s="2"/>
      <c r="C1680" s="5"/>
    </row>
    <row r="1681" spans="1:3" ht="13" x14ac:dyDescent="0.15">
      <c r="A1681" s="1"/>
      <c r="B1681" s="2"/>
      <c r="C1681" s="5"/>
    </row>
    <row r="1682" spans="1:3" ht="13" x14ac:dyDescent="0.15">
      <c r="A1682" s="1"/>
      <c r="B1682" s="2"/>
      <c r="C1682" s="5"/>
    </row>
    <row r="1683" spans="1:3" ht="13" x14ac:dyDescent="0.15">
      <c r="A1683" s="1"/>
      <c r="B1683" s="2"/>
      <c r="C1683" s="5"/>
    </row>
    <row r="1684" spans="1:3" ht="13" x14ac:dyDescent="0.15">
      <c r="A1684" s="1"/>
      <c r="B1684" s="2"/>
      <c r="C1684" s="5"/>
    </row>
    <row r="1685" spans="1:3" ht="13" x14ac:dyDescent="0.15">
      <c r="A1685" s="1"/>
      <c r="B1685" s="2"/>
      <c r="C1685" s="5"/>
    </row>
    <row r="1686" spans="1:3" ht="13" x14ac:dyDescent="0.15">
      <c r="A1686" s="1"/>
      <c r="B1686" s="2"/>
      <c r="C1686" s="5"/>
    </row>
    <row r="1687" spans="1:3" ht="13" x14ac:dyDescent="0.15">
      <c r="A1687" s="1"/>
      <c r="B1687" s="2"/>
      <c r="C1687" s="5"/>
    </row>
    <row r="1688" spans="1:3" ht="13" x14ac:dyDescent="0.15">
      <c r="A1688" s="1"/>
      <c r="B1688" s="2"/>
      <c r="C1688" s="5"/>
    </row>
    <row r="1689" spans="1:3" ht="13" x14ac:dyDescent="0.15">
      <c r="A1689" s="1"/>
      <c r="B1689" s="2"/>
      <c r="C1689" s="5"/>
    </row>
    <row r="1690" spans="1:3" ht="13" x14ac:dyDescent="0.15">
      <c r="A1690" s="1"/>
      <c r="B1690" s="2"/>
      <c r="C1690" s="5"/>
    </row>
    <row r="1691" spans="1:3" ht="13" x14ac:dyDescent="0.15">
      <c r="A1691" s="1"/>
      <c r="B1691" s="2"/>
      <c r="C1691" s="5"/>
    </row>
    <row r="1692" spans="1:3" ht="13" x14ac:dyDescent="0.15">
      <c r="A1692" s="1"/>
      <c r="B1692" s="2"/>
      <c r="C1692" s="5"/>
    </row>
    <row r="1693" spans="1:3" ht="13" x14ac:dyDescent="0.15">
      <c r="A1693" s="1"/>
      <c r="B1693" s="2"/>
      <c r="C1693" s="5"/>
    </row>
    <row r="1694" spans="1:3" ht="13" x14ac:dyDescent="0.15">
      <c r="A1694" s="1"/>
      <c r="B1694" s="2"/>
      <c r="C1694" s="5"/>
    </row>
    <row r="1695" spans="1:3" ht="13" x14ac:dyDescent="0.15">
      <c r="A1695" s="1"/>
      <c r="B1695" s="2"/>
      <c r="C1695" s="5"/>
    </row>
    <row r="1696" spans="1:3" ht="13" x14ac:dyDescent="0.15">
      <c r="A1696" s="1"/>
      <c r="B1696" s="2"/>
      <c r="C1696" s="5"/>
    </row>
    <row r="1697" spans="1:3" ht="13" x14ac:dyDescent="0.15">
      <c r="A1697" s="1"/>
      <c r="B1697" s="2"/>
      <c r="C1697" s="5"/>
    </row>
    <row r="1698" spans="1:3" ht="13" x14ac:dyDescent="0.15">
      <c r="A1698" s="1"/>
      <c r="B1698" s="2"/>
      <c r="C1698" s="5"/>
    </row>
    <row r="1699" spans="1:3" ht="13" x14ac:dyDescent="0.15">
      <c r="A1699" s="1"/>
      <c r="B1699" s="2"/>
      <c r="C1699" s="5"/>
    </row>
    <row r="1700" spans="1:3" ht="13" x14ac:dyDescent="0.15">
      <c r="A1700" s="1"/>
      <c r="B1700" s="2"/>
      <c r="C1700" s="5"/>
    </row>
    <row r="1701" spans="1:3" ht="13" x14ac:dyDescent="0.15">
      <c r="A1701" s="1"/>
      <c r="B1701" s="2"/>
      <c r="C1701" s="5"/>
    </row>
    <row r="1702" spans="1:3" ht="13" x14ac:dyDescent="0.15">
      <c r="A1702" s="1"/>
      <c r="B1702" s="2"/>
      <c r="C1702" s="5"/>
    </row>
    <row r="1703" spans="1:3" ht="13" x14ac:dyDescent="0.15">
      <c r="A1703" s="1"/>
      <c r="B1703" s="2"/>
      <c r="C1703" s="5"/>
    </row>
    <row r="1704" spans="1:3" ht="13" x14ac:dyDescent="0.15">
      <c r="A1704" s="1"/>
      <c r="B1704" s="2"/>
      <c r="C1704" s="5"/>
    </row>
    <row r="1705" spans="1:3" ht="13" x14ac:dyDescent="0.15">
      <c r="A1705" s="1"/>
      <c r="B1705" s="2"/>
      <c r="C1705" s="5"/>
    </row>
    <row r="1706" spans="1:3" ht="13" x14ac:dyDescent="0.15">
      <c r="A1706" s="1"/>
      <c r="B1706" s="2"/>
      <c r="C1706" s="5"/>
    </row>
    <row r="1707" spans="1:3" ht="13" x14ac:dyDescent="0.15">
      <c r="A1707" s="1"/>
      <c r="B1707" s="2"/>
      <c r="C1707" s="5"/>
    </row>
    <row r="1708" spans="1:3" ht="13" x14ac:dyDescent="0.15">
      <c r="A1708" s="1"/>
      <c r="B1708" s="2"/>
      <c r="C1708" s="5"/>
    </row>
    <row r="1709" spans="1:3" ht="13" x14ac:dyDescent="0.15">
      <c r="A1709" s="1"/>
      <c r="B1709" s="2"/>
      <c r="C1709" s="5"/>
    </row>
    <row r="1710" spans="1:3" ht="13" x14ac:dyDescent="0.15">
      <c r="A1710" s="1"/>
      <c r="B1710" s="2"/>
      <c r="C1710" s="5"/>
    </row>
    <row r="1711" spans="1:3" ht="13" x14ac:dyDescent="0.15">
      <c r="A1711" s="1"/>
      <c r="B1711" s="2"/>
      <c r="C1711" s="5"/>
    </row>
    <row r="1712" spans="1:3" ht="13" x14ac:dyDescent="0.15">
      <c r="A1712" s="1"/>
      <c r="B1712" s="2"/>
      <c r="C1712" s="5"/>
    </row>
    <row r="1713" spans="1:3" ht="13" x14ac:dyDescent="0.15">
      <c r="A1713" s="1"/>
      <c r="B1713" s="2"/>
      <c r="C1713" s="5"/>
    </row>
    <row r="1714" spans="1:3" ht="13" x14ac:dyDescent="0.15">
      <c r="A1714" s="1"/>
      <c r="B1714" s="2"/>
      <c r="C1714" s="5"/>
    </row>
    <row r="1715" spans="1:3" ht="13" x14ac:dyDescent="0.15">
      <c r="A1715" s="1"/>
      <c r="B1715" s="2"/>
      <c r="C1715" s="5"/>
    </row>
    <row r="1716" spans="1:3" ht="13" x14ac:dyDescent="0.15">
      <c r="A1716" s="1"/>
      <c r="B1716" s="2"/>
      <c r="C1716" s="5"/>
    </row>
    <row r="1717" spans="1:3" ht="13" x14ac:dyDescent="0.15">
      <c r="A1717" s="1"/>
      <c r="B1717" s="2"/>
      <c r="C1717" s="5"/>
    </row>
    <row r="1718" spans="1:3" ht="13" x14ac:dyDescent="0.15">
      <c r="A1718" s="1"/>
      <c r="B1718" s="2"/>
      <c r="C1718" s="5"/>
    </row>
    <row r="1719" spans="1:3" ht="13" x14ac:dyDescent="0.15">
      <c r="A1719" s="1"/>
      <c r="B1719" s="2"/>
      <c r="C1719" s="5"/>
    </row>
    <row r="1720" spans="1:3" ht="13" x14ac:dyDescent="0.15">
      <c r="A1720" s="1"/>
      <c r="B1720" s="2"/>
      <c r="C1720" s="5"/>
    </row>
    <row r="1721" spans="1:3" ht="13" x14ac:dyDescent="0.15">
      <c r="A1721" s="1"/>
      <c r="B1721" s="2"/>
      <c r="C1721" s="5"/>
    </row>
    <row r="1722" spans="1:3" ht="13" x14ac:dyDescent="0.15">
      <c r="A1722" s="1"/>
      <c r="B1722" s="2"/>
      <c r="C1722" s="5"/>
    </row>
    <row r="1723" spans="1:3" ht="13" x14ac:dyDescent="0.15">
      <c r="A1723" s="1"/>
      <c r="B1723" s="2"/>
      <c r="C1723" s="5"/>
    </row>
    <row r="1724" spans="1:3" ht="13" x14ac:dyDescent="0.15">
      <c r="A1724" s="1"/>
      <c r="B1724" s="2"/>
      <c r="C1724" s="5"/>
    </row>
    <row r="1725" spans="1:3" ht="13" x14ac:dyDescent="0.15">
      <c r="A1725" s="1"/>
      <c r="B1725" s="2"/>
      <c r="C1725" s="5"/>
    </row>
    <row r="1726" spans="1:3" ht="13" x14ac:dyDescent="0.15">
      <c r="A1726" s="1"/>
      <c r="B1726" s="2"/>
      <c r="C1726" s="5"/>
    </row>
    <row r="1727" spans="1:3" ht="13" x14ac:dyDescent="0.15">
      <c r="A1727" s="1"/>
      <c r="B1727" s="2"/>
      <c r="C1727" s="5"/>
    </row>
    <row r="1728" spans="1:3" ht="13" x14ac:dyDescent="0.15">
      <c r="A1728" s="1"/>
      <c r="B1728" s="2"/>
      <c r="C1728" s="5"/>
    </row>
    <row r="1729" spans="1:3" ht="13" x14ac:dyDescent="0.15">
      <c r="A1729" s="1"/>
      <c r="B1729" s="2"/>
      <c r="C1729" s="5"/>
    </row>
    <row r="1730" spans="1:3" ht="13" x14ac:dyDescent="0.15">
      <c r="A1730" s="1"/>
      <c r="B1730" s="2"/>
      <c r="C1730" s="5"/>
    </row>
    <row r="1731" spans="1:3" ht="13" x14ac:dyDescent="0.15">
      <c r="A1731" s="1"/>
      <c r="B1731" s="2"/>
      <c r="C1731" s="5"/>
    </row>
    <row r="1732" spans="1:3" ht="13" x14ac:dyDescent="0.15">
      <c r="A1732" s="1"/>
      <c r="B1732" s="2"/>
      <c r="C1732" s="5"/>
    </row>
    <row r="1733" spans="1:3" ht="13" x14ac:dyDescent="0.15">
      <c r="A1733" s="1"/>
      <c r="B1733" s="2"/>
      <c r="C1733" s="5"/>
    </row>
    <row r="1734" spans="1:3" ht="13" x14ac:dyDescent="0.15">
      <c r="A1734" s="1"/>
      <c r="B1734" s="2"/>
      <c r="C1734" s="5"/>
    </row>
    <row r="1735" spans="1:3" ht="13" x14ac:dyDescent="0.15">
      <c r="A1735" s="1"/>
      <c r="B1735" s="2"/>
      <c r="C1735" s="5"/>
    </row>
    <row r="1736" spans="1:3" ht="13" x14ac:dyDescent="0.15">
      <c r="A1736" s="1"/>
      <c r="B1736" s="2"/>
      <c r="C1736" s="5"/>
    </row>
    <row r="1737" spans="1:3" ht="13" x14ac:dyDescent="0.15">
      <c r="A1737" s="1"/>
      <c r="B1737" s="2"/>
      <c r="C1737" s="5"/>
    </row>
    <row r="1738" spans="1:3" ht="13" x14ac:dyDescent="0.15">
      <c r="A1738" s="1"/>
      <c r="B1738" s="2"/>
      <c r="C1738" s="5"/>
    </row>
    <row r="1739" spans="1:3" ht="13" x14ac:dyDescent="0.15">
      <c r="A1739" s="1"/>
      <c r="B1739" s="2"/>
      <c r="C1739" s="5"/>
    </row>
    <row r="1740" spans="1:3" ht="13" x14ac:dyDescent="0.15">
      <c r="A1740" s="1"/>
      <c r="B1740" s="2"/>
      <c r="C1740" s="5"/>
    </row>
    <row r="1741" spans="1:3" ht="13" x14ac:dyDescent="0.15">
      <c r="A1741" s="1"/>
      <c r="B1741" s="2"/>
      <c r="C1741" s="5"/>
    </row>
    <row r="1742" spans="1:3" ht="13" x14ac:dyDescent="0.15">
      <c r="A1742" s="1"/>
      <c r="B1742" s="2"/>
      <c r="C1742" s="5"/>
    </row>
    <row r="1743" spans="1:3" ht="13" x14ac:dyDescent="0.15">
      <c r="A1743" s="1"/>
      <c r="B1743" s="2"/>
      <c r="C1743" s="5"/>
    </row>
    <row r="1744" spans="1:3" ht="13" x14ac:dyDescent="0.15">
      <c r="A1744" s="1"/>
      <c r="B1744" s="2"/>
      <c r="C1744" s="5"/>
    </row>
    <row r="1745" spans="1:3" ht="13" x14ac:dyDescent="0.15">
      <c r="A1745" s="1"/>
      <c r="B1745" s="2"/>
      <c r="C1745" s="5"/>
    </row>
    <row r="1746" spans="1:3" ht="13" x14ac:dyDescent="0.15">
      <c r="A1746" s="1"/>
      <c r="B1746" s="2"/>
      <c r="C1746" s="5"/>
    </row>
    <row r="1747" spans="1:3" ht="13" x14ac:dyDescent="0.15">
      <c r="A1747" s="1"/>
      <c r="B1747" s="2"/>
      <c r="C1747" s="5"/>
    </row>
    <row r="1748" spans="1:3" ht="13" x14ac:dyDescent="0.15">
      <c r="A1748" s="1"/>
      <c r="B1748" s="2"/>
      <c r="C1748" s="5"/>
    </row>
    <row r="1749" spans="1:3" ht="13" x14ac:dyDescent="0.15">
      <c r="A1749" s="1"/>
      <c r="B1749" s="2"/>
      <c r="C1749" s="5"/>
    </row>
    <row r="1750" spans="1:3" ht="13" x14ac:dyDescent="0.15">
      <c r="A1750" s="1"/>
      <c r="B1750" s="2"/>
      <c r="C1750" s="5"/>
    </row>
    <row r="1751" spans="1:3" ht="13" x14ac:dyDescent="0.15">
      <c r="A1751" s="1"/>
      <c r="B1751" s="2"/>
      <c r="C1751" s="5"/>
    </row>
    <row r="1752" spans="1:3" ht="13" x14ac:dyDescent="0.15">
      <c r="A1752" s="1"/>
      <c r="B1752" s="2"/>
      <c r="C1752" s="5"/>
    </row>
    <row r="1753" spans="1:3" ht="13" x14ac:dyDescent="0.15">
      <c r="A1753" s="1"/>
      <c r="B1753" s="2"/>
      <c r="C1753" s="5"/>
    </row>
    <row r="1754" spans="1:3" ht="13" x14ac:dyDescent="0.15">
      <c r="A1754" s="1"/>
      <c r="B1754" s="2"/>
      <c r="C1754" s="5"/>
    </row>
    <row r="1755" spans="1:3" ht="13" x14ac:dyDescent="0.15">
      <c r="A1755" s="1"/>
      <c r="B1755" s="2"/>
      <c r="C1755" s="5"/>
    </row>
    <row r="1756" spans="1:3" ht="13" x14ac:dyDescent="0.15">
      <c r="A1756" s="1"/>
      <c r="B1756" s="2"/>
      <c r="C1756" s="5"/>
    </row>
    <row r="1757" spans="1:3" ht="13" x14ac:dyDescent="0.15">
      <c r="A1757" s="1"/>
      <c r="B1757" s="2"/>
      <c r="C1757" s="5"/>
    </row>
    <row r="1758" spans="1:3" ht="13" x14ac:dyDescent="0.15">
      <c r="A1758" s="1"/>
      <c r="B1758" s="2"/>
      <c r="C175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289"/>
  <sheetViews>
    <sheetView workbookViewId="0"/>
  </sheetViews>
  <sheetFormatPr baseColWidth="10" defaultColWidth="12.6640625" defaultRowHeight="15.75" customHeight="1" x14ac:dyDescent="0.15"/>
  <sheetData>
    <row r="1" spans="1:20" ht="15.75" customHeight="1" x14ac:dyDescent="0.15"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0</v>
      </c>
    </row>
    <row r="2" spans="1:20" ht="15.75" customHeight="1" x14ac:dyDescent="0.15">
      <c r="A2" s="6">
        <v>0</v>
      </c>
      <c r="B2" s="7">
        <v>43160</v>
      </c>
      <c r="C2" s="6">
        <v>26.021615903472</v>
      </c>
      <c r="D2" s="6">
        <v>-7.4151306315264502</v>
      </c>
      <c r="E2" s="6">
        <v>57.179605915519403</v>
      </c>
      <c r="F2" s="6">
        <v>26.021615903472</v>
      </c>
      <c r="G2" s="6">
        <v>26.021615903472</v>
      </c>
      <c r="H2" s="6">
        <v>-0.78420479623199701</v>
      </c>
      <c r="I2" s="6">
        <v>-0.78420479623199701</v>
      </c>
      <c r="J2" s="6">
        <v>-0.78420479623199701</v>
      </c>
      <c r="K2" s="6">
        <v>0.49015521355552599</v>
      </c>
      <c r="L2" s="6">
        <v>0.49015521355552599</v>
      </c>
      <c r="M2" s="6">
        <v>0.49015521355552599</v>
      </c>
      <c r="N2" s="6">
        <v>-1.2743600097875201</v>
      </c>
      <c r="O2" s="6">
        <v>-1.2743600097875201</v>
      </c>
      <c r="P2" s="6">
        <v>-1.2743600097875201</v>
      </c>
      <c r="Q2" s="6">
        <v>0</v>
      </c>
      <c r="R2" s="6">
        <v>0</v>
      </c>
      <c r="S2" s="6">
        <v>0</v>
      </c>
      <c r="T2" s="6">
        <v>25.23741110724</v>
      </c>
    </row>
    <row r="3" spans="1:20" ht="15.75" customHeight="1" x14ac:dyDescent="0.15">
      <c r="A3" s="6">
        <v>1</v>
      </c>
      <c r="B3" s="7">
        <v>43161</v>
      </c>
      <c r="C3" s="6">
        <v>25.997821244613899</v>
      </c>
      <c r="D3" s="6">
        <v>-10.132384025345701</v>
      </c>
      <c r="E3" s="6">
        <v>55.231228041501701</v>
      </c>
      <c r="F3" s="6">
        <v>25.997821244613899</v>
      </c>
      <c r="G3" s="6">
        <v>25.997821244613899</v>
      </c>
      <c r="H3" s="6">
        <v>-3.04390075216378</v>
      </c>
      <c r="I3" s="6">
        <v>-3.04390075216378</v>
      </c>
      <c r="J3" s="6">
        <v>-3.04390075216378</v>
      </c>
      <c r="K3" s="6">
        <v>-2.2976765064409099E-2</v>
      </c>
      <c r="L3" s="6">
        <v>-2.2976765064409099E-2</v>
      </c>
      <c r="M3" s="6">
        <v>-2.2976765064409099E-2</v>
      </c>
      <c r="N3" s="6">
        <v>-3.02092398709937</v>
      </c>
      <c r="O3" s="6">
        <v>-3.02092398709937</v>
      </c>
      <c r="P3" s="6">
        <v>-3.02092398709937</v>
      </c>
      <c r="Q3" s="6">
        <v>0</v>
      </c>
      <c r="R3" s="6">
        <v>0</v>
      </c>
      <c r="S3" s="6">
        <v>0</v>
      </c>
      <c r="T3" s="6">
        <v>22.953920492450099</v>
      </c>
    </row>
    <row r="4" spans="1:20" ht="15.75" customHeight="1" x14ac:dyDescent="0.15">
      <c r="A4" s="6">
        <v>2</v>
      </c>
      <c r="B4" s="7">
        <v>43164</v>
      </c>
      <c r="C4" s="6">
        <v>25.926437268039798</v>
      </c>
      <c r="D4" s="6">
        <v>-10.953699439836599</v>
      </c>
      <c r="E4" s="6">
        <v>53.608537486114201</v>
      </c>
      <c r="F4" s="6">
        <v>25.926437268039798</v>
      </c>
      <c r="G4" s="6">
        <v>25.926437268039798</v>
      </c>
      <c r="H4" s="6">
        <v>-5.5360826637106699</v>
      </c>
      <c r="I4" s="6">
        <v>-5.5360826637106699</v>
      </c>
      <c r="J4" s="6">
        <v>-5.5360826637106699</v>
      </c>
      <c r="K4" s="6">
        <v>1.82289060893653</v>
      </c>
      <c r="L4" s="6">
        <v>1.82289060893653</v>
      </c>
      <c r="M4" s="6">
        <v>1.82289060893653</v>
      </c>
      <c r="N4" s="6">
        <v>-7.3589732726472104</v>
      </c>
      <c r="O4" s="6">
        <v>-7.3589732726472104</v>
      </c>
      <c r="P4" s="6">
        <v>-7.3589732726472104</v>
      </c>
      <c r="Q4" s="6">
        <v>0</v>
      </c>
      <c r="R4" s="6">
        <v>0</v>
      </c>
      <c r="S4" s="6">
        <v>0</v>
      </c>
      <c r="T4" s="6">
        <v>20.390354604329101</v>
      </c>
    </row>
    <row r="5" spans="1:20" ht="15.75" customHeight="1" x14ac:dyDescent="0.15">
      <c r="A5" s="6">
        <v>3</v>
      </c>
      <c r="B5" s="7">
        <v>43165</v>
      </c>
      <c r="C5" s="6">
        <v>25.9026426091818</v>
      </c>
      <c r="D5" s="6">
        <v>-13.8653358725724</v>
      </c>
      <c r="E5" s="6">
        <v>49.782890741015898</v>
      </c>
      <c r="F5" s="6">
        <v>25.9026426091818</v>
      </c>
      <c r="G5" s="6">
        <v>25.9026426091818</v>
      </c>
      <c r="H5" s="6">
        <v>-7.5928694447249399</v>
      </c>
      <c r="I5" s="6">
        <v>-7.5928694447249399</v>
      </c>
      <c r="J5" s="6">
        <v>-7.5928694447249399</v>
      </c>
      <c r="K5" s="6">
        <v>0.84522403106537303</v>
      </c>
      <c r="L5" s="6">
        <v>0.84522403106537303</v>
      </c>
      <c r="M5" s="6">
        <v>0.84522403106537303</v>
      </c>
      <c r="N5" s="6">
        <v>-8.4380934757903105</v>
      </c>
      <c r="O5" s="6">
        <v>-8.4380934757903105</v>
      </c>
      <c r="P5" s="6">
        <v>-8.4380934757903105</v>
      </c>
      <c r="Q5" s="6">
        <v>0</v>
      </c>
      <c r="R5" s="6">
        <v>0</v>
      </c>
      <c r="S5" s="6">
        <v>0</v>
      </c>
      <c r="T5" s="6">
        <v>18.3097731644568</v>
      </c>
    </row>
    <row r="6" spans="1:20" ht="15.75" customHeight="1" x14ac:dyDescent="0.15">
      <c r="A6" s="6">
        <v>4</v>
      </c>
      <c r="B6" s="7">
        <v>43166</v>
      </c>
      <c r="C6" s="6">
        <v>25.878847950323699</v>
      </c>
      <c r="D6" s="6">
        <v>-10.7495116160488</v>
      </c>
      <c r="E6" s="6">
        <v>49.5579104131129</v>
      </c>
      <c r="F6" s="6">
        <v>25.878847950323699</v>
      </c>
      <c r="G6" s="6">
        <v>25.878847950323699</v>
      </c>
      <c r="H6" s="6">
        <v>-8.3614766318395795</v>
      </c>
      <c r="I6" s="6">
        <v>-8.3614766318395795</v>
      </c>
      <c r="J6" s="6">
        <v>-8.3614766318395795</v>
      </c>
      <c r="K6" s="6">
        <v>0.94874688043621702</v>
      </c>
      <c r="L6" s="6">
        <v>0.94874688043621702</v>
      </c>
      <c r="M6" s="6">
        <v>0.94874688043621702</v>
      </c>
      <c r="N6" s="6">
        <v>-9.3102235122757993</v>
      </c>
      <c r="O6" s="6">
        <v>-9.3102235122757993</v>
      </c>
      <c r="P6" s="6">
        <v>-9.3102235122757993</v>
      </c>
      <c r="Q6" s="6">
        <v>0</v>
      </c>
      <c r="R6" s="6">
        <v>0</v>
      </c>
      <c r="S6" s="6">
        <v>0</v>
      </c>
      <c r="T6" s="6">
        <v>17.517371318484098</v>
      </c>
    </row>
    <row r="7" spans="1:20" ht="15.75" customHeight="1" x14ac:dyDescent="0.15">
      <c r="A7" s="6">
        <v>5</v>
      </c>
      <c r="B7" s="7">
        <v>43167</v>
      </c>
      <c r="C7" s="6">
        <v>25.855053291465701</v>
      </c>
      <c r="D7" s="6">
        <v>-14.378044741012999</v>
      </c>
      <c r="E7" s="6">
        <v>47.256896202707097</v>
      </c>
      <c r="F7" s="6">
        <v>25.855053291465701</v>
      </c>
      <c r="G7" s="6">
        <v>25.855053291465701</v>
      </c>
      <c r="H7" s="6">
        <v>-9.4774279704055093</v>
      </c>
      <c r="I7" s="6">
        <v>-9.4774279704055093</v>
      </c>
      <c r="J7" s="6">
        <v>-9.4774279704055093</v>
      </c>
      <c r="K7" s="6">
        <v>0.49015521355999297</v>
      </c>
      <c r="L7" s="6">
        <v>0.49015521355999297</v>
      </c>
      <c r="M7" s="6">
        <v>0.49015521355999297</v>
      </c>
      <c r="N7" s="6">
        <v>-9.9675831839655</v>
      </c>
      <c r="O7" s="6">
        <v>-9.9675831839655</v>
      </c>
      <c r="P7" s="6">
        <v>-9.9675831839655</v>
      </c>
      <c r="Q7" s="6">
        <v>0</v>
      </c>
      <c r="R7" s="6">
        <v>0</v>
      </c>
      <c r="S7" s="6">
        <v>0</v>
      </c>
      <c r="T7" s="6">
        <v>16.377625321060201</v>
      </c>
    </row>
    <row r="8" spans="1:20" ht="15.75" customHeight="1" x14ac:dyDescent="0.15">
      <c r="A8" s="6">
        <v>6</v>
      </c>
      <c r="B8" s="7">
        <v>43168</v>
      </c>
      <c r="C8" s="6">
        <v>25.8312586326076</v>
      </c>
      <c r="D8" s="6">
        <v>-15.057356554476501</v>
      </c>
      <c r="E8" s="6">
        <v>46.801513088209198</v>
      </c>
      <c r="F8" s="6">
        <v>25.8312586326076</v>
      </c>
      <c r="G8" s="6">
        <v>25.8312586326076</v>
      </c>
      <c r="H8" s="6">
        <v>-10.4297758090517</v>
      </c>
      <c r="I8" s="6">
        <v>-10.4297758090517</v>
      </c>
      <c r="J8" s="6">
        <v>-10.4297758090517</v>
      </c>
      <c r="K8" s="6">
        <v>-2.2976765062462899E-2</v>
      </c>
      <c r="L8" s="6">
        <v>-2.2976765062462899E-2</v>
      </c>
      <c r="M8" s="6">
        <v>-2.2976765062462899E-2</v>
      </c>
      <c r="N8" s="6">
        <v>-10.406799043989301</v>
      </c>
      <c r="O8" s="6">
        <v>-10.406799043989301</v>
      </c>
      <c r="P8" s="6">
        <v>-10.406799043989301</v>
      </c>
      <c r="Q8" s="6">
        <v>0</v>
      </c>
      <c r="R8" s="6">
        <v>0</v>
      </c>
      <c r="S8" s="6">
        <v>0</v>
      </c>
      <c r="T8" s="6">
        <v>15.401482823555799</v>
      </c>
    </row>
    <row r="9" spans="1:20" ht="15.75" customHeight="1" x14ac:dyDescent="0.15">
      <c r="A9" s="6">
        <v>7</v>
      </c>
      <c r="B9" s="7">
        <v>43171</v>
      </c>
      <c r="C9" s="6">
        <v>25.759874656033499</v>
      </c>
      <c r="D9" s="6">
        <v>-15.186417349081999</v>
      </c>
      <c r="E9" s="6">
        <v>47.641745375765403</v>
      </c>
      <c r="F9" s="6">
        <v>25.759874656033499</v>
      </c>
      <c r="G9" s="6">
        <v>25.759874656033499</v>
      </c>
      <c r="H9" s="6">
        <v>-8.62387076964011</v>
      </c>
      <c r="I9" s="6">
        <v>-8.62387076964011</v>
      </c>
      <c r="J9" s="6">
        <v>-8.62387076964011</v>
      </c>
      <c r="K9" s="6">
        <v>1.82289060893703</v>
      </c>
      <c r="L9" s="6">
        <v>1.82289060893703</v>
      </c>
      <c r="M9" s="6">
        <v>1.82289060893703</v>
      </c>
      <c r="N9" s="6">
        <v>-10.446761378577101</v>
      </c>
      <c r="O9" s="6">
        <v>-10.446761378577101</v>
      </c>
      <c r="P9" s="6">
        <v>-10.446761378577101</v>
      </c>
      <c r="Q9" s="6">
        <v>0</v>
      </c>
      <c r="R9" s="6">
        <v>0</v>
      </c>
      <c r="S9" s="6">
        <v>0</v>
      </c>
      <c r="T9" s="6">
        <v>17.1360038863934</v>
      </c>
    </row>
    <row r="10" spans="1:20" ht="15.75" customHeight="1" x14ac:dyDescent="0.15">
      <c r="A10" s="6">
        <v>8</v>
      </c>
      <c r="B10" s="7">
        <v>43172</v>
      </c>
      <c r="C10" s="6">
        <v>25.736079997175501</v>
      </c>
      <c r="D10" s="6">
        <v>-14.8257692738465</v>
      </c>
      <c r="E10" s="6">
        <v>49.286721040523702</v>
      </c>
      <c r="F10" s="6">
        <v>25.736079997175501</v>
      </c>
      <c r="G10" s="6">
        <v>25.736079997175501</v>
      </c>
      <c r="H10" s="6">
        <v>-9.2196162449662307</v>
      </c>
      <c r="I10" s="6">
        <v>-9.2196162449662307</v>
      </c>
      <c r="J10" s="6">
        <v>-9.2196162449662307</v>
      </c>
      <c r="K10" s="6">
        <v>0.84522403106701305</v>
      </c>
      <c r="L10" s="6">
        <v>0.84522403106701305</v>
      </c>
      <c r="M10" s="6">
        <v>0.84522403106701305</v>
      </c>
      <c r="N10" s="6">
        <v>-10.0648402760332</v>
      </c>
      <c r="O10" s="6">
        <v>-10.0648402760332</v>
      </c>
      <c r="P10" s="6">
        <v>-10.0648402760332</v>
      </c>
      <c r="Q10" s="6">
        <v>0</v>
      </c>
      <c r="R10" s="6">
        <v>0</v>
      </c>
      <c r="S10" s="6">
        <v>0</v>
      </c>
      <c r="T10" s="6">
        <v>16.516463752209201</v>
      </c>
    </row>
    <row r="11" spans="1:20" ht="15.75" customHeight="1" x14ac:dyDescent="0.15">
      <c r="A11" s="6">
        <v>9</v>
      </c>
      <c r="B11" s="7">
        <v>43173</v>
      </c>
      <c r="C11" s="6">
        <v>25.7122853383174</v>
      </c>
      <c r="D11" s="6">
        <v>-12.653873803680099</v>
      </c>
      <c r="E11" s="6">
        <v>49.554505538387197</v>
      </c>
      <c r="F11" s="6">
        <v>25.7122853383174</v>
      </c>
      <c r="G11" s="6">
        <v>25.7122853383174</v>
      </c>
      <c r="H11" s="6">
        <v>-8.5608731602463397</v>
      </c>
      <c r="I11" s="6">
        <v>-8.5608731602463397</v>
      </c>
      <c r="J11" s="6">
        <v>-8.5608731602463397</v>
      </c>
      <c r="K11" s="6">
        <v>0.94874688043867295</v>
      </c>
      <c r="L11" s="6">
        <v>0.94874688043867295</v>
      </c>
      <c r="M11" s="6">
        <v>0.94874688043867295</v>
      </c>
      <c r="N11" s="6">
        <v>-9.5096200406850109</v>
      </c>
      <c r="O11" s="6">
        <v>-9.5096200406850109</v>
      </c>
      <c r="P11" s="6">
        <v>-9.5096200406850109</v>
      </c>
      <c r="Q11" s="6">
        <v>0</v>
      </c>
      <c r="R11" s="6">
        <v>0</v>
      </c>
      <c r="S11" s="6">
        <v>0</v>
      </c>
      <c r="T11" s="6">
        <v>17.151412178071102</v>
      </c>
    </row>
    <row r="12" spans="1:20" ht="15.75" customHeight="1" x14ac:dyDescent="0.15">
      <c r="A12" s="6">
        <v>10</v>
      </c>
      <c r="B12" s="7">
        <v>43174</v>
      </c>
      <c r="C12" s="6">
        <v>25.688490679459399</v>
      </c>
      <c r="D12" s="6">
        <v>-12.987529253164601</v>
      </c>
      <c r="E12" s="6">
        <v>50.262851868427099</v>
      </c>
      <c r="F12" s="6">
        <v>25.688490679459399</v>
      </c>
      <c r="G12" s="6">
        <v>25.688490679459399</v>
      </c>
      <c r="H12" s="6">
        <v>-8.3100238755453901</v>
      </c>
      <c r="I12" s="6">
        <v>-8.3100238755453901</v>
      </c>
      <c r="J12" s="6">
        <v>-8.3100238755453901</v>
      </c>
      <c r="K12" s="6">
        <v>0.49015521355715502</v>
      </c>
      <c r="L12" s="6">
        <v>0.49015521355715502</v>
      </c>
      <c r="M12" s="6">
        <v>0.49015521355715502</v>
      </c>
      <c r="N12" s="6">
        <v>-8.8001790891025404</v>
      </c>
      <c r="O12" s="6">
        <v>-8.8001790891025404</v>
      </c>
      <c r="P12" s="6">
        <v>-8.8001790891025404</v>
      </c>
      <c r="Q12" s="6">
        <v>0</v>
      </c>
      <c r="R12" s="6">
        <v>0</v>
      </c>
      <c r="S12" s="6">
        <v>0</v>
      </c>
      <c r="T12" s="6">
        <v>17.378466803914002</v>
      </c>
    </row>
    <row r="13" spans="1:20" ht="15.75" customHeight="1" x14ac:dyDescent="0.15">
      <c r="A13" s="6">
        <v>11</v>
      </c>
      <c r="B13" s="7">
        <v>43175</v>
      </c>
      <c r="C13" s="6">
        <v>25.664696020601401</v>
      </c>
      <c r="D13" s="6">
        <v>-12.579513762362399</v>
      </c>
      <c r="E13" s="6">
        <v>53.578475715355601</v>
      </c>
      <c r="F13" s="6">
        <v>25.664696020601401</v>
      </c>
      <c r="G13" s="6">
        <v>25.664696020601401</v>
      </c>
      <c r="H13" s="6">
        <v>-7.9808324141407603</v>
      </c>
      <c r="I13" s="6">
        <v>-7.9808324141407603</v>
      </c>
      <c r="J13" s="6">
        <v>-7.9808324141407603</v>
      </c>
      <c r="K13" s="6">
        <v>-2.29767650650749E-2</v>
      </c>
      <c r="L13" s="6">
        <v>-2.29767650650749E-2</v>
      </c>
      <c r="M13" s="6">
        <v>-2.29767650650749E-2</v>
      </c>
      <c r="N13" s="6">
        <v>-7.9578556490756904</v>
      </c>
      <c r="O13" s="6">
        <v>-7.9578556490756904</v>
      </c>
      <c r="P13" s="6">
        <v>-7.9578556490756904</v>
      </c>
      <c r="Q13" s="6">
        <v>0</v>
      </c>
      <c r="R13" s="6">
        <v>0</v>
      </c>
      <c r="S13" s="6">
        <v>0</v>
      </c>
      <c r="T13" s="6">
        <v>17.683863606460601</v>
      </c>
    </row>
    <row r="14" spans="1:20" ht="15.75" customHeight="1" x14ac:dyDescent="0.15">
      <c r="A14" s="6">
        <v>12</v>
      </c>
      <c r="B14" s="7">
        <v>43178</v>
      </c>
      <c r="C14" s="6">
        <v>25.593312044027201</v>
      </c>
      <c r="D14" s="6">
        <v>-8.4388936620763708</v>
      </c>
      <c r="E14" s="6">
        <v>53.476366359566597</v>
      </c>
      <c r="F14" s="6">
        <v>25.593312044027201</v>
      </c>
      <c r="G14" s="6">
        <v>25.593312044027201</v>
      </c>
      <c r="H14" s="6">
        <v>-3.0455694741321602</v>
      </c>
      <c r="I14" s="6">
        <v>-3.0455694741321602</v>
      </c>
      <c r="J14" s="6">
        <v>-3.0455694741321602</v>
      </c>
      <c r="K14" s="6">
        <v>1.822890608936</v>
      </c>
      <c r="L14" s="6">
        <v>1.822890608936</v>
      </c>
      <c r="M14" s="6">
        <v>1.822890608936</v>
      </c>
      <c r="N14" s="6">
        <v>-4.8684600830681699</v>
      </c>
      <c r="O14" s="6">
        <v>-4.8684600830681699</v>
      </c>
      <c r="P14" s="6">
        <v>-4.8684600830681699</v>
      </c>
      <c r="Q14" s="6">
        <v>0</v>
      </c>
      <c r="R14" s="6">
        <v>0</v>
      </c>
      <c r="S14" s="6">
        <v>0</v>
      </c>
      <c r="T14" s="6">
        <v>22.5477425698951</v>
      </c>
    </row>
    <row r="15" spans="1:20" ht="15.75" customHeight="1" x14ac:dyDescent="0.15">
      <c r="A15" s="6">
        <v>13</v>
      </c>
      <c r="B15" s="7">
        <v>43179</v>
      </c>
      <c r="C15" s="6">
        <v>25.569517385169199</v>
      </c>
      <c r="D15" s="6">
        <v>-9.2835322409500591</v>
      </c>
      <c r="E15" s="6">
        <v>54.007028651961797</v>
      </c>
      <c r="F15" s="6">
        <v>25.569517385169199</v>
      </c>
      <c r="G15" s="6">
        <v>25.569517385169199</v>
      </c>
      <c r="H15" s="6">
        <v>-2.8871353863873899</v>
      </c>
      <c r="I15" s="6">
        <v>-2.8871353863873899</v>
      </c>
      <c r="J15" s="6">
        <v>-2.8871353863873899</v>
      </c>
      <c r="K15" s="6">
        <v>0.84522403106555699</v>
      </c>
      <c r="L15" s="6">
        <v>0.84522403106555699</v>
      </c>
      <c r="M15" s="6">
        <v>0.84522403106555699</v>
      </c>
      <c r="N15" s="6">
        <v>-3.73235941745294</v>
      </c>
      <c r="O15" s="6">
        <v>-3.73235941745294</v>
      </c>
      <c r="P15" s="6">
        <v>-3.73235941745294</v>
      </c>
      <c r="Q15" s="6">
        <v>0</v>
      </c>
      <c r="R15" s="6">
        <v>0</v>
      </c>
      <c r="S15" s="6">
        <v>0</v>
      </c>
      <c r="T15" s="6">
        <v>22.6823819987818</v>
      </c>
    </row>
    <row r="16" spans="1:20" ht="15.75" customHeight="1" x14ac:dyDescent="0.15">
      <c r="A16" s="6">
        <v>14</v>
      </c>
      <c r="B16" s="7">
        <v>43180</v>
      </c>
      <c r="C16" s="6">
        <v>25.545722726311201</v>
      </c>
      <c r="D16" s="6">
        <v>-7.4212376243845704</v>
      </c>
      <c r="E16" s="6">
        <v>54.209388333246501</v>
      </c>
      <c r="F16" s="6">
        <v>25.545722726311201</v>
      </c>
      <c r="G16" s="6">
        <v>25.545722726311201</v>
      </c>
      <c r="H16" s="6">
        <v>-1.63427958489026</v>
      </c>
      <c r="I16" s="6">
        <v>-1.63427958489026</v>
      </c>
      <c r="J16" s="6">
        <v>-1.63427958489026</v>
      </c>
      <c r="K16" s="6">
        <v>0.94874688043784305</v>
      </c>
      <c r="L16" s="6">
        <v>0.94874688043784305</v>
      </c>
      <c r="M16" s="6">
        <v>0.94874688043784305</v>
      </c>
      <c r="N16" s="6">
        <v>-2.5830264653280999</v>
      </c>
      <c r="O16" s="6">
        <v>-2.5830264653280999</v>
      </c>
      <c r="P16" s="6">
        <v>-2.5830264653280999</v>
      </c>
      <c r="Q16" s="6">
        <v>0</v>
      </c>
      <c r="R16" s="6">
        <v>0</v>
      </c>
      <c r="S16" s="6">
        <v>0</v>
      </c>
      <c r="T16" s="6">
        <v>23.9114431414209</v>
      </c>
    </row>
    <row r="17" spans="1:20" ht="15.75" customHeight="1" x14ac:dyDescent="0.15">
      <c r="A17" s="6">
        <v>15</v>
      </c>
      <c r="B17" s="7">
        <v>43181</v>
      </c>
      <c r="C17" s="6">
        <v>25.5219280674531</v>
      </c>
      <c r="D17" s="6">
        <v>-6.7133487701415797</v>
      </c>
      <c r="E17" s="6">
        <v>57.4158899374629</v>
      </c>
      <c r="F17" s="6">
        <v>25.5219280674531</v>
      </c>
      <c r="G17" s="6">
        <v>25.5219280674531</v>
      </c>
      <c r="H17" s="6">
        <v>-0.95266835373812997</v>
      </c>
      <c r="I17" s="6">
        <v>-0.95266835373812997</v>
      </c>
      <c r="J17" s="6">
        <v>-0.95266835373812997</v>
      </c>
      <c r="K17" s="6">
        <v>0.49015521355431702</v>
      </c>
      <c r="L17" s="6">
        <v>0.49015521355431702</v>
      </c>
      <c r="M17" s="6">
        <v>0.49015521355431702</v>
      </c>
      <c r="N17" s="6">
        <v>-1.4428235672924401</v>
      </c>
      <c r="O17" s="6">
        <v>-1.4428235672924401</v>
      </c>
      <c r="P17" s="6">
        <v>-1.4428235672924401</v>
      </c>
      <c r="Q17" s="6">
        <v>0</v>
      </c>
      <c r="R17" s="6">
        <v>0</v>
      </c>
      <c r="S17" s="6">
        <v>0</v>
      </c>
      <c r="T17" s="6">
        <v>24.569259713714999</v>
      </c>
    </row>
    <row r="18" spans="1:20" ht="15.75" customHeight="1" x14ac:dyDescent="0.15">
      <c r="A18" s="6">
        <v>16</v>
      </c>
      <c r="B18" s="7">
        <v>43182</v>
      </c>
      <c r="C18" s="6">
        <v>25.498133408595098</v>
      </c>
      <c r="D18" s="6">
        <v>-9.6031232471009798</v>
      </c>
      <c r="E18" s="6">
        <v>56.526577183158501</v>
      </c>
      <c r="F18" s="6">
        <v>25.498133408595098</v>
      </c>
      <c r="G18" s="6">
        <v>25.498133408595098</v>
      </c>
      <c r="H18" s="6">
        <v>-0.35532587061892801</v>
      </c>
      <c r="I18" s="6">
        <v>-0.35532587061892801</v>
      </c>
      <c r="J18" s="6">
        <v>-0.35532587061892801</v>
      </c>
      <c r="K18" s="6">
        <v>-2.29767650631287E-2</v>
      </c>
      <c r="L18" s="6">
        <v>-2.29767650631287E-2</v>
      </c>
      <c r="M18" s="6">
        <v>-2.29767650631287E-2</v>
      </c>
      <c r="N18" s="6">
        <v>-0.332349105555799</v>
      </c>
      <c r="O18" s="6">
        <v>-0.332349105555799</v>
      </c>
      <c r="P18" s="6">
        <v>-0.332349105555799</v>
      </c>
      <c r="Q18" s="6">
        <v>0</v>
      </c>
      <c r="R18" s="6">
        <v>0</v>
      </c>
      <c r="S18" s="6">
        <v>0</v>
      </c>
      <c r="T18" s="6">
        <v>25.1428075379761</v>
      </c>
    </row>
    <row r="19" spans="1:20" ht="15.75" customHeight="1" x14ac:dyDescent="0.15">
      <c r="A19" s="6">
        <v>17</v>
      </c>
      <c r="B19" s="7">
        <v>43185</v>
      </c>
      <c r="C19" s="6">
        <v>25.426749432021001</v>
      </c>
      <c r="D19" s="6">
        <v>-1.5560992803764899</v>
      </c>
      <c r="E19" s="6">
        <v>61.167074888740899</v>
      </c>
      <c r="F19" s="6">
        <v>25.426749432021001</v>
      </c>
      <c r="G19" s="6">
        <v>25.426749432021001</v>
      </c>
      <c r="H19" s="6">
        <v>4.4723081863465701</v>
      </c>
      <c r="I19" s="6">
        <v>4.4723081863465701</v>
      </c>
      <c r="J19" s="6">
        <v>4.4723081863465701</v>
      </c>
      <c r="K19" s="6">
        <v>1.8228906089365</v>
      </c>
      <c r="L19" s="6">
        <v>1.8228906089365</v>
      </c>
      <c r="M19" s="6">
        <v>1.8228906089365</v>
      </c>
      <c r="N19" s="6">
        <v>2.6494175774100599</v>
      </c>
      <c r="O19" s="6">
        <v>2.6494175774100599</v>
      </c>
      <c r="P19" s="6">
        <v>2.6494175774100599</v>
      </c>
      <c r="Q19" s="6">
        <v>0</v>
      </c>
      <c r="R19" s="6">
        <v>0</v>
      </c>
      <c r="S19" s="6">
        <v>0</v>
      </c>
      <c r="T19" s="6">
        <v>29.8990576183675</v>
      </c>
    </row>
    <row r="20" spans="1:20" ht="15.75" customHeight="1" x14ac:dyDescent="0.15">
      <c r="A20" s="6">
        <v>18</v>
      </c>
      <c r="B20" s="7">
        <v>43186</v>
      </c>
      <c r="C20" s="6">
        <v>25.4029547731629</v>
      </c>
      <c r="D20" s="6">
        <v>-4.1889849373574801</v>
      </c>
      <c r="E20" s="6">
        <v>63.724502994129402</v>
      </c>
      <c r="F20" s="6">
        <v>25.4029547731629</v>
      </c>
      <c r="G20" s="6">
        <v>25.4029547731629</v>
      </c>
      <c r="H20" s="6">
        <v>4.3284693831148502</v>
      </c>
      <c r="I20" s="6">
        <v>4.3284693831148502</v>
      </c>
      <c r="J20" s="6">
        <v>4.3284693831148502</v>
      </c>
      <c r="K20" s="6">
        <v>0.84522403106491095</v>
      </c>
      <c r="L20" s="6">
        <v>0.84522403106491095</v>
      </c>
      <c r="M20" s="6">
        <v>0.84522403106491095</v>
      </c>
      <c r="N20" s="6">
        <v>3.48324535204994</v>
      </c>
      <c r="O20" s="6">
        <v>3.48324535204994</v>
      </c>
      <c r="P20" s="6">
        <v>3.48324535204994</v>
      </c>
      <c r="Q20" s="6">
        <v>0</v>
      </c>
      <c r="R20" s="6">
        <v>0</v>
      </c>
      <c r="S20" s="6">
        <v>0</v>
      </c>
      <c r="T20" s="6">
        <v>29.7314241562778</v>
      </c>
    </row>
    <row r="21" spans="1:20" ht="15.75" customHeight="1" x14ac:dyDescent="0.15">
      <c r="A21" s="6">
        <v>19</v>
      </c>
      <c r="B21" s="7">
        <v>43187</v>
      </c>
      <c r="C21" s="6">
        <v>25.379160114304899</v>
      </c>
      <c r="D21" s="6">
        <v>-0.37742458430661202</v>
      </c>
      <c r="E21" s="6">
        <v>63.815778615259397</v>
      </c>
      <c r="F21" s="6">
        <v>25.379160114304899</v>
      </c>
      <c r="G21" s="6">
        <v>25.379160114304899</v>
      </c>
      <c r="H21" s="6">
        <v>5.1713586891975796</v>
      </c>
      <c r="I21" s="6">
        <v>5.1713586891975796</v>
      </c>
      <c r="J21" s="6">
        <v>5.1713586891975796</v>
      </c>
      <c r="K21" s="6">
        <v>0.94874688043761901</v>
      </c>
      <c r="L21" s="6">
        <v>0.94874688043761901</v>
      </c>
      <c r="M21" s="6">
        <v>0.94874688043761901</v>
      </c>
      <c r="N21" s="6">
        <v>4.22261180875996</v>
      </c>
      <c r="O21" s="6">
        <v>4.22261180875996</v>
      </c>
      <c r="P21" s="6">
        <v>4.22261180875996</v>
      </c>
      <c r="Q21" s="6">
        <v>0</v>
      </c>
      <c r="R21" s="6">
        <v>0</v>
      </c>
      <c r="S21" s="6">
        <v>0</v>
      </c>
      <c r="T21" s="6">
        <v>30.550518803502499</v>
      </c>
    </row>
    <row r="22" spans="1:20" ht="15.75" customHeight="1" x14ac:dyDescent="0.15">
      <c r="A22" s="6">
        <v>20</v>
      </c>
      <c r="B22" s="7">
        <v>43188</v>
      </c>
      <c r="C22" s="6">
        <v>25.355365455446801</v>
      </c>
      <c r="D22" s="6">
        <v>0.59709001139913698</v>
      </c>
      <c r="E22" s="6">
        <v>64.263784722020105</v>
      </c>
      <c r="F22" s="6">
        <v>25.355365455446801</v>
      </c>
      <c r="G22" s="6">
        <v>25.355365455446801</v>
      </c>
      <c r="H22" s="6">
        <v>5.3535301298884104</v>
      </c>
      <c r="I22" s="6">
        <v>5.3535301298884104</v>
      </c>
      <c r="J22" s="6">
        <v>5.3535301298884104</v>
      </c>
      <c r="K22" s="6">
        <v>0.490155213558784</v>
      </c>
      <c r="L22" s="6">
        <v>0.490155213558784</v>
      </c>
      <c r="M22" s="6">
        <v>0.490155213558784</v>
      </c>
      <c r="N22" s="6">
        <v>4.8633749163296303</v>
      </c>
      <c r="O22" s="6">
        <v>4.8633749163296303</v>
      </c>
      <c r="P22" s="6">
        <v>4.8633749163296303</v>
      </c>
      <c r="Q22" s="6">
        <v>0</v>
      </c>
      <c r="R22" s="6">
        <v>0</v>
      </c>
      <c r="S22" s="6">
        <v>0</v>
      </c>
      <c r="T22" s="6">
        <v>30.708895585335299</v>
      </c>
    </row>
    <row r="23" spans="1:20" ht="15.75" customHeight="1" x14ac:dyDescent="0.15">
      <c r="A23" s="6">
        <v>21</v>
      </c>
      <c r="B23" s="7">
        <v>43192</v>
      </c>
      <c r="C23" s="6">
        <v>25.260186820014699</v>
      </c>
      <c r="D23" s="6">
        <v>2.07071011748552</v>
      </c>
      <c r="E23" s="6">
        <v>65.663570523028795</v>
      </c>
      <c r="F23" s="6">
        <v>25.260186820014699</v>
      </c>
      <c r="G23" s="6">
        <v>25.260186820014699</v>
      </c>
      <c r="H23" s="6">
        <v>8.2773947820698304</v>
      </c>
      <c r="I23" s="6">
        <v>8.2773947820698304</v>
      </c>
      <c r="J23" s="6">
        <v>8.2773947820698304</v>
      </c>
      <c r="K23" s="6">
        <v>1.8228906089370001</v>
      </c>
      <c r="L23" s="6">
        <v>1.8228906089370001</v>
      </c>
      <c r="M23" s="6">
        <v>1.8228906089370001</v>
      </c>
      <c r="N23" s="6">
        <v>6.4545041731328201</v>
      </c>
      <c r="O23" s="6">
        <v>6.4545041731328201</v>
      </c>
      <c r="P23" s="6">
        <v>6.4545041731328201</v>
      </c>
      <c r="Q23" s="6">
        <v>0</v>
      </c>
      <c r="R23" s="6">
        <v>0</v>
      </c>
      <c r="S23" s="6">
        <v>0</v>
      </c>
      <c r="T23" s="6">
        <v>33.537581602084501</v>
      </c>
    </row>
    <row r="24" spans="1:20" ht="15.75" customHeight="1" x14ac:dyDescent="0.15">
      <c r="A24" s="6">
        <v>22</v>
      </c>
      <c r="B24" s="7">
        <v>43193</v>
      </c>
      <c r="C24" s="6">
        <v>25.236392161156601</v>
      </c>
      <c r="D24" s="6">
        <v>-0.72622018799935595</v>
      </c>
      <c r="E24" s="6">
        <v>65.121203166428202</v>
      </c>
      <c r="F24" s="6">
        <v>25.236392161156601</v>
      </c>
      <c r="G24" s="6">
        <v>25.236392161156601</v>
      </c>
      <c r="H24" s="6">
        <v>7.47867297751728</v>
      </c>
      <c r="I24" s="6">
        <v>7.47867297751728</v>
      </c>
      <c r="J24" s="6">
        <v>7.47867297751728</v>
      </c>
      <c r="K24" s="6">
        <v>0.84522403106345401</v>
      </c>
      <c r="L24" s="6">
        <v>0.84522403106345401</v>
      </c>
      <c r="M24" s="6">
        <v>0.84522403106345401</v>
      </c>
      <c r="N24" s="6">
        <v>6.6334489464538198</v>
      </c>
      <c r="O24" s="6">
        <v>6.6334489464538198</v>
      </c>
      <c r="P24" s="6">
        <v>6.6334489464538198</v>
      </c>
      <c r="Q24" s="6">
        <v>0</v>
      </c>
      <c r="R24" s="6">
        <v>0</v>
      </c>
      <c r="S24" s="6">
        <v>0</v>
      </c>
      <c r="T24" s="6">
        <v>32.7150651386739</v>
      </c>
    </row>
    <row r="25" spans="1:20" ht="15.75" customHeight="1" x14ac:dyDescent="0.15">
      <c r="A25" s="6">
        <v>23</v>
      </c>
      <c r="B25" s="7">
        <v>43194</v>
      </c>
      <c r="C25" s="6">
        <v>25.2125975022986</v>
      </c>
      <c r="D25" s="6">
        <v>1.8600946074128599</v>
      </c>
      <c r="E25" s="6">
        <v>65.030089536864693</v>
      </c>
      <c r="F25" s="6">
        <v>25.2125975022986</v>
      </c>
      <c r="G25" s="6">
        <v>25.2125975022986</v>
      </c>
      <c r="H25" s="6">
        <v>7.6895514117830599</v>
      </c>
      <c r="I25" s="6">
        <v>7.6895514117830599</v>
      </c>
      <c r="J25" s="6">
        <v>7.6895514117830599</v>
      </c>
      <c r="K25" s="6">
        <v>0.94874688043739597</v>
      </c>
      <c r="L25" s="6">
        <v>0.94874688043739597</v>
      </c>
      <c r="M25" s="6">
        <v>0.94874688043739597</v>
      </c>
      <c r="N25" s="6">
        <v>6.7408045313456597</v>
      </c>
      <c r="O25" s="6">
        <v>6.7408045313456597</v>
      </c>
      <c r="P25" s="6">
        <v>6.7408045313456597</v>
      </c>
      <c r="Q25" s="6">
        <v>0</v>
      </c>
      <c r="R25" s="6">
        <v>0</v>
      </c>
      <c r="S25" s="6">
        <v>0</v>
      </c>
      <c r="T25" s="6">
        <v>32.9021489140817</v>
      </c>
    </row>
    <row r="26" spans="1:20" ht="15.75" customHeight="1" x14ac:dyDescent="0.15">
      <c r="A26" s="6">
        <v>24</v>
      </c>
      <c r="B26" s="7">
        <v>43195</v>
      </c>
      <c r="C26" s="6">
        <v>25.188802843440602</v>
      </c>
      <c r="D26" s="6">
        <v>1.7246358987478502E-2</v>
      </c>
      <c r="E26" s="6">
        <v>66.933566829256904</v>
      </c>
      <c r="F26" s="6">
        <v>25.188802843440602</v>
      </c>
      <c r="G26" s="6">
        <v>25.188802843440602</v>
      </c>
      <c r="H26" s="6">
        <v>7.2766846263840703</v>
      </c>
      <c r="I26" s="6">
        <v>7.2766846263840703</v>
      </c>
      <c r="J26" s="6">
        <v>7.2766846263840703</v>
      </c>
      <c r="K26" s="6">
        <v>0.49015521355594599</v>
      </c>
      <c r="L26" s="6">
        <v>0.49015521355594599</v>
      </c>
      <c r="M26" s="6">
        <v>0.49015521355594599</v>
      </c>
      <c r="N26" s="6">
        <v>6.7865294128281297</v>
      </c>
      <c r="O26" s="6">
        <v>6.7865294128281297</v>
      </c>
      <c r="P26" s="6">
        <v>6.7865294128281297</v>
      </c>
      <c r="Q26" s="6">
        <v>0</v>
      </c>
      <c r="R26" s="6">
        <v>0</v>
      </c>
      <c r="S26" s="6">
        <v>0</v>
      </c>
      <c r="T26" s="6">
        <v>32.465487469824602</v>
      </c>
    </row>
    <row r="27" spans="1:20" ht="15.75" customHeight="1" x14ac:dyDescent="0.15">
      <c r="A27" s="6">
        <v>25</v>
      </c>
      <c r="B27" s="7">
        <v>43196</v>
      </c>
      <c r="C27" s="6">
        <v>25.165008184582501</v>
      </c>
      <c r="D27" s="6">
        <v>-1.79638734415974</v>
      </c>
      <c r="E27" s="6">
        <v>62.122667093043098</v>
      </c>
      <c r="F27" s="6">
        <v>25.165008184582501</v>
      </c>
      <c r="G27" s="6">
        <v>25.165008184582501</v>
      </c>
      <c r="H27" s="6">
        <v>6.7580228056087099</v>
      </c>
      <c r="I27" s="6">
        <v>6.7580228056087099</v>
      </c>
      <c r="J27" s="6">
        <v>6.7580228056087099</v>
      </c>
      <c r="K27" s="6">
        <v>-2.2976765064017201E-2</v>
      </c>
      <c r="L27" s="6">
        <v>-2.2976765064017201E-2</v>
      </c>
      <c r="M27" s="6">
        <v>-2.2976765064017201E-2</v>
      </c>
      <c r="N27" s="6">
        <v>6.7809995706727202</v>
      </c>
      <c r="O27" s="6">
        <v>6.7809995706727202</v>
      </c>
      <c r="P27" s="6">
        <v>6.7809995706727202</v>
      </c>
      <c r="Q27" s="6">
        <v>0</v>
      </c>
      <c r="R27" s="6">
        <v>0</v>
      </c>
      <c r="S27" s="6">
        <v>0</v>
      </c>
      <c r="T27" s="6">
        <v>31.923030990191201</v>
      </c>
    </row>
    <row r="28" spans="1:20" ht="15.75" customHeight="1" x14ac:dyDescent="0.15">
      <c r="A28" s="6">
        <v>26</v>
      </c>
      <c r="B28" s="7">
        <v>43199</v>
      </c>
      <c r="C28" s="6">
        <v>25.0936242080084</v>
      </c>
      <c r="D28" s="6">
        <v>0.634139773956932</v>
      </c>
      <c r="E28" s="6">
        <v>64.208776199902005</v>
      </c>
      <c r="F28" s="6">
        <v>25.0936242080084</v>
      </c>
      <c r="G28" s="6">
        <v>25.0936242080084</v>
      </c>
      <c r="H28" s="6">
        <v>8.3804629511632704</v>
      </c>
      <c r="I28" s="6">
        <v>8.3804629511632704</v>
      </c>
      <c r="J28" s="6">
        <v>8.3804629511632704</v>
      </c>
      <c r="K28" s="6">
        <v>1.82289060893597</v>
      </c>
      <c r="L28" s="6">
        <v>1.82289060893597</v>
      </c>
      <c r="M28" s="6">
        <v>1.82289060893597</v>
      </c>
      <c r="N28" s="6">
        <v>6.5575723422272896</v>
      </c>
      <c r="O28" s="6">
        <v>6.5575723422272896</v>
      </c>
      <c r="P28" s="6">
        <v>6.5575723422272896</v>
      </c>
      <c r="Q28" s="6">
        <v>0</v>
      </c>
      <c r="R28" s="6">
        <v>0</v>
      </c>
      <c r="S28" s="6">
        <v>0</v>
      </c>
      <c r="T28" s="6">
        <v>33.474087159171702</v>
      </c>
    </row>
    <row r="29" spans="1:20" ht="15.75" customHeight="1" x14ac:dyDescent="0.15">
      <c r="A29" s="6">
        <v>27</v>
      </c>
      <c r="B29" s="7">
        <v>43200</v>
      </c>
      <c r="C29" s="6">
        <v>25.069829549150398</v>
      </c>
      <c r="D29" s="6">
        <v>3.8232515925625199</v>
      </c>
      <c r="E29" s="6">
        <v>67.375115244827498</v>
      </c>
      <c r="F29" s="6">
        <v>25.069829549150398</v>
      </c>
      <c r="G29" s="6">
        <v>25.069829549150398</v>
      </c>
      <c r="H29" s="6">
        <v>7.2890504141405401</v>
      </c>
      <c r="I29" s="6">
        <v>7.2890504141405401</v>
      </c>
      <c r="J29" s="6">
        <v>7.2890504141405401</v>
      </c>
      <c r="K29" s="6">
        <v>0.84522403106590605</v>
      </c>
      <c r="L29" s="6">
        <v>0.84522403106590605</v>
      </c>
      <c r="M29" s="6">
        <v>0.84522403106590605</v>
      </c>
      <c r="N29" s="6">
        <v>6.4438263830746303</v>
      </c>
      <c r="O29" s="6">
        <v>6.4438263830746303</v>
      </c>
      <c r="P29" s="6">
        <v>6.4438263830746303</v>
      </c>
      <c r="Q29" s="6">
        <v>0</v>
      </c>
      <c r="R29" s="6">
        <v>0</v>
      </c>
      <c r="S29" s="6">
        <v>0</v>
      </c>
      <c r="T29" s="6">
        <v>32.358879963290903</v>
      </c>
    </row>
    <row r="30" spans="1:20" ht="15.75" customHeight="1" x14ac:dyDescent="0.15">
      <c r="A30" s="6">
        <v>28</v>
      </c>
      <c r="B30" s="7">
        <v>43201</v>
      </c>
      <c r="C30" s="6">
        <v>25.046034890292301</v>
      </c>
      <c r="D30" s="6">
        <v>-1.72586423013056</v>
      </c>
      <c r="E30" s="6">
        <v>63.536488969756299</v>
      </c>
      <c r="F30" s="6">
        <v>25.046034890292301</v>
      </c>
      <c r="G30" s="6">
        <v>25.046034890292301</v>
      </c>
      <c r="H30" s="6">
        <v>7.2708522159697599</v>
      </c>
      <c r="I30" s="6">
        <v>7.2708522159697599</v>
      </c>
      <c r="J30" s="6">
        <v>7.2708522159697599</v>
      </c>
      <c r="K30" s="6">
        <v>0.94874688043656497</v>
      </c>
      <c r="L30" s="6">
        <v>0.94874688043656497</v>
      </c>
      <c r="M30" s="6">
        <v>0.94874688043656497</v>
      </c>
      <c r="N30" s="6">
        <v>6.3221053355331902</v>
      </c>
      <c r="O30" s="6">
        <v>6.3221053355331902</v>
      </c>
      <c r="P30" s="6">
        <v>6.3221053355331902</v>
      </c>
      <c r="Q30" s="6">
        <v>0</v>
      </c>
      <c r="R30" s="6">
        <v>0</v>
      </c>
      <c r="S30" s="6">
        <v>0</v>
      </c>
      <c r="T30" s="6">
        <v>32.316887106262101</v>
      </c>
    </row>
    <row r="31" spans="1:20" ht="15.75" customHeight="1" x14ac:dyDescent="0.15">
      <c r="A31" s="6">
        <v>29</v>
      </c>
      <c r="B31" s="7">
        <v>43202</v>
      </c>
      <c r="C31" s="6">
        <v>25.022240231434299</v>
      </c>
      <c r="D31" s="6">
        <v>9.0934270288712798E-3</v>
      </c>
      <c r="E31" s="6">
        <v>64.471937399325498</v>
      </c>
      <c r="F31" s="6">
        <v>25.022240231434299</v>
      </c>
      <c r="G31" s="6">
        <v>25.022240231434299</v>
      </c>
      <c r="H31" s="6">
        <v>6.6870710191952298</v>
      </c>
      <c r="I31" s="6">
        <v>6.6870710191952298</v>
      </c>
      <c r="J31" s="6">
        <v>6.6870710191952298</v>
      </c>
      <c r="K31" s="6">
        <v>0.49015521355712599</v>
      </c>
      <c r="L31" s="6">
        <v>0.49015521355712599</v>
      </c>
      <c r="M31" s="6">
        <v>0.49015521355712599</v>
      </c>
      <c r="N31" s="6">
        <v>6.1969158056381097</v>
      </c>
      <c r="O31" s="6">
        <v>6.1969158056381097</v>
      </c>
      <c r="P31" s="6">
        <v>6.1969158056381097</v>
      </c>
      <c r="Q31" s="6">
        <v>0</v>
      </c>
      <c r="R31" s="6">
        <v>0</v>
      </c>
      <c r="S31" s="6">
        <v>0</v>
      </c>
      <c r="T31" s="6">
        <v>31.709311250629501</v>
      </c>
    </row>
    <row r="32" spans="1:20" ht="15.75" customHeight="1" x14ac:dyDescent="0.15">
      <c r="A32" s="6">
        <v>30</v>
      </c>
      <c r="B32" s="7">
        <v>43203</v>
      </c>
      <c r="C32" s="6">
        <v>24.998445572576198</v>
      </c>
      <c r="D32" s="6">
        <v>-4.7726903431592804</v>
      </c>
      <c r="E32" s="6">
        <v>63.690544773067302</v>
      </c>
      <c r="F32" s="6">
        <v>24.998445572576198</v>
      </c>
      <c r="G32" s="6">
        <v>24.998445572576198</v>
      </c>
      <c r="H32" s="6">
        <v>6.0478645961684201</v>
      </c>
      <c r="I32" s="6">
        <v>6.0478645961684201</v>
      </c>
      <c r="J32" s="6">
        <v>6.0478645961684201</v>
      </c>
      <c r="K32" s="6">
        <v>-2.29767650620708E-2</v>
      </c>
      <c r="L32" s="6">
        <v>-2.29767650620708E-2</v>
      </c>
      <c r="M32" s="6">
        <v>-2.29767650620708E-2</v>
      </c>
      <c r="N32" s="6">
        <v>6.0708413612304897</v>
      </c>
      <c r="O32" s="6">
        <v>6.0708413612304897</v>
      </c>
      <c r="P32" s="6">
        <v>6.0708413612304897</v>
      </c>
      <c r="Q32" s="6">
        <v>0</v>
      </c>
      <c r="R32" s="6">
        <v>0</v>
      </c>
      <c r="S32" s="6">
        <v>0</v>
      </c>
      <c r="T32" s="6">
        <v>31.0463101687447</v>
      </c>
    </row>
    <row r="33" spans="1:20" ht="15.75" customHeight="1" x14ac:dyDescent="0.15">
      <c r="A33" s="6">
        <v>31</v>
      </c>
      <c r="B33" s="7">
        <v>43206</v>
      </c>
      <c r="C33" s="6">
        <v>24.927061596002101</v>
      </c>
      <c r="D33" s="6">
        <v>0.60895606845143002</v>
      </c>
      <c r="E33" s="6">
        <v>64.817391223324705</v>
      </c>
      <c r="F33" s="6">
        <v>24.927061596002101</v>
      </c>
      <c r="G33" s="6">
        <v>24.927061596002101</v>
      </c>
      <c r="H33" s="6">
        <v>7.5058558971663096</v>
      </c>
      <c r="I33" s="6">
        <v>7.5058558971663096</v>
      </c>
      <c r="J33" s="6">
        <v>7.5058558971663096</v>
      </c>
      <c r="K33" s="6">
        <v>1.82289060893647</v>
      </c>
      <c r="L33" s="6">
        <v>1.82289060893647</v>
      </c>
      <c r="M33" s="6">
        <v>1.82289060893647</v>
      </c>
      <c r="N33" s="6">
        <v>5.6829652882298296</v>
      </c>
      <c r="O33" s="6">
        <v>5.6829652882298296</v>
      </c>
      <c r="P33" s="6">
        <v>5.6829652882298296</v>
      </c>
      <c r="Q33" s="6">
        <v>0</v>
      </c>
      <c r="R33" s="6">
        <v>0</v>
      </c>
      <c r="S33" s="6">
        <v>0</v>
      </c>
      <c r="T33" s="6">
        <v>32.432917493168397</v>
      </c>
    </row>
    <row r="34" spans="1:20" ht="15.75" customHeight="1" x14ac:dyDescent="0.15">
      <c r="A34" s="6">
        <v>32</v>
      </c>
      <c r="B34" s="7">
        <v>43207</v>
      </c>
      <c r="C34" s="6">
        <v>24.9032669371441</v>
      </c>
      <c r="D34" s="6">
        <v>-0.48198650672655602</v>
      </c>
      <c r="E34" s="6">
        <v>63.448278119783303</v>
      </c>
      <c r="F34" s="6">
        <v>24.9032669371441</v>
      </c>
      <c r="G34" s="6">
        <v>24.9032669371441</v>
      </c>
      <c r="H34" s="6">
        <v>6.3844460282949704</v>
      </c>
      <c r="I34" s="6">
        <v>6.3844460282949704</v>
      </c>
      <c r="J34" s="6">
        <v>6.3844460282949704</v>
      </c>
      <c r="K34" s="6">
        <v>0.84522403106444899</v>
      </c>
      <c r="L34" s="6">
        <v>0.84522403106444899</v>
      </c>
      <c r="M34" s="6">
        <v>0.84522403106444899</v>
      </c>
      <c r="N34" s="6">
        <v>5.5392219972305199</v>
      </c>
      <c r="O34" s="6">
        <v>5.5392219972305199</v>
      </c>
      <c r="P34" s="6">
        <v>5.5392219972305199</v>
      </c>
      <c r="Q34" s="6">
        <v>0</v>
      </c>
      <c r="R34" s="6">
        <v>0</v>
      </c>
      <c r="S34" s="6">
        <v>0</v>
      </c>
      <c r="T34" s="6">
        <v>31.287712965438999</v>
      </c>
    </row>
    <row r="35" spans="1:20" ht="15.75" customHeight="1" x14ac:dyDescent="0.15">
      <c r="A35" s="6">
        <v>33</v>
      </c>
      <c r="B35" s="7">
        <v>43208</v>
      </c>
      <c r="C35" s="6">
        <v>24.879472278285998</v>
      </c>
      <c r="D35" s="6">
        <v>-1.0102943478591999</v>
      </c>
      <c r="E35" s="6">
        <v>62.965903995072601</v>
      </c>
      <c r="F35" s="6">
        <v>24.879472278285998</v>
      </c>
      <c r="G35" s="6">
        <v>24.879472278285998</v>
      </c>
      <c r="H35" s="6">
        <v>6.3269722872871199</v>
      </c>
      <c r="I35" s="6">
        <v>6.3269722872871199</v>
      </c>
      <c r="J35" s="6">
        <v>6.3269722872871199</v>
      </c>
      <c r="K35" s="6">
        <v>0.94874688043573496</v>
      </c>
      <c r="L35" s="6">
        <v>0.94874688043573496</v>
      </c>
      <c r="M35" s="6">
        <v>0.94874688043573496</v>
      </c>
      <c r="N35" s="6">
        <v>5.3782254068513797</v>
      </c>
      <c r="O35" s="6">
        <v>5.3782254068513797</v>
      </c>
      <c r="P35" s="6">
        <v>5.3782254068513797</v>
      </c>
      <c r="Q35" s="6">
        <v>0</v>
      </c>
      <c r="R35" s="6">
        <v>0</v>
      </c>
      <c r="S35" s="6">
        <v>0</v>
      </c>
      <c r="T35" s="6">
        <v>31.2064445655732</v>
      </c>
    </row>
    <row r="36" spans="1:20" ht="15.75" customHeight="1" x14ac:dyDescent="0.15">
      <c r="A36" s="6">
        <v>34</v>
      </c>
      <c r="B36" s="7">
        <v>43209</v>
      </c>
      <c r="C36" s="6">
        <v>24.855677619428</v>
      </c>
      <c r="D36" s="6">
        <v>-1.2283564305393899</v>
      </c>
      <c r="E36" s="6">
        <v>61.281836749043499</v>
      </c>
      <c r="F36" s="6">
        <v>24.855677619428</v>
      </c>
      <c r="G36" s="6">
        <v>24.855677619428</v>
      </c>
      <c r="H36" s="6">
        <v>5.6819453725074398</v>
      </c>
      <c r="I36" s="6">
        <v>5.6819453725074398</v>
      </c>
      <c r="J36" s="6">
        <v>5.6819453725074398</v>
      </c>
      <c r="K36" s="6">
        <v>0.49015521355428798</v>
      </c>
      <c r="L36" s="6">
        <v>0.49015521355428798</v>
      </c>
      <c r="M36" s="6">
        <v>0.49015521355428798</v>
      </c>
      <c r="N36" s="6">
        <v>5.1917901589531503</v>
      </c>
      <c r="O36" s="6">
        <v>5.1917901589531503</v>
      </c>
      <c r="P36" s="6">
        <v>5.1917901589531503</v>
      </c>
      <c r="Q36" s="6">
        <v>0</v>
      </c>
      <c r="R36" s="6">
        <v>0</v>
      </c>
      <c r="S36" s="6">
        <v>0</v>
      </c>
      <c r="T36" s="6">
        <v>30.5376229919354</v>
      </c>
    </row>
    <row r="37" spans="1:20" ht="15.75" customHeight="1" x14ac:dyDescent="0.15">
      <c r="A37" s="6">
        <v>35</v>
      </c>
      <c r="B37" s="7">
        <v>43210</v>
      </c>
      <c r="C37" s="6">
        <v>24.831882960569999</v>
      </c>
      <c r="D37" s="6">
        <v>-3.4271885744640902</v>
      </c>
      <c r="E37" s="6">
        <v>63.473315961325497</v>
      </c>
      <c r="F37" s="6">
        <v>24.831882960569999</v>
      </c>
      <c r="G37" s="6">
        <v>24.831882960569999</v>
      </c>
      <c r="H37" s="6">
        <v>4.9477336188797203</v>
      </c>
      <c r="I37" s="6">
        <v>4.9477336188797203</v>
      </c>
      <c r="J37" s="6">
        <v>4.9477336188797203</v>
      </c>
      <c r="K37" s="6">
        <v>-2.2976765064906101E-2</v>
      </c>
      <c r="L37" s="6">
        <v>-2.2976765064906101E-2</v>
      </c>
      <c r="M37" s="6">
        <v>-2.2976765064906101E-2</v>
      </c>
      <c r="N37" s="6">
        <v>4.9707103839446303</v>
      </c>
      <c r="O37" s="6">
        <v>4.9707103839446303</v>
      </c>
      <c r="P37" s="6">
        <v>4.9707103839446303</v>
      </c>
      <c r="Q37" s="6">
        <v>0</v>
      </c>
      <c r="R37" s="6">
        <v>0</v>
      </c>
      <c r="S37" s="6">
        <v>0</v>
      </c>
      <c r="T37" s="6">
        <v>29.779616579449701</v>
      </c>
    </row>
    <row r="38" spans="1:20" ht="15.75" customHeight="1" x14ac:dyDescent="0.15">
      <c r="A38" s="6">
        <v>36</v>
      </c>
      <c r="B38" s="7">
        <v>43213</v>
      </c>
      <c r="C38" s="6">
        <v>24.760498983995799</v>
      </c>
      <c r="D38" s="6">
        <v>-0.80913949791127104</v>
      </c>
      <c r="E38" s="6">
        <v>63.112703182561297</v>
      </c>
      <c r="F38" s="6">
        <v>24.760498983995799</v>
      </c>
      <c r="G38" s="6">
        <v>24.760498983995799</v>
      </c>
      <c r="H38" s="6">
        <v>5.8229386511777603</v>
      </c>
      <c r="I38" s="6">
        <v>5.8229386511777603</v>
      </c>
      <c r="J38" s="6">
        <v>5.8229386511777603</v>
      </c>
      <c r="K38" s="6">
        <v>1.82289060893819</v>
      </c>
      <c r="L38" s="6">
        <v>1.82289060893819</v>
      </c>
      <c r="M38" s="6">
        <v>1.82289060893819</v>
      </c>
      <c r="N38" s="6">
        <v>4.0000480422395697</v>
      </c>
      <c r="O38" s="6">
        <v>4.0000480422395697</v>
      </c>
      <c r="P38" s="6">
        <v>4.0000480422395697</v>
      </c>
      <c r="Q38" s="6">
        <v>0</v>
      </c>
      <c r="R38" s="6">
        <v>0</v>
      </c>
      <c r="S38" s="6">
        <v>0</v>
      </c>
      <c r="T38" s="6">
        <v>30.583437635173599</v>
      </c>
    </row>
    <row r="39" spans="1:20" ht="15.75" customHeight="1" x14ac:dyDescent="0.15">
      <c r="A39" s="6">
        <v>37</v>
      </c>
      <c r="B39" s="7">
        <v>43214</v>
      </c>
      <c r="C39" s="6">
        <v>24.736704325137801</v>
      </c>
      <c r="D39" s="6">
        <v>-2.37491386821105</v>
      </c>
      <c r="E39" s="6">
        <v>62.633123231197999</v>
      </c>
      <c r="F39" s="6">
        <v>24.736704325137801</v>
      </c>
      <c r="G39" s="6">
        <v>24.736704325137801</v>
      </c>
      <c r="H39" s="6">
        <v>4.3863643873948996</v>
      </c>
      <c r="I39" s="6">
        <v>4.3863643873948996</v>
      </c>
      <c r="J39" s="6">
        <v>4.3863643873948996</v>
      </c>
      <c r="K39" s="6">
        <v>0.84522403106690103</v>
      </c>
      <c r="L39" s="6">
        <v>0.84522403106690103</v>
      </c>
      <c r="M39" s="6">
        <v>0.84522403106690103</v>
      </c>
      <c r="N39" s="6">
        <v>3.5411403563279999</v>
      </c>
      <c r="O39" s="6">
        <v>3.5411403563279999</v>
      </c>
      <c r="P39" s="6">
        <v>3.5411403563279999</v>
      </c>
      <c r="Q39" s="6">
        <v>0</v>
      </c>
      <c r="R39" s="6">
        <v>0</v>
      </c>
      <c r="S39" s="6">
        <v>0</v>
      </c>
      <c r="T39" s="6">
        <v>29.123068712532699</v>
      </c>
    </row>
    <row r="40" spans="1:20" ht="15.75" customHeight="1" x14ac:dyDescent="0.15">
      <c r="A40" s="6">
        <v>38</v>
      </c>
      <c r="B40" s="7">
        <v>43215</v>
      </c>
      <c r="C40" s="6">
        <v>24.712909666279799</v>
      </c>
      <c r="D40" s="6">
        <v>-2.9477563350964</v>
      </c>
      <c r="E40" s="6">
        <v>59.3004070013953</v>
      </c>
      <c r="F40" s="6">
        <v>24.712909666279799</v>
      </c>
      <c r="G40" s="6">
        <v>24.712909666279799</v>
      </c>
      <c r="H40" s="6">
        <v>3.9484398006902799</v>
      </c>
      <c r="I40" s="6">
        <v>3.9484398006902799</v>
      </c>
      <c r="J40" s="6">
        <v>3.9484398006902799</v>
      </c>
      <c r="K40" s="6">
        <v>0.948746880438191</v>
      </c>
      <c r="L40" s="6">
        <v>0.948746880438191</v>
      </c>
      <c r="M40" s="6">
        <v>0.948746880438191</v>
      </c>
      <c r="N40" s="6">
        <v>2.9996929202520901</v>
      </c>
      <c r="O40" s="6">
        <v>2.9996929202520901</v>
      </c>
      <c r="P40" s="6">
        <v>2.9996929202520901</v>
      </c>
      <c r="Q40" s="6">
        <v>0</v>
      </c>
      <c r="R40" s="6">
        <v>0</v>
      </c>
      <c r="S40" s="6">
        <v>0</v>
      </c>
      <c r="T40" s="6">
        <v>28.661349466970002</v>
      </c>
    </row>
    <row r="41" spans="1:20" ht="15.75" customHeight="1" x14ac:dyDescent="0.15">
      <c r="A41" s="6">
        <v>39</v>
      </c>
      <c r="B41" s="7">
        <v>43216</v>
      </c>
      <c r="C41" s="6">
        <v>24.689115007421702</v>
      </c>
      <c r="D41" s="6">
        <v>-6.3074295999369996</v>
      </c>
      <c r="E41" s="6">
        <v>58.414843209720701</v>
      </c>
      <c r="F41" s="6">
        <v>24.689115007421702</v>
      </c>
      <c r="G41" s="6">
        <v>24.689115007421702</v>
      </c>
      <c r="H41" s="6">
        <v>2.8587077528684</v>
      </c>
      <c r="I41" s="6">
        <v>2.8587077528684</v>
      </c>
      <c r="J41" s="6">
        <v>2.8587077528684</v>
      </c>
      <c r="K41" s="6">
        <v>0.49015521355473801</v>
      </c>
      <c r="L41" s="6">
        <v>0.49015521355473801</v>
      </c>
      <c r="M41" s="6">
        <v>0.49015521355473801</v>
      </c>
      <c r="N41" s="6">
        <v>2.3685525393136699</v>
      </c>
      <c r="O41" s="6">
        <v>2.3685525393136699</v>
      </c>
      <c r="P41" s="6">
        <v>2.3685525393136699</v>
      </c>
      <c r="Q41" s="6">
        <v>0</v>
      </c>
      <c r="R41" s="6">
        <v>0</v>
      </c>
      <c r="S41" s="6">
        <v>0</v>
      </c>
      <c r="T41" s="6">
        <v>27.547822760290099</v>
      </c>
    </row>
    <row r="42" spans="1:20" ht="15.75" customHeight="1" x14ac:dyDescent="0.15">
      <c r="A42" s="6">
        <v>40</v>
      </c>
      <c r="B42" s="7">
        <v>43217</v>
      </c>
      <c r="C42" s="6">
        <v>24.6653203485637</v>
      </c>
      <c r="D42" s="6">
        <v>-5.2979889680816603</v>
      </c>
      <c r="E42" s="6">
        <v>57.777506549292298</v>
      </c>
      <c r="F42" s="6">
        <v>24.6653203485637</v>
      </c>
      <c r="G42" s="6">
        <v>24.6653203485637</v>
      </c>
      <c r="H42" s="6">
        <v>1.61925675393031</v>
      </c>
      <c r="I42" s="6">
        <v>1.61925675393031</v>
      </c>
      <c r="J42" s="6">
        <v>1.61925675393031</v>
      </c>
      <c r="K42" s="6">
        <v>-2.2976765062959599E-2</v>
      </c>
      <c r="L42" s="6">
        <v>-2.2976765062959599E-2</v>
      </c>
      <c r="M42" s="6">
        <v>-2.2976765062959599E-2</v>
      </c>
      <c r="N42" s="6">
        <v>1.64223351899327</v>
      </c>
      <c r="O42" s="6">
        <v>1.64223351899327</v>
      </c>
      <c r="P42" s="6">
        <v>1.64223351899327</v>
      </c>
      <c r="Q42" s="6">
        <v>0</v>
      </c>
      <c r="R42" s="6">
        <v>0</v>
      </c>
      <c r="S42" s="6">
        <v>0</v>
      </c>
      <c r="T42" s="6">
        <v>26.284577102494001</v>
      </c>
    </row>
    <row r="43" spans="1:20" ht="15.75" customHeight="1" x14ac:dyDescent="0.15">
      <c r="A43" s="6">
        <v>41</v>
      </c>
      <c r="B43" s="7">
        <v>43220</v>
      </c>
      <c r="C43" s="6">
        <v>24.5939363242361</v>
      </c>
      <c r="D43" s="6">
        <v>-7.8007092991954199</v>
      </c>
      <c r="E43" s="6">
        <v>59.683045353843198</v>
      </c>
      <c r="F43" s="6">
        <v>24.5939363242361</v>
      </c>
      <c r="G43" s="6">
        <v>24.5939363242361</v>
      </c>
      <c r="H43" s="6">
        <v>0.69096650666610804</v>
      </c>
      <c r="I43" s="6">
        <v>0.69096650666610804</v>
      </c>
      <c r="J43" s="6">
        <v>0.69096650666610804</v>
      </c>
      <c r="K43" s="6">
        <v>1.82289060893869</v>
      </c>
      <c r="L43" s="6">
        <v>1.82289060893869</v>
      </c>
      <c r="M43" s="6">
        <v>1.82289060893869</v>
      </c>
      <c r="N43" s="6">
        <v>-1.1319241022725799</v>
      </c>
      <c r="O43" s="6">
        <v>-1.1319241022725799</v>
      </c>
      <c r="P43" s="6">
        <v>-1.1319241022725799</v>
      </c>
      <c r="Q43" s="6">
        <v>0</v>
      </c>
      <c r="R43" s="6">
        <v>0</v>
      </c>
      <c r="S43" s="6">
        <v>0</v>
      </c>
      <c r="T43" s="6">
        <v>25.284902830902201</v>
      </c>
    </row>
    <row r="44" spans="1:20" ht="15.75" customHeight="1" x14ac:dyDescent="0.15">
      <c r="A44" s="6">
        <v>42</v>
      </c>
      <c r="B44" s="7">
        <v>43221</v>
      </c>
      <c r="C44" s="6">
        <v>24.570141649460201</v>
      </c>
      <c r="D44" s="6">
        <v>-9.5290119192810501</v>
      </c>
      <c r="E44" s="6">
        <v>56.941295215875797</v>
      </c>
      <c r="F44" s="6">
        <v>24.570141649460201</v>
      </c>
      <c r="G44" s="6">
        <v>24.570141649460201</v>
      </c>
      <c r="H44" s="6">
        <v>-1.40628922039326</v>
      </c>
      <c r="I44" s="6">
        <v>-1.40628922039326</v>
      </c>
      <c r="J44" s="6">
        <v>-1.40628922039326</v>
      </c>
      <c r="K44" s="6">
        <v>0.84522403106773003</v>
      </c>
      <c r="L44" s="6">
        <v>0.84522403106773003</v>
      </c>
      <c r="M44" s="6">
        <v>0.84522403106773003</v>
      </c>
      <c r="N44" s="6">
        <v>-2.2515132514609899</v>
      </c>
      <c r="O44" s="6">
        <v>-2.2515132514609899</v>
      </c>
      <c r="P44" s="6">
        <v>-2.2515132514609899</v>
      </c>
      <c r="Q44" s="6">
        <v>0</v>
      </c>
      <c r="R44" s="6">
        <v>0</v>
      </c>
      <c r="S44" s="6">
        <v>0</v>
      </c>
      <c r="T44" s="6">
        <v>23.163852429066999</v>
      </c>
    </row>
    <row r="45" spans="1:20" ht="15.75" customHeight="1" x14ac:dyDescent="0.15">
      <c r="A45" s="6">
        <v>43</v>
      </c>
      <c r="B45" s="7">
        <v>43222</v>
      </c>
      <c r="C45" s="6">
        <v>24.546346974684401</v>
      </c>
      <c r="D45" s="6">
        <v>-13.162590754095801</v>
      </c>
      <c r="E45" s="6">
        <v>52.640144889358702</v>
      </c>
      <c r="F45" s="6">
        <v>24.546346974684401</v>
      </c>
      <c r="G45" s="6">
        <v>24.546346974684401</v>
      </c>
      <c r="H45" s="6">
        <v>-2.5118990885624601</v>
      </c>
      <c r="I45" s="6">
        <v>-2.5118990885624601</v>
      </c>
      <c r="J45" s="6">
        <v>-2.5118990885624601</v>
      </c>
      <c r="K45" s="6">
        <v>0.94874688043468103</v>
      </c>
      <c r="L45" s="6">
        <v>0.94874688043468103</v>
      </c>
      <c r="M45" s="6">
        <v>0.94874688043468103</v>
      </c>
      <c r="N45" s="6">
        <v>-3.46064596899715</v>
      </c>
      <c r="O45" s="6">
        <v>-3.46064596899715</v>
      </c>
      <c r="P45" s="6">
        <v>-3.46064596899715</v>
      </c>
      <c r="Q45" s="6">
        <v>0</v>
      </c>
      <c r="R45" s="6">
        <v>0</v>
      </c>
      <c r="S45" s="6">
        <v>0</v>
      </c>
      <c r="T45" s="6">
        <v>22.0344478861219</v>
      </c>
    </row>
    <row r="46" spans="1:20" ht="15.75" customHeight="1" x14ac:dyDescent="0.15">
      <c r="A46" s="6">
        <v>44</v>
      </c>
      <c r="B46" s="7">
        <v>43223</v>
      </c>
      <c r="C46" s="6">
        <v>24.522552299908501</v>
      </c>
      <c r="D46" s="6">
        <v>-11.9517632963002</v>
      </c>
      <c r="E46" s="6">
        <v>51.247311175447599</v>
      </c>
      <c r="F46" s="6">
        <v>24.522552299908501</v>
      </c>
      <c r="G46" s="6">
        <v>24.522552299908501</v>
      </c>
      <c r="H46" s="6">
        <v>-4.26076099231895</v>
      </c>
      <c r="I46" s="6">
        <v>-4.26076099231895</v>
      </c>
      <c r="J46" s="6">
        <v>-4.26076099231895</v>
      </c>
      <c r="K46" s="6">
        <v>0.49015521355591701</v>
      </c>
      <c r="L46" s="6">
        <v>0.49015521355591701</v>
      </c>
      <c r="M46" s="6">
        <v>0.49015521355591701</v>
      </c>
      <c r="N46" s="6">
        <v>-4.7509162058748604</v>
      </c>
      <c r="O46" s="6">
        <v>-4.7509162058748604</v>
      </c>
      <c r="P46" s="6">
        <v>-4.7509162058748604</v>
      </c>
      <c r="Q46" s="6">
        <v>0</v>
      </c>
      <c r="R46" s="6">
        <v>0</v>
      </c>
      <c r="S46" s="6">
        <v>0</v>
      </c>
      <c r="T46" s="6">
        <v>20.261791307589601</v>
      </c>
    </row>
    <row r="47" spans="1:20" ht="13" x14ac:dyDescent="0.15">
      <c r="A47" s="6">
        <v>45</v>
      </c>
      <c r="B47" s="7">
        <v>43224</v>
      </c>
      <c r="C47" s="6">
        <v>24.498757625132601</v>
      </c>
      <c r="D47" s="6">
        <v>-12.9864626457097</v>
      </c>
      <c r="E47" s="6">
        <v>51.683250749593597</v>
      </c>
      <c r="F47" s="6">
        <v>24.498757625132601</v>
      </c>
      <c r="G47" s="6">
        <v>24.498757625132601</v>
      </c>
      <c r="H47" s="6">
        <v>-6.1345909883921701</v>
      </c>
      <c r="I47" s="6">
        <v>-6.1345909883921701</v>
      </c>
      <c r="J47" s="6">
        <v>-6.1345909883921701</v>
      </c>
      <c r="K47" s="6">
        <v>-2.2976765065571898E-2</v>
      </c>
      <c r="L47" s="6">
        <v>-2.2976765065571898E-2</v>
      </c>
      <c r="M47" s="6">
        <v>-2.2976765065571898E-2</v>
      </c>
      <c r="N47" s="6">
        <v>-6.1116142233266002</v>
      </c>
      <c r="O47" s="6">
        <v>-6.1116142233266002</v>
      </c>
      <c r="P47" s="6">
        <v>-6.1116142233266002</v>
      </c>
      <c r="Q47" s="6">
        <v>0</v>
      </c>
      <c r="R47" s="6">
        <v>0</v>
      </c>
      <c r="S47" s="6">
        <v>0</v>
      </c>
      <c r="T47" s="6">
        <v>18.364166636740499</v>
      </c>
    </row>
    <row r="48" spans="1:20" ht="13" x14ac:dyDescent="0.15">
      <c r="A48" s="6">
        <v>46</v>
      </c>
      <c r="B48" s="7">
        <v>43227</v>
      </c>
      <c r="C48" s="6">
        <v>24.427373600805101</v>
      </c>
      <c r="D48" s="6">
        <v>-14.6960449973219</v>
      </c>
      <c r="E48" s="6">
        <v>47.924535985677103</v>
      </c>
      <c r="F48" s="6">
        <v>24.427373600805101</v>
      </c>
      <c r="G48" s="6">
        <v>24.427373600805101</v>
      </c>
      <c r="H48" s="6">
        <v>-8.6563782520836696</v>
      </c>
      <c r="I48" s="6">
        <v>-8.6563782520836696</v>
      </c>
      <c r="J48" s="6">
        <v>-8.6563782520836696</v>
      </c>
      <c r="K48" s="6">
        <v>1.8228906089364401</v>
      </c>
      <c r="L48" s="6">
        <v>1.8228906089364401</v>
      </c>
      <c r="M48" s="6">
        <v>1.8228906089364401</v>
      </c>
      <c r="N48" s="6">
        <v>-10.479268861020101</v>
      </c>
      <c r="O48" s="6">
        <v>-10.479268861020101</v>
      </c>
      <c r="P48" s="6">
        <v>-10.479268861020101</v>
      </c>
      <c r="Q48" s="6">
        <v>0</v>
      </c>
      <c r="R48" s="6">
        <v>0</v>
      </c>
      <c r="S48" s="6">
        <v>0</v>
      </c>
      <c r="T48" s="6">
        <v>15.770995348721399</v>
      </c>
    </row>
    <row r="49" spans="1:20" ht="13" x14ac:dyDescent="0.15">
      <c r="A49" s="6">
        <v>47</v>
      </c>
      <c r="B49" s="7">
        <v>43228</v>
      </c>
      <c r="C49" s="6">
        <v>24.403578926029201</v>
      </c>
      <c r="D49" s="6">
        <v>-18.277757661869401</v>
      </c>
      <c r="E49" s="6">
        <v>47.314882846708798</v>
      </c>
      <c r="F49" s="6">
        <v>24.403578926029201</v>
      </c>
      <c r="G49" s="6">
        <v>24.403578926029201</v>
      </c>
      <c r="H49" s="6">
        <v>-11.131603463102801</v>
      </c>
      <c r="I49" s="6">
        <v>-11.131603463102801</v>
      </c>
      <c r="J49" s="6">
        <v>-11.131603463102801</v>
      </c>
      <c r="K49" s="6">
        <v>0.84522403106627297</v>
      </c>
      <c r="L49" s="6">
        <v>0.84522403106627297</v>
      </c>
      <c r="M49" s="6">
        <v>0.84522403106627297</v>
      </c>
      <c r="N49" s="6">
        <v>-11.9768274941691</v>
      </c>
      <c r="O49" s="6">
        <v>-11.9768274941691</v>
      </c>
      <c r="P49" s="6">
        <v>-11.9768274941691</v>
      </c>
      <c r="Q49" s="6">
        <v>0</v>
      </c>
      <c r="R49" s="6">
        <v>0</v>
      </c>
      <c r="S49" s="6">
        <v>0</v>
      </c>
      <c r="T49" s="6">
        <v>13.271975462926299</v>
      </c>
    </row>
    <row r="50" spans="1:20" ht="13" x14ac:dyDescent="0.15">
      <c r="A50" s="6">
        <v>48</v>
      </c>
      <c r="B50" s="7">
        <v>43229</v>
      </c>
      <c r="C50" s="6">
        <v>24.379784251253302</v>
      </c>
      <c r="D50" s="6">
        <v>-19.327973116098601</v>
      </c>
      <c r="E50" s="6">
        <v>44.366806748943503</v>
      </c>
      <c r="F50" s="6">
        <v>24.379784251253302</v>
      </c>
      <c r="G50" s="6">
        <v>24.379784251253302</v>
      </c>
      <c r="H50" s="6">
        <v>-12.517094970195901</v>
      </c>
      <c r="I50" s="6">
        <v>-12.517094970195901</v>
      </c>
      <c r="J50" s="6">
        <v>-12.517094970195901</v>
      </c>
      <c r="K50" s="6">
        <v>0.94874688043652999</v>
      </c>
      <c r="L50" s="6">
        <v>0.94874688043652999</v>
      </c>
      <c r="M50" s="6">
        <v>0.94874688043652999</v>
      </c>
      <c r="N50" s="6">
        <v>-13.465841850632399</v>
      </c>
      <c r="O50" s="6">
        <v>-13.465841850632399</v>
      </c>
      <c r="P50" s="6">
        <v>-13.465841850632399</v>
      </c>
      <c r="Q50" s="6">
        <v>0</v>
      </c>
      <c r="R50" s="6">
        <v>0</v>
      </c>
      <c r="S50" s="6">
        <v>0</v>
      </c>
      <c r="T50" s="6">
        <v>11.862689281057399</v>
      </c>
    </row>
    <row r="51" spans="1:20" ht="13" x14ac:dyDescent="0.15">
      <c r="A51" s="6">
        <v>49</v>
      </c>
      <c r="B51" s="7">
        <v>43230</v>
      </c>
      <c r="C51" s="6">
        <v>24.355989576477501</v>
      </c>
      <c r="D51" s="6">
        <v>-22.049064777395799</v>
      </c>
      <c r="E51" s="6">
        <v>41.019875900280901</v>
      </c>
      <c r="F51" s="6">
        <v>24.355989576477501</v>
      </c>
      <c r="G51" s="6">
        <v>24.355989576477501</v>
      </c>
      <c r="H51" s="6">
        <v>-14.4378340657317</v>
      </c>
      <c r="I51" s="6">
        <v>-14.4378340657317</v>
      </c>
      <c r="J51" s="6">
        <v>-14.4378340657317</v>
      </c>
      <c r="K51" s="6">
        <v>0.49015521355709601</v>
      </c>
      <c r="L51" s="6">
        <v>0.49015521355709601</v>
      </c>
      <c r="M51" s="6">
        <v>0.49015521355709601</v>
      </c>
      <c r="N51" s="6">
        <v>-14.9279892792888</v>
      </c>
      <c r="O51" s="6">
        <v>-14.9279892792888</v>
      </c>
      <c r="P51" s="6">
        <v>-14.9279892792888</v>
      </c>
      <c r="Q51" s="6">
        <v>0</v>
      </c>
      <c r="R51" s="6">
        <v>0</v>
      </c>
      <c r="S51" s="6">
        <v>0</v>
      </c>
      <c r="T51" s="6">
        <v>9.9181555107457697</v>
      </c>
    </row>
    <row r="52" spans="1:20" ht="13" x14ac:dyDescent="0.15">
      <c r="A52" s="6">
        <v>50</v>
      </c>
      <c r="B52" s="7">
        <v>43231</v>
      </c>
      <c r="C52" s="6">
        <v>24.332194901701602</v>
      </c>
      <c r="D52" s="6">
        <v>-24.7015872402932</v>
      </c>
      <c r="E52" s="6">
        <v>40.931383625070403</v>
      </c>
      <c r="F52" s="6">
        <v>24.332194901701602</v>
      </c>
      <c r="G52" s="6">
        <v>24.332194901701602</v>
      </c>
      <c r="H52" s="6">
        <v>-16.368087369421499</v>
      </c>
      <c r="I52" s="6">
        <v>-16.368087369421499</v>
      </c>
      <c r="J52" s="6">
        <v>-16.368087369421499</v>
      </c>
      <c r="K52" s="6">
        <v>-2.2976765059512801E-2</v>
      </c>
      <c r="L52" s="6">
        <v>-2.2976765059512801E-2</v>
      </c>
      <c r="M52" s="6">
        <v>-2.2976765059512801E-2</v>
      </c>
      <c r="N52" s="6">
        <v>-16.345110604361999</v>
      </c>
      <c r="O52" s="6">
        <v>-16.345110604361999</v>
      </c>
      <c r="P52" s="6">
        <v>-16.345110604361999</v>
      </c>
      <c r="Q52" s="6">
        <v>0</v>
      </c>
      <c r="R52" s="6">
        <v>0</v>
      </c>
      <c r="S52" s="6">
        <v>0</v>
      </c>
      <c r="T52" s="6">
        <v>7.96410753228011</v>
      </c>
    </row>
    <row r="53" spans="1:20" ht="13" x14ac:dyDescent="0.15">
      <c r="A53" s="6">
        <v>51</v>
      </c>
      <c r="B53" s="7">
        <v>43234</v>
      </c>
      <c r="C53" s="6">
        <v>24.260810877373999</v>
      </c>
      <c r="D53" s="6">
        <v>-24.6967804016878</v>
      </c>
      <c r="E53" s="6">
        <v>38.970960777196701</v>
      </c>
      <c r="F53" s="6">
        <v>24.260810877373999</v>
      </c>
      <c r="G53" s="6">
        <v>24.260810877373999</v>
      </c>
      <c r="H53" s="6">
        <v>-18.3336900972477</v>
      </c>
      <c r="I53" s="6">
        <v>-18.3336900972477</v>
      </c>
      <c r="J53" s="6">
        <v>-18.3336900972477</v>
      </c>
      <c r="K53" s="6">
        <v>1.82289060893816</v>
      </c>
      <c r="L53" s="6">
        <v>1.82289060893816</v>
      </c>
      <c r="M53" s="6">
        <v>1.82289060893816</v>
      </c>
      <c r="N53" s="6">
        <v>-20.156580706185899</v>
      </c>
      <c r="O53" s="6">
        <v>-20.156580706185899</v>
      </c>
      <c r="P53" s="6">
        <v>-20.156580706185899</v>
      </c>
      <c r="Q53" s="6">
        <v>0</v>
      </c>
      <c r="R53" s="6">
        <v>0</v>
      </c>
      <c r="S53" s="6">
        <v>0</v>
      </c>
      <c r="T53" s="6">
        <v>5.9271207801263097</v>
      </c>
    </row>
    <row r="54" spans="1:20" ht="13" x14ac:dyDescent="0.15">
      <c r="A54" s="6">
        <v>52</v>
      </c>
      <c r="B54" s="7">
        <v>43235</v>
      </c>
      <c r="C54" s="6">
        <v>24.237016202598198</v>
      </c>
      <c r="D54" s="6">
        <v>-27.265260825896799</v>
      </c>
      <c r="E54" s="6">
        <v>34.108320729301703</v>
      </c>
      <c r="F54" s="6">
        <v>24.237016202598198</v>
      </c>
      <c r="G54" s="6">
        <v>24.237016202598198</v>
      </c>
      <c r="H54" s="6">
        <v>-20.385532645704</v>
      </c>
      <c r="I54" s="6">
        <v>-20.385532645704</v>
      </c>
      <c r="J54" s="6">
        <v>-20.385532645704</v>
      </c>
      <c r="K54" s="6">
        <v>0.84522403106643995</v>
      </c>
      <c r="L54" s="6">
        <v>0.84522403106643995</v>
      </c>
      <c r="M54" s="6">
        <v>0.84522403106643995</v>
      </c>
      <c r="N54" s="6">
        <v>-21.2307566767705</v>
      </c>
      <c r="O54" s="6">
        <v>-21.2307566767705</v>
      </c>
      <c r="P54" s="6">
        <v>-21.2307566767705</v>
      </c>
      <c r="Q54" s="6">
        <v>0</v>
      </c>
      <c r="R54" s="6">
        <v>0</v>
      </c>
      <c r="S54" s="6">
        <v>0</v>
      </c>
      <c r="T54" s="6">
        <v>3.8514835568941601</v>
      </c>
    </row>
    <row r="55" spans="1:20" ht="13" x14ac:dyDescent="0.15">
      <c r="A55" s="6">
        <v>53</v>
      </c>
      <c r="B55" s="7">
        <v>43236</v>
      </c>
      <c r="C55" s="6">
        <v>24.213221527822299</v>
      </c>
      <c r="D55" s="6">
        <v>-29.690671509365199</v>
      </c>
      <c r="E55" s="6">
        <v>36.998308100303902</v>
      </c>
      <c r="F55" s="6">
        <v>24.213221527822299</v>
      </c>
      <c r="G55" s="6">
        <v>24.213221527822299</v>
      </c>
      <c r="H55" s="6">
        <v>-21.237939603112299</v>
      </c>
      <c r="I55" s="6">
        <v>-21.237939603112299</v>
      </c>
      <c r="J55" s="6">
        <v>-21.237939603112299</v>
      </c>
      <c r="K55" s="6">
        <v>0.94874688043569999</v>
      </c>
      <c r="L55" s="6">
        <v>0.94874688043569999</v>
      </c>
      <c r="M55" s="6">
        <v>0.94874688043569999</v>
      </c>
      <c r="N55" s="6">
        <v>-22.186686483548002</v>
      </c>
      <c r="O55" s="6">
        <v>-22.186686483548002</v>
      </c>
      <c r="P55" s="6">
        <v>-22.186686483548002</v>
      </c>
      <c r="Q55" s="6">
        <v>0</v>
      </c>
      <c r="R55" s="6">
        <v>0</v>
      </c>
      <c r="S55" s="6">
        <v>0</v>
      </c>
      <c r="T55" s="6">
        <v>2.97528192471</v>
      </c>
    </row>
    <row r="56" spans="1:20" ht="13" x14ac:dyDescent="0.15">
      <c r="A56" s="6">
        <v>54</v>
      </c>
      <c r="B56" s="7">
        <v>43237</v>
      </c>
      <c r="C56" s="6">
        <v>24.189426853046498</v>
      </c>
      <c r="D56" s="6">
        <v>-28.711185210295898</v>
      </c>
      <c r="E56" s="6">
        <v>34.8055750700563</v>
      </c>
      <c r="F56" s="6">
        <v>24.189426853046498</v>
      </c>
      <c r="G56" s="6">
        <v>24.189426853046498</v>
      </c>
      <c r="H56" s="6">
        <v>-22.525654966104302</v>
      </c>
      <c r="I56" s="6">
        <v>-22.525654966104302</v>
      </c>
      <c r="J56" s="6">
        <v>-22.525654966104302</v>
      </c>
      <c r="K56" s="6">
        <v>0.49015521355352898</v>
      </c>
      <c r="L56" s="6">
        <v>0.49015521355352898</v>
      </c>
      <c r="M56" s="6">
        <v>0.49015521355352898</v>
      </c>
      <c r="N56" s="6">
        <v>-23.015810179657802</v>
      </c>
      <c r="O56" s="6">
        <v>-23.015810179657802</v>
      </c>
      <c r="P56" s="6">
        <v>-23.015810179657802</v>
      </c>
      <c r="Q56" s="6">
        <v>0</v>
      </c>
      <c r="R56" s="6">
        <v>0</v>
      </c>
      <c r="S56" s="6">
        <v>0</v>
      </c>
      <c r="T56" s="6">
        <v>1.6637718869422</v>
      </c>
    </row>
    <row r="57" spans="1:20" ht="13" x14ac:dyDescent="0.15">
      <c r="A57" s="6">
        <v>55</v>
      </c>
      <c r="B57" s="7">
        <v>43238</v>
      </c>
      <c r="C57" s="6">
        <v>24.165632178270599</v>
      </c>
      <c r="D57" s="6">
        <v>-31.9876923572461</v>
      </c>
      <c r="E57" s="6">
        <v>32.863362232723802</v>
      </c>
      <c r="F57" s="6">
        <v>24.165632178270599</v>
      </c>
      <c r="G57" s="6">
        <v>24.165632178270599</v>
      </c>
      <c r="H57" s="6">
        <v>-23.735186469228299</v>
      </c>
      <c r="I57" s="6">
        <v>-23.735186469228299</v>
      </c>
      <c r="J57" s="6">
        <v>-23.735186469228299</v>
      </c>
      <c r="K57" s="6">
        <v>-2.2976765062124899E-2</v>
      </c>
      <c r="L57" s="6">
        <v>-2.2976765062124899E-2</v>
      </c>
      <c r="M57" s="6">
        <v>-2.2976765062124899E-2</v>
      </c>
      <c r="N57" s="6">
        <v>-23.712209704166099</v>
      </c>
      <c r="O57" s="6">
        <v>-23.712209704166099</v>
      </c>
      <c r="P57" s="6">
        <v>-23.712209704166099</v>
      </c>
      <c r="Q57" s="6">
        <v>0</v>
      </c>
      <c r="R57" s="6">
        <v>0</v>
      </c>
      <c r="S57" s="6">
        <v>0</v>
      </c>
      <c r="T57" s="6">
        <v>0.43044570904232698</v>
      </c>
    </row>
    <row r="58" spans="1:20" ht="13" x14ac:dyDescent="0.15">
      <c r="A58" s="6">
        <v>56</v>
      </c>
      <c r="B58" s="7">
        <v>43241</v>
      </c>
      <c r="C58" s="6">
        <v>24.094248153942999</v>
      </c>
      <c r="D58" s="6">
        <v>-32.4308820508748</v>
      </c>
      <c r="E58" s="6">
        <v>34.162260783923202</v>
      </c>
      <c r="F58" s="6">
        <v>24.094248153942999</v>
      </c>
      <c r="G58" s="6">
        <v>24.094248153942999</v>
      </c>
      <c r="H58" s="6">
        <v>-23.164807789988199</v>
      </c>
      <c r="I58" s="6">
        <v>-23.164807789988199</v>
      </c>
      <c r="J58" s="6">
        <v>-23.164807789988199</v>
      </c>
      <c r="K58" s="6">
        <v>1.82289060893987</v>
      </c>
      <c r="L58" s="6">
        <v>1.82289060893987</v>
      </c>
      <c r="M58" s="6">
        <v>1.82289060893987</v>
      </c>
      <c r="N58" s="6">
        <v>-24.987698398928099</v>
      </c>
      <c r="O58" s="6">
        <v>-24.987698398928099</v>
      </c>
      <c r="P58" s="6">
        <v>-24.987698398928099</v>
      </c>
      <c r="Q58" s="6">
        <v>0</v>
      </c>
      <c r="R58" s="6">
        <v>0</v>
      </c>
      <c r="S58" s="6">
        <v>0</v>
      </c>
      <c r="T58" s="6">
        <v>0.92944036395481</v>
      </c>
    </row>
    <row r="59" spans="1:20" ht="13" x14ac:dyDescent="0.15">
      <c r="A59" s="6">
        <v>57</v>
      </c>
      <c r="B59" s="7">
        <v>43242</v>
      </c>
      <c r="C59" s="6">
        <v>24.070453479167199</v>
      </c>
      <c r="D59" s="6">
        <v>-32.320439345971302</v>
      </c>
      <c r="E59" s="6">
        <v>32.629405625743701</v>
      </c>
      <c r="F59" s="6">
        <v>24.070453479167199</v>
      </c>
      <c r="G59" s="6">
        <v>24.070453479167199</v>
      </c>
      <c r="H59" s="6">
        <v>-24.3045668179298</v>
      </c>
      <c r="I59" s="6">
        <v>-24.3045668179298</v>
      </c>
      <c r="J59" s="6">
        <v>-24.3045668179298</v>
      </c>
      <c r="K59" s="6">
        <v>0.84522403106726796</v>
      </c>
      <c r="L59" s="6">
        <v>0.84522403106726796</v>
      </c>
      <c r="M59" s="6">
        <v>0.84522403106726796</v>
      </c>
      <c r="N59" s="6">
        <v>-25.1497908489971</v>
      </c>
      <c r="O59" s="6">
        <v>-25.1497908489971</v>
      </c>
      <c r="P59" s="6">
        <v>-25.1497908489971</v>
      </c>
      <c r="Q59" s="6">
        <v>0</v>
      </c>
      <c r="R59" s="6">
        <v>0</v>
      </c>
      <c r="S59" s="6">
        <v>0</v>
      </c>
      <c r="T59" s="6">
        <v>-0.234113338762689</v>
      </c>
    </row>
    <row r="60" spans="1:20" ht="13" x14ac:dyDescent="0.15">
      <c r="A60" s="6">
        <v>58</v>
      </c>
      <c r="B60" s="7">
        <v>43243</v>
      </c>
      <c r="C60" s="6">
        <v>24.046658804391299</v>
      </c>
      <c r="D60" s="6">
        <v>-30.790497628072401</v>
      </c>
      <c r="E60" s="6">
        <v>30.567236697276702</v>
      </c>
      <c r="F60" s="6">
        <v>24.046658804391299</v>
      </c>
      <c r="G60" s="6">
        <v>24.046658804391299</v>
      </c>
      <c r="H60" s="6">
        <v>-24.242314611024</v>
      </c>
      <c r="I60" s="6">
        <v>-24.242314611024</v>
      </c>
      <c r="J60" s="6">
        <v>-24.242314611024</v>
      </c>
      <c r="K60" s="6">
        <v>0.94874688043815603</v>
      </c>
      <c r="L60" s="6">
        <v>0.94874688043815603</v>
      </c>
      <c r="M60" s="6">
        <v>0.94874688043815603</v>
      </c>
      <c r="N60" s="6">
        <v>-25.1910614914622</v>
      </c>
      <c r="O60" s="6">
        <v>-25.1910614914622</v>
      </c>
      <c r="P60" s="6">
        <v>-25.1910614914622</v>
      </c>
      <c r="Q60" s="6">
        <v>0</v>
      </c>
      <c r="R60" s="6">
        <v>0</v>
      </c>
      <c r="S60" s="6">
        <v>0</v>
      </c>
      <c r="T60" s="6">
        <v>-0.195655806632753</v>
      </c>
    </row>
    <row r="61" spans="1:20" ht="13" x14ac:dyDescent="0.15">
      <c r="A61" s="6">
        <v>59</v>
      </c>
      <c r="B61" s="7">
        <v>43244</v>
      </c>
      <c r="C61" s="6">
        <v>24.0228641296154</v>
      </c>
      <c r="D61" s="6">
        <v>-32.650926449329603</v>
      </c>
      <c r="E61" s="6">
        <v>32.950940116026402</v>
      </c>
      <c r="F61" s="6">
        <v>24.0228641296154</v>
      </c>
      <c r="G61" s="6">
        <v>24.0228641296154</v>
      </c>
      <c r="H61" s="6">
        <v>-24.631351494688499</v>
      </c>
      <c r="I61" s="6">
        <v>-24.631351494688499</v>
      </c>
      <c r="J61" s="6">
        <v>-24.631351494688499</v>
      </c>
      <c r="K61" s="6">
        <v>0.49015521355872499</v>
      </c>
      <c r="L61" s="6">
        <v>0.49015521355872499</v>
      </c>
      <c r="M61" s="6">
        <v>0.49015521355872499</v>
      </c>
      <c r="N61" s="6">
        <v>-25.121506708247299</v>
      </c>
      <c r="O61" s="6">
        <v>-25.121506708247299</v>
      </c>
      <c r="P61" s="6">
        <v>-25.121506708247299</v>
      </c>
      <c r="Q61" s="6">
        <v>0</v>
      </c>
      <c r="R61" s="6">
        <v>0</v>
      </c>
      <c r="S61" s="6">
        <v>0</v>
      </c>
      <c r="T61" s="6">
        <v>-0.60848736507311596</v>
      </c>
    </row>
    <row r="62" spans="1:20" ht="13" x14ac:dyDescent="0.15">
      <c r="A62" s="6">
        <v>60</v>
      </c>
      <c r="B62" s="7">
        <v>43245</v>
      </c>
      <c r="C62" s="6">
        <v>23.999069454839599</v>
      </c>
      <c r="D62" s="6">
        <v>-31.726656350091201</v>
      </c>
      <c r="E62" s="6">
        <v>30.516434617757699</v>
      </c>
      <c r="F62" s="6">
        <v>23.999069454839599</v>
      </c>
      <c r="G62" s="6">
        <v>23.999069454839599</v>
      </c>
      <c r="H62" s="6">
        <v>-24.976084630736601</v>
      </c>
      <c r="I62" s="6">
        <v>-24.976084630736601</v>
      </c>
      <c r="J62" s="6">
        <v>-24.976084630736601</v>
      </c>
      <c r="K62" s="6">
        <v>-2.2976765064737101E-2</v>
      </c>
      <c r="L62" s="6">
        <v>-2.2976765064737101E-2</v>
      </c>
      <c r="M62" s="6">
        <v>-2.2976765064737101E-2</v>
      </c>
      <c r="N62" s="6">
        <v>-24.9531078656719</v>
      </c>
      <c r="O62" s="6">
        <v>-24.9531078656719</v>
      </c>
      <c r="P62" s="6">
        <v>-24.9531078656719</v>
      </c>
      <c r="Q62" s="6">
        <v>0</v>
      </c>
      <c r="R62" s="6">
        <v>0</v>
      </c>
      <c r="S62" s="6">
        <v>0</v>
      </c>
      <c r="T62" s="6">
        <v>-0.97701517589703002</v>
      </c>
    </row>
    <row r="63" spans="1:20" ht="13" x14ac:dyDescent="0.15">
      <c r="A63" s="6">
        <v>61</v>
      </c>
      <c r="B63" s="7">
        <v>43249</v>
      </c>
      <c r="C63" s="6">
        <v>23.9038907557361</v>
      </c>
      <c r="D63" s="6">
        <v>-30.545131310033799</v>
      </c>
      <c r="E63" s="6">
        <v>32.704925692691702</v>
      </c>
      <c r="F63" s="6">
        <v>23.9038907557361</v>
      </c>
      <c r="G63" s="6">
        <v>23.9038907557361</v>
      </c>
      <c r="H63" s="6">
        <v>-22.734091623577001</v>
      </c>
      <c r="I63" s="6">
        <v>-22.734091623577001</v>
      </c>
      <c r="J63" s="6">
        <v>-22.734091623577001</v>
      </c>
      <c r="K63" s="6">
        <v>0.84522403106662303</v>
      </c>
      <c r="L63" s="6">
        <v>0.84522403106662303</v>
      </c>
      <c r="M63" s="6">
        <v>0.84522403106662303</v>
      </c>
      <c r="N63" s="6">
        <v>-23.579315654643601</v>
      </c>
      <c r="O63" s="6">
        <v>-23.579315654643601</v>
      </c>
      <c r="P63" s="6">
        <v>-23.579315654643601</v>
      </c>
      <c r="Q63" s="6">
        <v>0</v>
      </c>
      <c r="R63" s="6">
        <v>0</v>
      </c>
      <c r="S63" s="6">
        <v>0</v>
      </c>
      <c r="T63" s="6">
        <v>1.1697991321591299</v>
      </c>
    </row>
    <row r="64" spans="1:20" ht="13" x14ac:dyDescent="0.15">
      <c r="A64" s="6">
        <v>62</v>
      </c>
      <c r="B64" s="7">
        <v>43250</v>
      </c>
      <c r="C64" s="6">
        <v>23.8800960809603</v>
      </c>
      <c r="D64" s="6">
        <v>-31.016730574142599</v>
      </c>
      <c r="E64" s="6">
        <v>34.695592902878097</v>
      </c>
      <c r="F64" s="6">
        <v>23.8800960809603</v>
      </c>
      <c r="G64" s="6">
        <v>23.8800960809603</v>
      </c>
      <c r="H64" s="6">
        <v>-22.190424069428499</v>
      </c>
      <c r="I64" s="6">
        <v>-22.190424069428499</v>
      </c>
      <c r="J64" s="6">
        <v>-22.190424069428499</v>
      </c>
      <c r="K64" s="6">
        <v>0.94874688044000599</v>
      </c>
      <c r="L64" s="6">
        <v>0.94874688044000599</v>
      </c>
      <c r="M64" s="6">
        <v>0.94874688044000599</v>
      </c>
      <c r="N64" s="6">
        <v>-23.1391709498685</v>
      </c>
      <c r="O64" s="6">
        <v>-23.1391709498685</v>
      </c>
      <c r="P64" s="6">
        <v>-23.1391709498685</v>
      </c>
      <c r="Q64" s="6">
        <v>0</v>
      </c>
      <c r="R64" s="6">
        <v>0</v>
      </c>
      <c r="S64" s="6">
        <v>0</v>
      </c>
      <c r="T64" s="6">
        <v>1.68967201153177</v>
      </c>
    </row>
    <row r="65" spans="1:20" ht="13" x14ac:dyDescent="0.15">
      <c r="A65" s="6">
        <v>63</v>
      </c>
      <c r="B65" s="7">
        <v>43251</v>
      </c>
      <c r="C65" s="6">
        <v>23.8563014061844</v>
      </c>
      <c r="D65" s="6">
        <v>-31.411101801312899</v>
      </c>
      <c r="E65" s="6">
        <v>31.0460754019429</v>
      </c>
      <c r="F65" s="6">
        <v>23.8563014061844</v>
      </c>
      <c r="G65" s="6">
        <v>23.8563014061844</v>
      </c>
      <c r="H65" s="6">
        <v>-22.2015948367719</v>
      </c>
      <c r="I65" s="6">
        <v>-22.2015948367719</v>
      </c>
      <c r="J65" s="6">
        <v>-22.2015948367719</v>
      </c>
      <c r="K65" s="6">
        <v>0.49015521355588798</v>
      </c>
      <c r="L65" s="6">
        <v>0.49015521355588798</v>
      </c>
      <c r="M65" s="6">
        <v>0.49015521355588798</v>
      </c>
      <c r="N65" s="6">
        <v>-22.691750050327801</v>
      </c>
      <c r="O65" s="6">
        <v>-22.691750050327801</v>
      </c>
      <c r="P65" s="6">
        <v>-22.691750050327801</v>
      </c>
      <c r="Q65" s="6">
        <v>0</v>
      </c>
      <c r="R65" s="6">
        <v>0</v>
      </c>
      <c r="S65" s="6">
        <v>0</v>
      </c>
      <c r="T65" s="6">
        <v>1.6547065694124601</v>
      </c>
    </row>
    <row r="66" spans="1:20" ht="13" x14ac:dyDescent="0.15">
      <c r="A66" s="6">
        <v>64</v>
      </c>
      <c r="B66" s="7">
        <v>43252</v>
      </c>
      <c r="C66" s="6">
        <v>23.8325067314085</v>
      </c>
      <c r="D66" s="6">
        <v>-30.055398652547002</v>
      </c>
      <c r="E66" s="6">
        <v>32.615442289575</v>
      </c>
      <c r="F66" s="6">
        <v>23.8325067314085</v>
      </c>
      <c r="G66" s="6">
        <v>23.8325067314085</v>
      </c>
      <c r="H66" s="6">
        <v>-22.274555924243899</v>
      </c>
      <c r="I66" s="6">
        <v>-22.274555924243899</v>
      </c>
      <c r="J66" s="6">
        <v>-22.274555924243899</v>
      </c>
      <c r="K66" s="6">
        <v>-2.2976765067349102E-2</v>
      </c>
      <c r="L66" s="6">
        <v>-2.2976765067349102E-2</v>
      </c>
      <c r="M66" s="6">
        <v>-2.2976765067349102E-2</v>
      </c>
      <c r="N66" s="6">
        <v>-22.2515791591766</v>
      </c>
      <c r="O66" s="6">
        <v>-22.2515791591766</v>
      </c>
      <c r="P66" s="6">
        <v>-22.2515791591766</v>
      </c>
      <c r="Q66" s="6">
        <v>0</v>
      </c>
      <c r="R66" s="6">
        <v>0</v>
      </c>
      <c r="S66" s="6">
        <v>0</v>
      </c>
      <c r="T66" s="6">
        <v>1.55795080716459</v>
      </c>
    </row>
    <row r="67" spans="1:20" ht="13" x14ac:dyDescent="0.15">
      <c r="A67" s="6">
        <v>65</v>
      </c>
      <c r="B67" s="7">
        <v>43255</v>
      </c>
      <c r="C67" s="6">
        <v>23.761122707081</v>
      </c>
      <c r="D67" s="6">
        <v>-27.578024930426199</v>
      </c>
      <c r="E67" s="6">
        <v>34.637923082386699</v>
      </c>
      <c r="F67" s="6">
        <v>23.761122707081</v>
      </c>
      <c r="G67" s="6">
        <v>23.761122707081</v>
      </c>
      <c r="H67" s="6">
        <v>-19.275397149776499</v>
      </c>
      <c r="I67" s="6">
        <v>-19.275397149776499</v>
      </c>
      <c r="J67" s="6">
        <v>-19.275397149776499</v>
      </c>
      <c r="K67" s="6">
        <v>1.82289060893538</v>
      </c>
      <c r="L67" s="6">
        <v>1.82289060893538</v>
      </c>
      <c r="M67" s="6">
        <v>1.82289060893538</v>
      </c>
      <c r="N67" s="6">
        <v>-21.098287758711901</v>
      </c>
      <c r="O67" s="6">
        <v>-21.098287758711901</v>
      </c>
      <c r="P67" s="6">
        <v>-21.098287758711901</v>
      </c>
      <c r="Q67" s="6">
        <v>0</v>
      </c>
      <c r="R67" s="6">
        <v>0</v>
      </c>
      <c r="S67" s="6">
        <v>0</v>
      </c>
      <c r="T67" s="6">
        <v>4.4857255573044696</v>
      </c>
    </row>
    <row r="68" spans="1:20" ht="13" x14ac:dyDescent="0.15">
      <c r="A68" s="6">
        <v>66</v>
      </c>
      <c r="B68" s="7">
        <v>43256</v>
      </c>
      <c r="C68" s="6">
        <v>23.737328032305101</v>
      </c>
      <c r="D68" s="6">
        <v>-28.6357174136092</v>
      </c>
      <c r="E68" s="6">
        <v>37.003904764803202</v>
      </c>
      <c r="F68" s="6">
        <v>23.737328032305101</v>
      </c>
      <c r="G68" s="6">
        <v>23.737328032305101</v>
      </c>
      <c r="H68" s="6">
        <v>-19.956336337970001</v>
      </c>
      <c r="I68" s="6">
        <v>-19.956336337970001</v>
      </c>
      <c r="J68" s="6">
        <v>-19.956336337970001</v>
      </c>
      <c r="K68" s="6">
        <v>0.84522403106597799</v>
      </c>
      <c r="L68" s="6">
        <v>0.84522403106597799</v>
      </c>
      <c r="M68" s="6">
        <v>0.84522403106597799</v>
      </c>
      <c r="N68" s="6">
        <v>-20.801560369035901</v>
      </c>
      <c r="O68" s="6">
        <v>-20.801560369035901</v>
      </c>
      <c r="P68" s="6">
        <v>-20.801560369035901</v>
      </c>
      <c r="Q68" s="6">
        <v>0</v>
      </c>
      <c r="R68" s="6">
        <v>0</v>
      </c>
      <c r="S68" s="6">
        <v>0</v>
      </c>
      <c r="T68" s="6">
        <v>3.78099169433513</v>
      </c>
    </row>
    <row r="69" spans="1:20" ht="13" x14ac:dyDescent="0.15">
      <c r="A69" s="6">
        <v>67</v>
      </c>
      <c r="B69" s="7">
        <v>43257</v>
      </c>
      <c r="C69" s="6">
        <v>23.713533357529201</v>
      </c>
      <c r="D69" s="6">
        <v>-26.054824029348101</v>
      </c>
      <c r="E69" s="6">
        <v>34.256655629479702</v>
      </c>
      <c r="F69" s="6">
        <v>23.713533357529201</v>
      </c>
      <c r="G69" s="6">
        <v>23.713533357529201</v>
      </c>
      <c r="H69" s="6">
        <v>-19.6105113001537</v>
      </c>
      <c r="I69" s="6">
        <v>-19.6105113001537</v>
      </c>
      <c r="J69" s="6">
        <v>-19.6105113001537</v>
      </c>
      <c r="K69" s="6">
        <v>0.94874688043649502</v>
      </c>
      <c r="L69" s="6">
        <v>0.94874688043649502</v>
      </c>
      <c r="M69" s="6">
        <v>0.94874688043649502</v>
      </c>
      <c r="N69" s="6">
        <v>-20.559258180590199</v>
      </c>
      <c r="O69" s="6">
        <v>-20.559258180590199</v>
      </c>
      <c r="P69" s="6">
        <v>-20.559258180590199</v>
      </c>
      <c r="Q69" s="6">
        <v>0</v>
      </c>
      <c r="R69" s="6">
        <v>0</v>
      </c>
      <c r="S69" s="6">
        <v>0</v>
      </c>
      <c r="T69" s="6">
        <v>4.1030220573754903</v>
      </c>
    </row>
    <row r="70" spans="1:20" ht="13" x14ac:dyDescent="0.15">
      <c r="A70" s="6">
        <v>68</v>
      </c>
      <c r="B70" s="7">
        <v>43258</v>
      </c>
      <c r="C70" s="6">
        <v>23.689738682753401</v>
      </c>
      <c r="D70" s="6">
        <v>-27.780851205536099</v>
      </c>
      <c r="E70" s="6">
        <v>35.377751264080104</v>
      </c>
      <c r="F70" s="6">
        <v>23.689738682753401</v>
      </c>
      <c r="G70" s="6">
        <v>23.689738682753401</v>
      </c>
      <c r="H70" s="6">
        <v>-19.884053146740001</v>
      </c>
      <c r="I70" s="6">
        <v>-19.884053146740001</v>
      </c>
      <c r="J70" s="6">
        <v>-19.884053146740001</v>
      </c>
      <c r="K70" s="6">
        <v>0.49015521355962599</v>
      </c>
      <c r="L70" s="6">
        <v>0.49015521355962599</v>
      </c>
      <c r="M70" s="6">
        <v>0.49015521355962599</v>
      </c>
      <c r="N70" s="6">
        <v>-20.374208360299701</v>
      </c>
      <c r="O70" s="6">
        <v>-20.374208360299701</v>
      </c>
      <c r="P70" s="6">
        <v>-20.374208360299701</v>
      </c>
      <c r="Q70" s="6">
        <v>0</v>
      </c>
      <c r="R70" s="6">
        <v>0</v>
      </c>
      <c r="S70" s="6">
        <v>0</v>
      </c>
      <c r="T70" s="6">
        <v>3.8056855360133399</v>
      </c>
    </row>
    <row r="71" spans="1:20" ht="13" x14ac:dyDescent="0.15">
      <c r="A71" s="6">
        <v>69</v>
      </c>
      <c r="B71" s="7">
        <v>43259</v>
      </c>
      <c r="C71" s="6">
        <v>23.665944007977501</v>
      </c>
      <c r="D71" s="6">
        <v>-29.3340789041685</v>
      </c>
      <c r="E71" s="6">
        <v>32.963325336567003</v>
      </c>
      <c r="F71" s="6">
        <v>23.665944007977501</v>
      </c>
      <c r="G71" s="6">
        <v>23.665944007977501</v>
      </c>
      <c r="H71" s="6">
        <v>-20.269822140586601</v>
      </c>
      <c r="I71" s="6">
        <v>-20.269822140586601</v>
      </c>
      <c r="J71" s="6">
        <v>-20.269822140586601</v>
      </c>
      <c r="K71" s="6">
        <v>-2.2976765061067501E-2</v>
      </c>
      <c r="L71" s="6">
        <v>-2.2976765061067501E-2</v>
      </c>
      <c r="M71" s="6">
        <v>-2.2976765061067501E-2</v>
      </c>
      <c r="N71" s="6">
        <v>-20.246845375525499</v>
      </c>
      <c r="O71" s="6">
        <v>-20.246845375525499</v>
      </c>
      <c r="P71" s="6">
        <v>-20.246845375525499</v>
      </c>
      <c r="Q71" s="6">
        <v>0</v>
      </c>
      <c r="R71" s="6">
        <v>0</v>
      </c>
      <c r="S71" s="6">
        <v>0</v>
      </c>
      <c r="T71" s="6">
        <v>3.3961218673909102</v>
      </c>
    </row>
    <row r="72" spans="1:20" ht="13" x14ac:dyDescent="0.15">
      <c r="A72" s="6">
        <v>70</v>
      </c>
      <c r="B72" s="7">
        <v>43262</v>
      </c>
      <c r="C72" s="6">
        <v>23.594559983649901</v>
      </c>
      <c r="D72" s="6">
        <v>-28.057185290836198</v>
      </c>
      <c r="E72" s="6">
        <v>38.029080990926197</v>
      </c>
      <c r="F72" s="6">
        <v>23.594559983649901</v>
      </c>
      <c r="G72" s="6">
        <v>23.594559983649901</v>
      </c>
      <c r="H72" s="6">
        <v>-18.358223491892499</v>
      </c>
      <c r="I72" s="6">
        <v>-18.358223491892499</v>
      </c>
      <c r="J72" s="6">
        <v>-18.358223491892499</v>
      </c>
      <c r="K72" s="6">
        <v>1.8228906089358801</v>
      </c>
      <c r="L72" s="6">
        <v>1.8228906089358801</v>
      </c>
      <c r="M72" s="6">
        <v>1.8228906089358801</v>
      </c>
      <c r="N72" s="6">
        <v>-20.181114100828399</v>
      </c>
      <c r="O72" s="6">
        <v>-20.181114100828399</v>
      </c>
      <c r="P72" s="6">
        <v>-20.181114100828399</v>
      </c>
      <c r="Q72" s="6">
        <v>0</v>
      </c>
      <c r="R72" s="6">
        <v>0</v>
      </c>
      <c r="S72" s="6">
        <v>0</v>
      </c>
      <c r="T72" s="6">
        <v>5.2363364917574096</v>
      </c>
    </row>
    <row r="73" spans="1:20" ht="13" x14ac:dyDescent="0.15">
      <c r="A73" s="6">
        <v>71</v>
      </c>
      <c r="B73" s="7">
        <v>43263</v>
      </c>
      <c r="C73" s="6">
        <v>23.570765308874101</v>
      </c>
      <c r="D73" s="6">
        <v>-25.163344744071001</v>
      </c>
      <c r="E73" s="6">
        <v>37.719645404275603</v>
      </c>
      <c r="F73" s="6">
        <v>23.570765308874101</v>
      </c>
      <c r="G73" s="6">
        <v>23.570765308874101</v>
      </c>
      <c r="H73" s="6">
        <v>-19.3993553621488</v>
      </c>
      <c r="I73" s="6">
        <v>-19.3993553621488</v>
      </c>
      <c r="J73" s="6">
        <v>-19.3993553621488</v>
      </c>
      <c r="K73" s="6">
        <v>0.84522403106533295</v>
      </c>
      <c r="L73" s="6">
        <v>0.84522403106533295</v>
      </c>
      <c r="M73" s="6">
        <v>0.84522403106533295</v>
      </c>
      <c r="N73" s="6">
        <v>-20.244579393214199</v>
      </c>
      <c r="O73" s="6">
        <v>-20.244579393214199</v>
      </c>
      <c r="P73" s="6">
        <v>-20.244579393214199</v>
      </c>
      <c r="Q73" s="6">
        <v>0</v>
      </c>
      <c r="R73" s="6">
        <v>0</v>
      </c>
      <c r="S73" s="6">
        <v>0</v>
      </c>
      <c r="T73" s="6">
        <v>4.1714099467252499</v>
      </c>
    </row>
    <row r="74" spans="1:20" ht="13" x14ac:dyDescent="0.15">
      <c r="A74" s="6">
        <v>72</v>
      </c>
      <c r="B74" s="7">
        <v>43264</v>
      </c>
      <c r="C74" s="6">
        <v>23.546970634098201</v>
      </c>
      <c r="D74" s="6">
        <v>-27.737890362878201</v>
      </c>
      <c r="E74" s="6">
        <v>35.038882051806503</v>
      </c>
      <c r="F74" s="6">
        <v>23.546970634098201</v>
      </c>
      <c r="G74" s="6">
        <v>23.546970634098201</v>
      </c>
      <c r="H74" s="6">
        <v>-19.387748361441702</v>
      </c>
      <c r="I74" s="6">
        <v>-19.387748361441702</v>
      </c>
      <c r="J74" s="6">
        <v>-19.387748361441702</v>
      </c>
      <c r="K74" s="6">
        <v>0.94874688043895195</v>
      </c>
      <c r="L74" s="6">
        <v>0.94874688043895195</v>
      </c>
      <c r="M74" s="6">
        <v>0.94874688043895195</v>
      </c>
      <c r="N74" s="6">
        <v>-20.336495241880701</v>
      </c>
      <c r="O74" s="6">
        <v>-20.336495241880701</v>
      </c>
      <c r="P74" s="6">
        <v>-20.336495241880701</v>
      </c>
      <c r="Q74" s="6">
        <v>0</v>
      </c>
      <c r="R74" s="6">
        <v>0</v>
      </c>
      <c r="S74" s="6">
        <v>0</v>
      </c>
      <c r="T74" s="6">
        <v>4.1592222726564803</v>
      </c>
    </row>
    <row r="75" spans="1:20" ht="13" x14ac:dyDescent="0.15">
      <c r="A75" s="6">
        <v>73</v>
      </c>
      <c r="B75" s="7">
        <v>43265</v>
      </c>
      <c r="C75" s="6">
        <v>23.523175959322302</v>
      </c>
      <c r="D75" s="6">
        <v>-28.069389009749699</v>
      </c>
      <c r="E75" s="6">
        <v>37.448585161527902</v>
      </c>
      <c r="F75" s="6">
        <v>23.523175959322302</v>
      </c>
      <c r="G75" s="6">
        <v>23.523175959322302</v>
      </c>
      <c r="H75" s="6">
        <v>-19.956305191444599</v>
      </c>
      <c r="I75" s="6">
        <v>-19.956305191444599</v>
      </c>
      <c r="J75" s="6">
        <v>-19.956305191444599</v>
      </c>
      <c r="K75" s="6">
        <v>0.49015521355678798</v>
      </c>
      <c r="L75" s="6">
        <v>0.49015521355678798</v>
      </c>
      <c r="M75" s="6">
        <v>0.49015521355678798</v>
      </c>
      <c r="N75" s="6">
        <v>-20.4464604050014</v>
      </c>
      <c r="O75" s="6">
        <v>-20.4464604050014</v>
      </c>
      <c r="P75" s="6">
        <v>-20.4464604050014</v>
      </c>
      <c r="Q75" s="6">
        <v>0</v>
      </c>
      <c r="R75" s="6">
        <v>0</v>
      </c>
      <c r="S75" s="6">
        <v>0</v>
      </c>
      <c r="T75" s="6">
        <v>3.5668707678777398</v>
      </c>
    </row>
    <row r="76" spans="1:20" ht="13" x14ac:dyDescent="0.15">
      <c r="A76" s="6">
        <v>74</v>
      </c>
      <c r="B76" s="7">
        <v>43266</v>
      </c>
      <c r="C76" s="6">
        <v>23.499381284546502</v>
      </c>
      <c r="D76" s="6">
        <v>-30.223641601653199</v>
      </c>
      <c r="E76" s="6">
        <v>36.031465832231397</v>
      </c>
      <c r="F76" s="6">
        <v>23.499381284546502</v>
      </c>
      <c r="G76" s="6">
        <v>23.499381284546502</v>
      </c>
      <c r="H76" s="6">
        <v>-20.5863158788408</v>
      </c>
      <c r="I76" s="6">
        <v>-20.5863158788408</v>
      </c>
      <c r="J76" s="6">
        <v>-20.5863158788408</v>
      </c>
      <c r="K76" s="6">
        <v>-2.2976765063679499E-2</v>
      </c>
      <c r="L76" s="6">
        <v>-2.2976765063679499E-2</v>
      </c>
      <c r="M76" s="6">
        <v>-2.2976765063679499E-2</v>
      </c>
      <c r="N76" s="6">
        <v>-20.563339113777101</v>
      </c>
      <c r="O76" s="6">
        <v>-20.563339113777101</v>
      </c>
      <c r="P76" s="6">
        <v>-20.563339113777101</v>
      </c>
      <c r="Q76" s="6">
        <v>0</v>
      </c>
      <c r="R76" s="6">
        <v>0</v>
      </c>
      <c r="S76" s="6">
        <v>0</v>
      </c>
      <c r="T76" s="6">
        <v>2.9130654057056802</v>
      </c>
    </row>
    <row r="77" spans="1:20" ht="13" x14ac:dyDescent="0.15">
      <c r="A77" s="6">
        <v>75</v>
      </c>
      <c r="B77" s="7">
        <v>43269</v>
      </c>
      <c r="C77" s="6">
        <v>23.427997260218898</v>
      </c>
      <c r="D77" s="6">
        <v>-28.1812346702377</v>
      </c>
      <c r="E77" s="6">
        <v>36.350226074300899</v>
      </c>
      <c r="F77" s="6">
        <v>23.427997260218898</v>
      </c>
      <c r="G77" s="6">
        <v>23.427997260218898</v>
      </c>
      <c r="H77" s="6">
        <v>-19.018335162027899</v>
      </c>
      <c r="I77" s="6">
        <v>-19.018335162027899</v>
      </c>
      <c r="J77" s="6">
        <v>-19.018335162027899</v>
      </c>
      <c r="K77" s="6">
        <v>1.82289060893485</v>
      </c>
      <c r="L77" s="6">
        <v>1.82289060893485</v>
      </c>
      <c r="M77" s="6">
        <v>1.82289060893485</v>
      </c>
      <c r="N77" s="6">
        <v>-20.841225770962701</v>
      </c>
      <c r="O77" s="6">
        <v>-20.841225770962701</v>
      </c>
      <c r="P77" s="6">
        <v>-20.841225770962701</v>
      </c>
      <c r="Q77" s="6">
        <v>0</v>
      </c>
      <c r="R77" s="6">
        <v>0</v>
      </c>
      <c r="S77" s="6">
        <v>0</v>
      </c>
      <c r="T77" s="6">
        <v>4.4096620981910304</v>
      </c>
    </row>
    <row r="78" spans="1:20" ht="13" x14ac:dyDescent="0.15">
      <c r="A78" s="6">
        <v>76</v>
      </c>
      <c r="B78" s="7">
        <v>43270</v>
      </c>
      <c r="C78" s="6">
        <v>23.404202585442999</v>
      </c>
      <c r="D78" s="6">
        <v>-28.050448756259801</v>
      </c>
      <c r="E78" s="6">
        <v>36.285791770041698</v>
      </c>
      <c r="F78" s="6">
        <v>23.404202585442999</v>
      </c>
      <c r="G78" s="6">
        <v>23.404202585442999</v>
      </c>
      <c r="H78" s="6">
        <v>-20.028036451692699</v>
      </c>
      <c r="I78" s="6">
        <v>-20.028036451692699</v>
      </c>
      <c r="J78" s="6">
        <v>-20.028036451692699</v>
      </c>
      <c r="K78" s="6">
        <v>0.84522403106616095</v>
      </c>
      <c r="L78" s="6">
        <v>0.84522403106616095</v>
      </c>
      <c r="M78" s="6">
        <v>0.84522403106616095</v>
      </c>
      <c r="N78" s="6">
        <v>-20.873260482758798</v>
      </c>
      <c r="O78" s="6">
        <v>-20.873260482758798</v>
      </c>
      <c r="P78" s="6">
        <v>-20.873260482758798</v>
      </c>
      <c r="Q78" s="6">
        <v>0</v>
      </c>
      <c r="R78" s="6">
        <v>0</v>
      </c>
      <c r="S78" s="6">
        <v>0</v>
      </c>
      <c r="T78" s="6">
        <v>3.3761661337503601</v>
      </c>
    </row>
    <row r="79" spans="1:20" ht="13" x14ac:dyDescent="0.15">
      <c r="A79" s="6">
        <v>77</v>
      </c>
      <c r="B79" s="7">
        <v>43271</v>
      </c>
      <c r="C79" s="6">
        <v>23.380407910667198</v>
      </c>
      <c r="D79" s="6">
        <v>-31.1025446772355</v>
      </c>
      <c r="E79" s="6">
        <v>37.734273430301698</v>
      </c>
      <c r="F79" s="6">
        <v>23.380407910667198</v>
      </c>
      <c r="G79" s="6">
        <v>23.380407910667198</v>
      </c>
      <c r="H79" s="6">
        <v>-19.9102065794956</v>
      </c>
      <c r="I79" s="6">
        <v>-19.9102065794956</v>
      </c>
      <c r="J79" s="6">
        <v>-19.9102065794956</v>
      </c>
      <c r="K79" s="6">
        <v>0.94874688043812105</v>
      </c>
      <c r="L79" s="6">
        <v>0.94874688043812105</v>
      </c>
      <c r="M79" s="6">
        <v>0.94874688043812105</v>
      </c>
      <c r="N79" s="6">
        <v>-20.858953459933701</v>
      </c>
      <c r="O79" s="6">
        <v>-20.858953459933701</v>
      </c>
      <c r="P79" s="6">
        <v>-20.858953459933701</v>
      </c>
      <c r="Q79" s="6">
        <v>0</v>
      </c>
      <c r="R79" s="6">
        <v>0</v>
      </c>
      <c r="S79" s="6">
        <v>0</v>
      </c>
      <c r="T79" s="6">
        <v>3.4702013311715798</v>
      </c>
    </row>
    <row r="80" spans="1:20" ht="13" x14ac:dyDescent="0.15">
      <c r="A80" s="6">
        <v>78</v>
      </c>
      <c r="B80" s="7">
        <v>43272</v>
      </c>
      <c r="C80" s="6">
        <v>23.356613235891299</v>
      </c>
      <c r="D80" s="6">
        <v>-29.2726525597249</v>
      </c>
      <c r="E80" s="6">
        <v>34.132100027138797</v>
      </c>
      <c r="F80" s="6">
        <v>23.356613235891299</v>
      </c>
      <c r="G80" s="6">
        <v>23.356613235891299</v>
      </c>
      <c r="H80" s="6">
        <v>-20.300465713010801</v>
      </c>
      <c r="I80" s="6">
        <v>-20.300465713010801</v>
      </c>
      <c r="J80" s="6">
        <v>-20.300465713010801</v>
      </c>
      <c r="K80" s="6">
        <v>0.49015521355796698</v>
      </c>
      <c r="L80" s="6">
        <v>0.49015521355796698</v>
      </c>
      <c r="M80" s="6">
        <v>0.49015521355796698</v>
      </c>
      <c r="N80" s="6">
        <v>-20.790620926568799</v>
      </c>
      <c r="O80" s="6">
        <v>-20.790620926568799</v>
      </c>
      <c r="P80" s="6">
        <v>-20.790620926568799</v>
      </c>
      <c r="Q80" s="6">
        <v>0</v>
      </c>
      <c r="R80" s="6">
        <v>0</v>
      </c>
      <c r="S80" s="6">
        <v>0</v>
      </c>
      <c r="T80" s="6">
        <v>3.05614752288048</v>
      </c>
    </row>
    <row r="81" spans="1:20" ht="13" x14ac:dyDescent="0.15">
      <c r="A81" s="6">
        <v>79</v>
      </c>
      <c r="B81" s="7">
        <v>43273</v>
      </c>
      <c r="C81" s="6">
        <v>23.332818561115499</v>
      </c>
      <c r="D81" s="6">
        <v>-28.776796791791998</v>
      </c>
      <c r="E81" s="6">
        <v>33.569049430431299</v>
      </c>
      <c r="F81" s="6">
        <v>23.332818561115499</v>
      </c>
      <c r="G81" s="6">
        <v>23.332818561115499</v>
      </c>
      <c r="H81" s="6">
        <v>-20.6852119976074</v>
      </c>
      <c r="I81" s="6">
        <v>-20.6852119976074</v>
      </c>
      <c r="J81" s="6">
        <v>-20.6852119976074</v>
      </c>
      <c r="K81" s="6">
        <v>-2.2976765061733299E-2</v>
      </c>
      <c r="L81" s="6">
        <v>-2.2976765061733299E-2</v>
      </c>
      <c r="M81" s="6">
        <v>-2.2976765061733299E-2</v>
      </c>
      <c r="N81" s="6">
        <v>-20.662235232545701</v>
      </c>
      <c r="O81" s="6">
        <v>-20.662235232545701</v>
      </c>
      <c r="P81" s="6">
        <v>-20.662235232545701</v>
      </c>
      <c r="Q81" s="6">
        <v>0</v>
      </c>
      <c r="R81" s="6">
        <v>0</v>
      </c>
      <c r="S81" s="6">
        <v>0</v>
      </c>
      <c r="T81" s="6">
        <v>2.6476065635080102</v>
      </c>
    </row>
    <row r="82" spans="1:20" ht="13" x14ac:dyDescent="0.15">
      <c r="A82" s="6">
        <v>80</v>
      </c>
      <c r="B82" s="7">
        <v>43276</v>
      </c>
      <c r="C82" s="6">
        <v>23.261434536787899</v>
      </c>
      <c r="D82" s="6">
        <v>-25.512050306793999</v>
      </c>
      <c r="E82" s="6">
        <v>38.6870287558583</v>
      </c>
      <c r="F82" s="6">
        <v>23.261434536787899</v>
      </c>
      <c r="G82" s="6">
        <v>23.261434536787899</v>
      </c>
      <c r="H82" s="6">
        <v>-18.061866902641199</v>
      </c>
      <c r="I82" s="6">
        <v>-18.061866902641199</v>
      </c>
      <c r="J82" s="6">
        <v>-18.061866902641199</v>
      </c>
      <c r="K82" s="6">
        <v>1.82289060893535</v>
      </c>
      <c r="L82" s="6">
        <v>1.82289060893535</v>
      </c>
      <c r="M82" s="6">
        <v>1.82289060893535</v>
      </c>
      <c r="N82" s="6">
        <v>-19.884757511576499</v>
      </c>
      <c r="O82" s="6">
        <v>-19.884757511576499</v>
      </c>
      <c r="P82" s="6">
        <v>-19.884757511576499</v>
      </c>
      <c r="Q82" s="6">
        <v>0</v>
      </c>
      <c r="R82" s="6">
        <v>0</v>
      </c>
      <c r="S82" s="6">
        <v>0</v>
      </c>
      <c r="T82" s="6">
        <v>5.1995676341466899</v>
      </c>
    </row>
    <row r="83" spans="1:20" ht="13" x14ac:dyDescent="0.15">
      <c r="A83" s="6">
        <v>81</v>
      </c>
      <c r="B83" s="7">
        <v>43277</v>
      </c>
      <c r="C83" s="6">
        <v>23.237639859209398</v>
      </c>
      <c r="D83" s="6">
        <v>-25.659337016854298</v>
      </c>
      <c r="E83" s="6">
        <v>37.877703148433902</v>
      </c>
      <c r="F83" s="6">
        <v>23.237639859209398</v>
      </c>
      <c r="G83" s="6">
        <v>23.237639859209398</v>
      </c>
      <c r="H83" s="6">
        <v>-18.648905059214499</v>
      </c>
      <c r="I83" s="6">
        <v>-18.648905059214499</v>
      </c>
      <c r="J83" s="6">
        <v>-18.648905059214499</v>
      </c>
      <c r="K83" s="6">
        <v>0.84522403106551602</v>
      </c>
      <c r="L83" s="6">
        <v>0.84522403106551602</v>
      </c>
      <c r="M83" s="6">
        <v>0.84522403106551602</v>
      </c>
      <c r="N83" s="6">
        <v>-19.494129090280001</v>
      </c>
      <c r="O83" s="6">
        <v>-19.494129090280001</v>
      </c>
      <c r="P83" s="6">
        <v>-19.494129090280001</v>
      </c>
      <c r="Q83" s="6">
        <v>0</v>
      </c>
      <c r="R83" s="6">
        <v>0</v>
      </c>
      <c r="S83" s="6">
        <v>0</v>
      </c>
      <c r="T83" s="6">
        <v>4.5887347999949704</v>
      </c>
    </row>
    <row r="84" spans="1:20" ht="13" x14ac:dyDescent="0.15">
      <c r="A84" s="6">
        <v>82</v>
      </c>
      <c r="B84" s="7">
        <v>43278</v>
      </c>
      <c r="C84" s="6">
        <v>23.213845181631001</v>
      </c>
      <c r="D84" s="6">
        <v>-29.711260019645501</v>
      </c>
      <c r="E84" s="6">
        <v>37.420106847393498</v>
      </c>
      <c r="F84" s="6">
        <v>23.213845181631001</v>
      </c>
      <c r="G84" s="6">
        <v>23.213845181631001</v>
      </c>
      <c r="H84" s="6">
        <v>-18.0936212458307</v>
      </c>
      <c r="I84" s="6">
        <v>-18.0936212458307</v>
      </c>
      <c r="J84" s="6">
        <v>-18.0936212458307</v>
      </c>
      <c r="K84" s="6">
        <v>0.94874688043729105</v>
      </c>
      <c r="L84" s="6">
        <v>0.94874688043729105</v>
      </c>
      <c r="M84" s="6">
        <v>0.94874688043729105</v>
      </c>
      <c r="N84" s="6">
        <v>-19.042368126267998</v>
      </c>
      <c r="O84" s="6">
        <v>-19.042368126267998</v>
      </c>
      <c r="P84" s="6">
        <v>-19.042368126267998</v>
      </c>
      <c r="Q84" s="6">
        <v>0</v>
      </c>
      <c r="R84" s="6">
        <v>0</v>
      </c>
      <c r="S84" s="6">
        <v>0</v>
      </c>
      <c r="T84" s="6">
        <v>5.1202239358002704</v>
      </c>
    </row>
    <row r="85" spans="1:20" ht="13" x14ac:dyDescent="0.15">
      <c r="A85" s="6">
        <v>83</v>
      </c>
      <c r="B85" s="7">
        <v>43279</v>
      </c>
      <c r="C85" s="6">
        <v>23.1900505040526</v>
      </c>
      <c r="D85" s="6">
        <v>-27.354662582027601</v>
      </c>
      <c r="E85" s="6">
        <v>36.775844571256599</v>
      </c>
      <c r="F85" s="6">
        <v>23.1900505040526</v>
      </c>
      <c r="G85" s="6">
        <v>23.1900505040526</v>
      </c>
      <c r="H85" s="6">
        <v>-18.044846649763699</v>
      </c>
      <c r="I85" s="6">
        <v>-18.044846649763699</v>
      </c>
      <c r="J85" s="6">
        <v>-18.044846649763699</v>
      </c>
      <c r="K85" s="6">
        <v>0.49015521355914599</v>
      </c>
      <c r="L85" s="6">
        <v>0.49015521355914599</v>
      </c>
      <c r="M85" s="6">
        <v>0.49015521355914599</v>
      </c>
      <c r="N85" s="6">
        <v>-18.535001863322901</v>
      </c>
      <c r="O85" s="6">
        <v>-18.535001863322901</v>
      </c>
      <c r="P85" s="6">
        <v>-18.535001863322901</v>
      </c>
      <c r="Q85" s="6">
        <v>0</v>
      </c>
      <c r="R85" s="6">
        <v>0</v>
      </c>
      <c r="S85" s="6">
        <v>0</v>
      </c>
      <c r="T85" s="6">
        <v>5.1452038542888197</v>
      </c>
    </row>
    <row r="86" spans="1:20" ht="13" x14ac:dyDescent="0.15">
      <c r="A86" s="6">
        <v>84</v>
      </c>
      <c r="B86" s="7">
        <v>43280</v>
      </c>
      <c r="C86" s="6">
        <v>23.166255826474099</v>
      </c>
      <c r="D86" s="6">
        <v>-28.183568260704401</v>
      </c>
      <c r="E86" s="6">
        <v>37.6680435549614</v>
      </c>
      <c r="F86" s="6">
        <v>23.166255826474099</v>
      </c>
      <c r="G86" s="6">
        <v>23.166255826474099</v>
      </c>
      <c r="H86" s="6">
        <v>-18.002129131753001</v>
      </c>
      <c r="I86" s="6">
        <v>-18.002129131753001</v>
      </c>
      <c r="J86" s="6">
        <v>-18.002129131753001</v>
      </c>
      <c r="K86" s="6">
        <v>-2.2976765064568101E-2</v>
      </c>
      <c r="L86" s="6">
        <v>-2.2976765064568101E-2</v>
      </c>
      <c r="M86" s="6">
        <v>-2.2976765064568101E-2</v>
      </c>
      <c r="N86" s="6">
        <v>-17.9791523666884</v>
      </c>
      <c r="O86" s="6">
        <v>-17.9791523666884</v>
      </c>
      <c r="P86" s="6">
        <v>-17.9791523666884</v>
      </c>
      <c r="Q86" s="6">
        <v>0</v>
      </c>
      <c r="R86" s="6">
        <v>0</v>
      </c>
      <c r="S86" s="6">
        <v>0</v>
      </c>
      <c r="T86" s="6">
        <v>5.1641266947211601</v>
      </c>
    </row>
    <row r="87" spans="1:20" ht="13" x14ac:dyDescent="0.15">
      <c r="A87" s="6">
        <v>85</v>
      </c>
      <c r="B87" s="7">
        <v>43283</v>
      </c>
      <c r="C87" s="6">
        <v>23.0948717937388</v>
      </c>
      <c r="D87" s="6">
        <v>-20.754216523658599</v>
      </c>
      <c r="E87" s="6">
        <v>42.640977161785599</v>
      </c>
      <c r="F87" s="6">
        <v>23.0948717937388</v>
      </c>
      <c r="G87" s="6">
        <v>23.0948717937388</v>
      </c>
      <c r="H87" s="6">
        <v>-14.2874409129467</v>
      </c>
      <c r="I87" s="6">
        <v>-14.2874409129467</v>
      </c>
      <c r="J87" s="6">
        <v>-14.2874409129467</v>
      </c>
      <c r="K87" s="6">
        <v>1.82289060893706</v>
      </c>
      <c r="L87" s="6">
        <v>1.82289060893706</v>
      </c>
      <c r="M87" s="6">
        <v>1.82289060893706</v>
      </c>
      <c r="N87" s="6">
        <v>-16.110331521883801</v>
      </c>
      <c r="O87" s="6">
        <v>-16.110331521883801</v>
      </c>
      <c r="P87" s="6">
        <v>-16.110331521883801</v>
      </c>
      <c r="Q87" s="6">
        <v>0</v>
      </c>
      <c r="R87" s="6">
        <v>0</v>
      </c>
      <c r="S87" s="6">
        <v>0</v>
      </c>
      <c r="T87" s="6">
        <v>8.8074308807921096</v>
      </c>
    </row>
    <row r="88" spans="1:20" ht="13" x14ac:dyDescent="0.15">
      <c r="A88" s="6">
        <v>86</v>
      </c>
      <c r="B88" s="7">
        <v>43284</v>
      </c>
      <c r="C88" s="6">
        <v>23.071077116160399</v>
      </c>
      <c r="D88" s="6">
        <v>-23.301609965243099</v>
      </c>
      <c r="E88" s="6">
        <v>41.628870672233802</v>
      </c>
      <c r="F88" s="6">
        <v>23.071077116160399</v>
      </c>
      <c r="G88" s="6">
        <v>23.071077116160399</v>
      </c>
      <c r="H88" s="6">
        <v>-14.608901662918299</v>
      </c>
      <c r="I88" s="6">
        <v>-14.608901662918299</v>
      </c>
      <c r="J88" s="6">
        <v>-14.608901662918299</v>
      </c>
      <c r="K88" s="6">
        <v>0.84522403106405897</v>
      </c>
      <c r="L88" s="6">
        <v>0.84522403106405897</v>
      </c>
      <c r="M88" s="6">
        <v>0.84522403106405897</v>
      </c>
      <c r="N88" s="6">
        <v>-15.4541256939824</v>
      </c>
      <c r="O88" s="6">
        <v>-15.4541256939824</v>
      </c>
      <c r="P88" s="6">
        <v>-15.4541256939824</v>
      </c>
      <c r="Q88" s="6">
        <v>0</v>
      </c>
      <c r="R88" s="6">
        <v>0</v>
      </c>
      <c r="S88" s="6">
        <v>0</v>
      </c>
      <c r="T88" s="6">
        <v>8.4621754532420201</v>
      </c>
    </row>
    <row r="89" spans="1:20" ht="13" x14ac:dyDescent="0.15">
      <c r="A89" s="6">
        <v>87</v>
      </c>
      <c r="B89" s="7">
        <v>43286</v>
      </c>
      <c r="C89" s="6">
        <v>23.023487761003501</v>
      </c>
      <c r="D89" s="6">
        <v>-23.994521996665199</v>
      </c>
      <c r="E89" s="6">
        <v>41.133118883447104</v>
      </c>
      <c r="F89" s="6">
        <v>23.023487761003501</v>
      </c>
      <c r="G89" s="6">
        <v>23.023487761003501</v>
      </c>
      <c r="H89" s="6">
        <v>-13.6650349514806</v>
      </c>
      <c r="I89" s="6">
        <v>-13.6650349514806</v>
      </c>
      <c r="J89" s="6">
        <v>-13.6650349514806</v>
      </c>
      <c r="K89" s="6">
        <v>0.49015521355959601</v>
      </c>
      <c r="L89" s="6">
        <v>0.49015521355959601</v>
      </c>
      <c r="M89" s="6">
        <v>0.49015521355959601</v>
      </c>
      <c r="N89" s="6">
        <v>-14.155190165040199</v>
      </c>
      <c r="O89" s="6">
        <v>-14.155190165040199</v>
      </c>
      <c r="P89" s="6">
        <v>-14.155190165040199</v>
      </c>
      <c r="Q89" s="6">
        <v>0</v>
      </c>
      <c r="R89" s="6">
        <v>0</v>
      </c>
      <c r="S89" s="6">
        <v>0</v>
      </c>
      <c r="T89" s="6">
        <v>9.3584528095229302</v>
      </c>
    </row>
    <row r="90" spans="1:20" ht="13" x14ac:dyDescent="0.15">
      <c r="A90" s="6">
        <v>88</v>
      </c>
      <c r="B90" s="7">
        <v>43287</v>
      </c>
      <c r="C90" s="6">
        <v>22.999693083425001</v>
      </c>
      <c r="D90" s="6">
        <v>-23.870935249832801</v>
      </c>
      <c r="E90" s="6">
        <v>38.1098078898358</v>
      </c>
      <c r="F90" s="6">
        <v>22.999693083425001</v>
      </c>
      <c r="G90" s="6">
        <v>22.999693083425001</v>
      </c>
      <c r="H90" s="6">
        <v>-13.5554071565128</v>
      </c>
      <c r="I90" s="6">
        <v>-13.5554071565128</v>
      </c>
      <c r="J90" s="6">
        <v>-13.5554071565128</v>
      </c>
      <c r="K90" s="6">
        <v>-2.29767650626218E-2</v>
      </c>
      <c r="L90" s="6">
        <v>-2.29767650626218E-2</v>
      </c>
      <c r="M90" s="6">
        <v>-2.29767650626218E-2</v>
      </c>
      <c r="N90" s="6">
        <v>-13.5324303914502</v>
      </c>
      <c r="O90" s="6">
        <v>-13.5324303914502</v>
      </c>
      <c r="P90" s="6">
        <v>-13.5324303914502</v>
      </c>
      <c r="Q90" s="6">
        <v>0</v>
      </c>
      <c r="R90" s="6">
        <v>0</v>
      </c>
      <c r="S90" s="6">
        <v>0</v>
      </c>
      <c r="T90" s="6">
        <v>9.4442859269122703</v>
      </c>
    </row>
    <row r="91" spans="1:20" ht="13" x14ac:dyDescent="0.15">
      <c r="A91" s="6">
        <v>89</v>
      </c>
      <c r="B91" s="7">
        <v>43290</v>
      </c>
      <c r="C91" s="6">
        <v>22.928309050689698</v>
      </c>
      <c r="D91" s="6">
        <v>-18.002557494330301</v>
      </c>
      <c r="E91" s="6">
        <v>43.138264961994501</v>
      </c>
      <c r="F91" s="6">
        <v>22.928309050689698</v>
      </c>
      <c r="G91" s="6">
        <v>22.928309050689698</v>
      </c>
      <c r="H91" s="6">
        <v>-10.047164230963901</v>
      </c>
      <c r="I91" s="6">
        <v>-10.047164230963901</v>
      </c>
      <c r="J91" s="6">
        <v>-10.047164230963901</v>
      </c>
      <c r="K91" s="6">
        <v>1.82289060893878</v>
      </c>
      <c r="L91" s="6">
        <v>1.82289060893878</v>
      </c>
      <c r="M91" s="6">
        <v>1.82289060893878</v>
      </c>
      <c r="N91" s="6">
        <v>-11.8700548399027</v>
      </c>
      <c r="O91" s="6">
        <v>-11.8700548399027</v>
      </c>
      <c r="P91" s="6">
        <v>-11.8700548399027</v>
      </c>
      <c r="Q91" s="6">
        <v>0</v>
      </c>
      <c r="R91" s="6">
        <v>0</v>
      </c>
      <c r="S91" s="6">
        <v>0</v>
      </c>
      <c r="T91" s="6">
        <v>12.881144819725799</v>
      </c>
    </row>
    <row r="92" spans="1:20" ht="13" x14ac:dyDescent="0.15">
      <c r="A92" s="6">
        <v>90</v>
      </c>
      <c r="B92" s="7">
        <v>43291</v>
      </c>
      <c r="C92" s="6">
        <v>22.904514373111301</v>
      </c>
      <c r="D92" s="6">
        <v>-21.386092691102</v>
      </c>
      <c r="E92" s="6">
        <v>45.7773241064044</v>
      </c>
      <c r="F92" s="6">
        <v>22.904514373111301</v>
      </c>
      <c r="G92" s="6">
        <v>22.904514373111301</v>
      </c>
      <c r="H92" s="6">
        <v>-10.5585773414447</v>
      </c>
      <c r="I92" s="6">
        <v>-10.5585773414447</v>
      </c>
      <c r="J92" s="6">
        <v>-10.5585773414447</v>
      </c>
      <c r="K92" s="6">
        <v>0.84522403106651101</v>
      </c>
      <c r="L92" s="6">
        <v>0.84522403106651101</v>
      </c>
      <c r="M92" s="6">
        <v>0.84522403106651101</v>
      </c>
      <c r="N92" s="6">
        <v>-11.4038013725112</v>
      </c>
      <c r="O92" s="6">
        <v>-11.4038013725112</v>
      </c>
      <c r="P92" s="6">
        <v>-11.4038013725112</v>
      </c>
      <c r="Q92" s="6">
        <v>0</v>
      </c>
      <c r="R92" s="6">
        <v>0</v>
      </c>
      <c r="S92" s="6">
        <v>0</v>
      </c>
      <c r="T92" s="6">
        <v>12.3459370316665</v>
      </c>
    </row>
    <row r="93" spans="1:20" ht="13" x14ac:dyDescent="0.15">
      <c r="A93" s="6">
        <v>91</v>
      </c>
      <c r="B93" s="7">
        <v>43292</v>
      </c>
      <c r="C93" s="6">
        <v>22.8807196955329</v>
      </c>
      <c r="D93" s="6">
        <v>-18.602443000860401</v>
      </c>
      <c r="E93" s="6">
        <v>44.009101609818401</v>
      </c>
      <c r="F93" s="6">
        <v>22.8807196955329</v>
      </c>
      <c r="G93" s="6">
        <v>22.8807196955329</v>
      </c>
      <c r="H93" s="6">
        <v>-10.038012372187</v>
      </c>
      <c r="I93" s="6">
        <v>-10.038012372187</v>
      </c>
      <c r="J93" s="6">
        <v>-10.038012372187</v>
      </c>
      <c r="K93" s="6">
        <v>0.94874688043684396</v>
      </c>
      <c r="L93" s="6">
        <v>0.94874688043684396</v>
      </c>
      <c r="M93" s="6">
        <v>0.94874688043684396</v>
      </c>
      <c r="N93" s="6">
        <v>-10.9867592526238</v>
      </c>
      <c r="O93" s="6">
        <v>-10.9867592526238</v>
      </c>
      <c r="P93" s="6">
        <v>-10.9867592526238</v>
      </c>
      <c r="Q93" s="6">
        <v>0</v>
      </c>
      <c r="R93" s="6">
        <v>0</v>
      </c>
      <c r="S93" s="6">
        <v>0</v>
      </c>
      <c r="T93" s="6">
        <v>12.842707323345801</v>
      </c>
    </row>
    <row r="94" spans="1:20" ht="13" x14ac:dyDescent="0.15">
      <c r="A94" s="6">
        <v>92</v>
      </c>
      <c r="B94" s="7">
        <v>43293</v>
      </c>
      <c r="C94" s="6">
        <v>22.856925017954399</v>
      </c>
      <c r="D94" s="6">
        <v>-18.507305518474599</v>
      </c>
      <c r="E94" s="6">
        <v>45.401801700975597</v>
      </c>
      <c r="F94" s="6">
        <v>22.856925017954399</v>
      </c>
      <c r="G94" s="6">
        <v>22.856925017954399</v>
      </c>
      <c r="H94" s="6">
        <v>-10.129096690187</v>
      </c>
      <c r="I94" s="6">
        <v>-10.129096690187</v>
      </c>
      <c r="J94" s="6">
        <v>-10.129096690187</v>
      </c>
      <c r="K94" s="6">
        <v>0.49015521355675901</v>
      </c>
      <c r="L94" s="6">
        <v>0.49015521355675901</v>
      </c>
      <c r="M94" s="6">
        <v>0.49015521355675901</v>
      </c>
      <c r="N94" s="6">
        <v>-10.619251903743701</v>
      </c>
      <c r="O94" s="6">
        <v>-10.619251903743701</v>
      </c>
      <c r="P94" s="6">
        <v>-10.619251903743701</v>
      </c>
      <c r="Q94" s="6">
        <v>0</v>
      </c>
      <c r="R94" s="6">
        <v>0</v>
      </c>
      <c r="S94" s="6">
        <v>0</v>
      </c>
      <c r="T94" s="6">
        <v>12.7278283277674</v>
      </c>
    </row>
    <row r="95" spans="1:20" ht="13" x14ac:dyDescent="0.15">
      <c r="A95" s="6">
        <v>93</v>
      </c>
      <c r="B95" s="7">
        <v>43294</v>
      </c>
      <c r="C95" s="6">
        <v>22.833130340376002</v>
      </c>
      <c r="D95" s="6">
        <v>-19.794290720933201</v>
      </c>
      <c r="E95" s="6">
        <v>44.953332186504497</v>
      </c>
      <c r="F95" s="6">
        <v>22.833130340376002</v>
      </c>
      <c r="G95" s="6">
        <v>22.833130340376002</v>
      </c>
      <c r="H95" s="6">
        <v>-10.3226456428968</v>
      </c>
      <c r="I95" s="6">
        <v>-10.3226456428968</v>
      </c>
      <c r="J95" s="6">
        <v>-10.3226456428968</v>
      </c>
      <c r="K95" s="6">
        <v>-2.2976765065233901E-2</v>
      </c>
      <c r="L95" s="6">
        <v>-2.2976765065233901E-2</v>
      </c>
      <c r="M95" s="6">
        <v>-2.2976765065233901E-2</v>
      </c>
      <c r="N95" s="6">
        <v>-10.2996688778316</v>
      </c>
      <c r="O95" s="6">
        <v>-10.2996688778316</v>
      </c>
      <c r="P95" s="6">
        <v>-10.2996688778316</v>
      </c>
      <c r="Q95" s="6">
        <v>0</v>
      </c>
      <c r="R95" s="6">
        <v>0</v>
      </c>
      <c r="S95" s="6">
        <v>0</v>
      </c>
      <c r="T95" s="6">
        <v>12.5104846974791</v>
      </c>
    </row>
    <row r="96" spans="1:20" ht="13" x14ac:dyDescent="0.15">
      <c r="A96" s="6">
        <v>94</v>
      </c>
      <c r="B96" s="7">
        <v>43297</v>
      </c>
      <c r="C96" s="6">
        <v>22.761746307640699</v>
      </c>
      <c r="D96" s="6">
        <v>-16.3036280190138</v>
      </c>
      <c r="E96" s="6">
        <v>48.778373062042903</v>
      </c>
      <c r="F96" s="6">
        <v>22.761746307640699</v>
      </c>
      <c r="G96" s="6">
        <v>22.761746307640699</v>
      </c>
      <c r="H96" s="6">
        <v>-7.76213552430423</v>
      </c>
      <c r="I96" s="6">
        <v>-7.76213552430423</v>
      </c>
      <c r="J96" s="6">
        <v>-7.76213552430423</v>
      </c>
      <c r="K96" s="6">
        <v>1.82289060893653</v>
      </c>
      <c r="L96" s="6">
        <v>1.82289060893653</v>
      </c>
      <c r="M96" s="6">
        <v>1.82289060893653</v>
      </c>
      <c r="N96" s="6">
        <v>-9.5850261332407705</v>
      </c>
      <c r="O96" s="6">
        <v>-9.5850261332407705</v>
      </c>
      <c r="P96" s="6">
        <v>-9.5850261332407705</v>
      </c>
      <c r="Q96" s="6">
        <v>0</v>
      </c>
      <c r="R96" s="6">
        <v>0</v>
      </c>
      <c r="S96" s="6">
        <v>0</v>
      </c>
      <c r="T96" s="6">
        <v>14.999610783336401</v>
      </c>
    </row>
    <row r="97" spans="1:20" ht="13" x14ac:dyDescent="0.15">
      <c r="A97" s="6">
        <v>95</v>
      </c>
      <c r="B97" s="7">
        <v>43298</v>
      </c>
      <c r="C97" s="6">
        <v>22.737951630062199</v>
      </c>
      <c r="D97" s="6">
        <v>-19.533014517347301</v>
      </c>
      <c r="E97" s="6">
        <v>47.379276163498602</v>
      </c>
      <c r="F97" s="6">
        <v>22.737951630062199</v>
      </c>
      <c r="G97" s="6">
        <v>22.737951630062199</v>
      </c>
      <c r="H97" s="6">
        <v>-8.5604933076993603</v>
      </c>
      <c r="I97" s="6">
        <v>-8.5604933076993603</v>
      </c>
      <c r="J97" s="6">
        <v>-8.5604933076993603</v>
      </c>
      <c r="K97" s="6">
        <v>0.84522403106505395</v>
      </c>
      <c r="L97" s="6">
        <v>0.84522403106505395</v>
      </c>
      <c r="M97" s="6">
        <v>0.84522403106505395</v>
      </c>
      <c r="N97" s="6">
        <v>-9.4057173387644202</v>
      </c>
      <c r="O97" s="6">
        <v>-9.4057173387644202</v>
      </c>
      <c r="P97" s="6">
        <v>-9.4057173387644202</v>
      </c>
      <c r="Q97" s="6">
        <v>0</v>
      </c>
      <c r="R97" s="6">
        <v>0</v>
      </c>
      <c r="S97" s="6">
        <v>0</v>
      </c>
      <c r="T97" s="6">
        <v>14.1774583223629</v>
      </c>
    </row>
    <row r="98" spans="1:20" ht="13" x14ac:dyDescent="0.15">
      <c r="A98" s="6">
        <v>96</v>
      </c>
      <c r="B98" s="7">
        <v>43299</v>
      </c>
      <c r="C98" s="6">
        <v>22.714156952483801</v>
      </c>
      <c r="D98" s="6">
        <v>-16.871809992928</v>
      </c>
      <c r="E98" s="6">
        <v>47.231516478944798</v>
      </c>
      <c r="F98" s="6">
        <v>22.714156952483801</v>
      </c>
      <c r="G98" s="6">
        <v>22.714156952483801</v>
      </c>
      <c r="H98" s="6">
        <v>-8.2927091846821792</v>
      </c>
      <c r="I98" s="6">
        <v>-8.2927091846821792</v>
      </c>
      <c r="J98" s="6">
        <v>-8.2927091846821792</v>
      </c>
      <c r="K98" s="6">
        <v>0.94874688043601296</v>
      </c>
      <c r="L98" s="6">
        <v>0.94874688043601296</v>
      </c>
      <c r="M98" s="6">
        <v>0.94874688043601296</v>
      </c>
      <c r="N98" s="6">
        <v>-9.2414560651181894</v>
      </c>
      <c r="O98" s="6">
        <v>-9.2414560651181894</v>
      </c>
      <c r="P98" s="6">
        <v>-9.2414560651181894</v>
      </c>
      <c r="Q98" s="6">
        <v>0</v>
      </c>
      <c r="R98" s="6">
        <v>0</v>
      </c>
      <c r="S98" s="6">
        <v>0</v>
      </c>
      <c r="T98" s="6">
        <v>14.421447767801601</v>
      </c>
    </row>
    <row r="99" spans="1:20" ht="13" x14ac:dyDescent="0.15">
      <c r="A99" s="6">
        <v>97</v>
      </c>
      <c r="B99" s="7">
        <v>43300</v>
      </c>
      <c r="C99" s="6">
        <v>22.6903622749054</v>
      </c>
      <c r="D99" s="6">
        <v>-15.9606267545636</v>
      </c>
      <c r="E99" s="6">
        <v>47.156543341653503</v>
      </c>
      <c r="F99" s="6">
        <v>22.6903622749054</v>
      </c>
      <c r="G99" s="6">
        <v>22.6903622749054</v>
      </c>
      <c r="H99" s="6">
        <v>-8.5921564864527795</v>
      </c>
      <c r="I99" s="6">
        <v>-8.5921564864527795</v>
      </c>
      <c r="J99" s="6">
        <v>-8.5921564864527795</v>
      </c>
      <c r="K99" s="6">
        <v>0.490155213553921</v>
      </c>
      <c r="L99" s="6">
        <v>0.490155213553921</v>
      </c>
      <c r="M99" s="6">
        <v>0.490155213553921</v>
      </c>
      <c r="N99" s="6">
        <v>-9.0823117000067093</v>
      </c>
      <c r="O99" s="6">
        <v>-9.0823117000067093</v>
      </c>
      <c r="P99" s="6">
        <v>-9.0823117000067093</v>
      </c>
      <c r="Q99" s="6">
        <v>0</v>
      </c>
      <c r="R99" s="6">
        <v>0</v>
      </c>
      <c r="S99" s="6">
        <v>0</v>
      </c>
      <c r="T99" s="6">
        <v>14.098205788452599</v>
      </c>
    </row>
    <row r="100" spans="1:20" ht="13" x14ac:dyDescent="0.15">
      <c r="A100" s="6">
        <v>98</v>
      </c>
      <c r="B100" s="7">
        <v>43301</v>
      </c>
      <c r="C100" s="6">
        <v>22.6665675973269</v>
      </c>
      <c r="D100" s="6">
        <v>-18.7984973198846</v>
      </c>
      <c r="E100" s="6">
        <v>46.629149226756503</v>
      </c>
      <c r="F100" s="6">
        <v>22.6665675973269</v>
      </c>
      <c r="G100" s="6">
        <v>22.6665675973269</v>
      </c>
      <c r="H100" s="6">
        <v>-8.9409447099567494</v>
      </c>
      <c r="I100" s="6">
        <v>-8.9409447099567494</v>
      </c>
      <c r="J100" s="6">
        <v>-8.9409447099567494</v>
      </c>
      <c r="K100" s="6">
        <v>-2.29767650678461E-2</v>
      </c>
      <c r="L100" s="6">
        <v>-2.29767650678461E-2</v>
      </c>
      <c r="M100" s="6">
        <v>-2.29767650678461E-2</v>
      </c>
      <c r="N100" s="6">
        <v>-8.9179679448889093</v>
      </c>
      <c r="O100" s="6">
        <v>-8.9179679448889093</v>
      </c>
      <c r="P100" s="6">
        <v>-8.9179679448889093</v>
      </c>
      <c r="Q100" s="6">
        <v>0</v>
      </c>
      <c r="R100" s="6">
        <v>0</v>
      </c>
      <c r="S100" s="6">
        <v>0</v>
      </c>
      <c r="T100" s="6">
        <v>13.7256228873702</v>
      </c>
    </row>
    <row r="101" spans="1:20" ht="13" x14ac:dyDescent="0.15">
      <c r="A101" s="6">
        <v>99</v>
      </c>
      <c r="B101" s="7">
        <v>43304</v>
      </c>
      <c r="C101" s="6">
        <v>22.595183564591601</v>
      </c>
      <c r="D101" s="6">
        <v>-16.599049242329201</v>
      </c>
      <c r="E101" s="6">
        <v>47.869970162762499</v>
      </c>
      <c r="F101" s="6">
        <v>22.595183564591601</v>
      </c>
      <c r="G101" s="6">
        <v>22.595183564591601</v>
      </c>
      <c r="H101" s="6">
        <v>-6.4695469114511601</v>
      </c>
      <c r="I101" s="6">
        <v>-6.4695469114511601</v>
      </c>
      <c r="J101" s="6">
        <v>-6.4695469114511601</v>
      </c>
      <c r="K101" s="6">
        <v>1.82289060893703</v>
      </c>
      <c r="L101" s="6">
        <v>1.82289060893703</v>
      </c>
      <c r="M101" s="6">
        <v>1.82289060893703</v>
      </c>
      <c r="N101" s="6">
        <v>-8.2924375203881908</v>
      </c>
      <c r="O101" s="6">
        <v>-8.2924375203881908</v>
      </c>
      <c r="P101" s="6">
        <v>-8.2924375203881908</v>
      </c>
      <c r="Q101" s="6">
        <v>0</v>
      </c>
      <c r="R101" s="6">
        <v>0</v>
      </c>
      <c r="S101" s="6">
        <v>0</v>
      </c>
      <c r="T101" s="6">
        <v>16.125636653140401</v>
      </c>
    </row>
    <row r="102" spans="1:20" ht="13" x14ac:dyDescent="0.15">
      <c r="A102" s="6">
        <v>100</v>
      </c>
      <c r="B102" s="7">
        <v>43305</v>
      </c>
      <c r="C102" s="6">
        <v>22.5713888870132</v>
      </c>
      <c r="D102" s="6">
        <v>-14.6401695953773</v>
      </c>
      <c r="E102" s="6">
        <v>44.606398189739402</v>
      </c>
      <c r="F102" s="6">
        <v>22.5713888870132</v>
      </c>
      <c r="G102" s="6">
        <v>22.5713888870132</v>
      </c>
      <c r="H102" s="6">
        <v>-7.1639140478120398</v>
      </c>
      <c r="I102" s="6">
        <v>-7.1639140478120398</v>
      </c>
      <c r="J102" s="6">
        <v>-7.1639140478120398</v>
      </c>
      <c r="K102" s="6">
        <v>0.84522403106440902</v>
      </c>
      <c r="L102" s="6">
        <v>0.84522403106440902</v>
      </c>
      <c r="M102" s="6">
        <v>0.84522403106440902</v>
      </c>
      <c r="N102" s="6">
        <v>-8.0091380788764504</v>
      </c>
      <c r="O102" s="6">
        <v>-8.0091380788764504</v>
      </c>
      <c r="P102" s="6">
        <v>-8.0091380788764504</v>
      </c>
      <c r="Q102" s="6">
        <v>0</v>
      </c>
      <c r="R102" s="6">
        <v>0</v>
      </c>
      <c r="S102" s="6">
        <v>0</v>
      </c>
      <c r="T102" s="6">
        <v>15.4074748392011</v>
      </c>
    </row>
    <row r="103" spans="1:20" ht="13" x14ac:dyDescent="0.15">
      <c r="A103" s="6">
        <v>101</v>
      </c>
      <c r="B103" s="7">
        <v>43306</v>
      </c>
      <c r="C103" s="6">
        <v>22.547594209434699</v>
      </c>
      <c r="D103" s="6">
        <v>-14.6616895997514</v>
      </c>
      <c r="E103" s="6">
        <v>47.3917511169102</v>
      </c>
      <c r="F103" s="6">
        <v>22.547594209434699</v>
      </c>
      <c r="G103" s="6">
        <v>22.547594209434699</v>
      </c>
      <c r="H103" s="6">
        <v>-6.7271376334766204</v>
      </c>
      <c r="I103" s="6">
        <v>-6.7271376334766204</v>
      </c>
      <c r="J103" s="6">
        <v>-6.7271376334766204</v>
      </c>
      <c r="K103" s="6">
        <v>0.94874688043786304</v>
      </c>
      <c r="L103" s="6">
        <v>0.94874688043786304</v>
      </c>
      <c r="M103" s="6">
        <v>0.94874688043786304</v>
      </c>
      <c r="N103" s="6">
        <v>-7.6758845139144798</v>
      </c>
      <c r="O103" s="6">
        <v>-7.6758845139144798</v>
      </c>
      <c r="P103" s="6">
        <v>-7.6758845139144798</v>
      </c>
      <c r="Q103" s="6">
        <v>0</v>
      </c>
      <c r="R103" s="6">
        <v>0</v>
      </c>
      <c r="S103" s="6">
        <v>0</v>
      </c>
      <c r="T103" s="6">
        <v>15.820456575958101</v>
      </c>
    </row>
    <row r="104" spans="1:20" ht="13" x14ac:dyDescent="0.15">
      <c r="A104" s="6">
        <v>102</v>
      </c>
      <c r="B104" s="7">
        <v>43307</v>
      </c>
      <c r="C104" s="6">
        <v>22.523799531856302</v>
      </c>
      <c r="D104" s="6">
        <v>-15.5013892155057</v>
      </c>
      <c r="E104" s="6">
        <v>50.628671047501697</v>
      </c>
      <c r="F104" s="6">
        <v>22.523799531856302</v>
      </c>
      <c r="G104" s="6">
        <v>22.523799531856302</v>
      </c>
      <c r="H104" s="6">
        <v>-6.7972550838499499</v>
      </c>
      <c r="I104" s="6">
        <v>-6.7972550838499499</v>
      </c>
      <c r="J104" s="6">
        <v>-6.7972550838499499</v>
      </c>
      <c r="K104" s="6">
        <v>0.49015521355437103</v>
      </c>
      <c r="L104" s="6">
        <v>0.49015521355437103</v>
      </c>
      <c r="M104" s="6">
        <v>0.49015521355437103</v>
      </c>
      <c r="N104" s="6">
        <v>-7.2874102974043202</v>
      </c>
      <c r="O104" s="6">
        <v>-7.2874102974043202</v>
      </c>
      <c r="P104" s="6">
        <v>-7.2874102974043202</v>
      </c>
      <c r="Q104" s="6">
        <v>0</v>
      </c>
      <c r="R104" s="6">
        <v>0</v>
      </c>
      <c r="S104" s="6">
        <v>0</v>
      </c>
      <c r="T104" s="6">
        <v>15.726544448006299</v>
      </c>
    </row>
    <row r="105" spans="1:20" ht="13" x14ac:dyDescent="0.15">
      <c r="A105" s="6">
        <v>103</v>
      </c>
      <c r="B105" s="7">
        <v>43308</v>
      </c>
      <c r="C105" s="6">
        <v>22.500004854277801</v>
      </c>
      <c r="D105" s="6">
        <v>-15.348239873565401</v>
      </c>
      <c r="E105" s="6">
        <v>47.751812113996799</v>
      </c>
      <c r="F105" s="6">
        <v>22.500004854277801</v>
      </c>
      <c r="G105" s="6">
        <v>22.500004854277801</v>
      </c>
      <c r="H105" s="6">
        <v>-6.8632665375671502</v>
      </c>
      <c r="I105" s="6">
        <v>-6.8632665375671502</v>
      </c>
      <c r="J105" s="6">
        <v>-6.8632665375671502</v>
      </c>
      <c r="K105" s="6">
        <v>-2.29767650661226E-2</v>
      </c>
      <c r="L105" s="6">
        <v>-2.29767650661226E-2</v>
      </c>
      <c r="M105" s="6">
        <v>-2.29767650661226E-2</v>
      </c>
      <c r="N105" s="6">
        <v>-6.8402897725010297</v>
      </c>
      <c r="O105" s="6">
        <v>-6.8402897725010297</v>
      </c>
      <c r="P105" s="6">
        <v>-6.8402897725010297</v>
      </c>
      <c r="Q105" s="6">
        <v>0</v>
      </c>
      <c r="R105" s="6">
        <v>0</v>
      </c>
      <c r="S105" s="6">
        <v>0</v>
      </c>
      <c r="T105" s="6">
        <v>15.6367383167107</v>
      </c>
    </row>
    <row r="106" spans="1:20" ht="13" x14ac:dyDescent="0.15">
      <c r="A106" s="6">
        <v>104</v>
      </c>
      <c r="B106" s="7">
        <v>43311</v>
      </c>
      <c r="C106" s="6">
        <v>22.428620821542498</v>
      </c>
      <c r="D106" s="6">
        <v>-11.5065243916192</v>
      </c>
      <c r="E106" s="6">
        <v>51.3474281425041</v>
      </c>
      <c r="F106" s="6">
        <v>22.428620821542498</v>
      </c>
      <c r="G106" s="6">
        <v>22.428620821542498</v>
      </c>
      <c r="H106" s="6">
        <v>-3.3204298949564199</v>
      </c>
      <c r="I106" s="6">
        <v>-3.3204298949564199</v>
      </c>
      <c r="J106" s="6">
        <v>-3.3204298949564199</v>
      </c>
      <c r="K106" s="6">
        <v>1.8228906089375301</v>
      </c>
      <c r="L106" s="6">
        <v>1.8228906089375301</v>
      </c>
      <c r="M106" s="6">
        <v>1.8228906089375301</v>
      </c>
      <c r="N106" s="6">
        <v>-5.1433205038939596</v>
      </c>
      <c r="O106" s="6">
        <v>-5.1433205038939596</v>
      </c>
      <c r="P106" s="6">
        <v>-5.1433205038939596</v>
      </c>
      <c r="Q106" s="6">
        <v>0</v>
      </c>
      <c r="R106" s="6">
        <v>0</v>
      </c>
      <c r="S106" s="6">
        <v>0</v>
      </c>
      <c r="T106" s="6">
        <v>19.108190926586101</v>
      </c>
    </row>
    <row r="107" spans="1:20" ht="13" x14ac:dyDescent="0.15">
      <c r="A107" s="6">
        <v>105</v>
      </c>
      <c r="B107" s="7">
        <v>43312</v>
      </c>
      <c r="C107" s="6">
        <v>22.404826143964101</v>
      </c>
      <c r="D107" s="6">
        <v>-13.491296015098699</v>
      </c>
      <c r="E107" s="6">
        <v>50.002049264302698</v>
      </c>
      <c r="F107" s="6">
        <v>22.404826143964101</v>
      </c>
      <c r="G107" s="6">
        <v>22.404826143964101</v>
      </c>
      <c r="H107" s="6">
        <v>-3.6231949685234701</v>
      </c>
      <c r="I107" s="6">
        <v>-3.6231949685234701</v>
      </c>
      <c r="J107" s="6">
        <v>-3.6231949685234701</v>
      </c>
      <c r="K107" s="6">
        <v>0.84522403106376398</v>
      </c>
      <c r="L107" s="6">
        <v>0.84522403106376398</v>
      </c>
      <c r="M107" s="6">
        <v>0.84522403106376398</v>
      </c>
      <c r="N107" s="6">
        <v>-4.4684189995872297</v>
      </c>
      <c r="O107" s="6">
        <v>-4.4684189995872297</v>
      </c>
      <c r="P107" s="6">
        <v>-4.4684189995872297</v>
      </c>
      <c r="Q107" s="6">
        <v>0</v>
      </c>
      <c r="R107" s="6">
        <v>0</v>
      </c>
      <c r="S107" s="6">
        <v>0</v>
      </c>
      <c r="T107" s="6">
        <v>18.781631175440602</v>
      </c>
    </row>
    <row r="108" spans="1:20" ht="13" x14ac:dyDescent="0.15">
      <c r="A108" s="6">
        <v>106</v>
      </c>
      <c r="B108" s="7">
        <v>43313</v>
      </c>
      <c r="C108" s="6">
        <v>22.3810314663857</v>
      </c>
      <c r="D108" s="6">
        <v>-15.1267380070976</v>
      </c>
      <c r="E108" s="6">
        <v>51.033919910376</v>
      </c>
      <c r="F108" s="6">
        <v>22.3810314663857</v>
      </c>
      <c r="G108" s="6">
        <v>22.3810314663857</v>
      </c>
      <c r="H108" s="6">
        <v>-2.7999200611946402</v>
      </c>
      <c r="I108" s="6">
        <v>-2.7999200611946402</v>
      </c>
      <c r="J108" s="6">
        <v>-2.7999200611946402</v>
      </c>
      <c r="K108" s="6">
        <v>0.94874688043495903</v>
      </c>
      <c r="L108" s="6">
        <v>0.94874688043495903</v>
      </c>
      <c r="M108" s="6">
        <v>0.94874688043495903</v>
      </c>
      <c r="N108" s="6">
        <v>-3.7486669416296001</v>
      </c>
      <c r="O108" s="6">
        <v>-3.7486669416296001</v>
      </c>
      <c r="P108" s="6">
        <v>-3.7486669416296001</v>
      </c>
      <c r="Q108" s="6">
        <v>0</v>
      </c>
      <c r="R108" s="6">
        <v>0</v>
      </c>
      <c r="S108" s="6">
        <v>0</v>
      </c>
      <c r="T108" s="6">
        <v>19.581111405190999</v>
      </c>
    </row>
    <row r="109" spans="1:20" ht="13" x14ac:dyDescent="0.15">
      <c r="A109" s="6">
        <v>107</v>
      </c>
      <c r="B109" s="7">
        <v>43314</v>
      </c>
      <c r="C109" s="6">
        <v>22.357236788807199</v>
      </c>
      <c r="D109" s="6">
        <v>-12.098702269251399</v>
      </c>
      <c r="E109" s="6">
        <v>51.999179650079803</v>
      </c>
      <c r="F109" s="6">
        <v>22.357236788807199</v>
      </c>
      <c r="G109" s="6">
        <v>22.357236788807199</v>
      </c>
      <c r="H109" s="6">
        <v>-2.5025738400337598</v>
      </c>
      <c r="I109" s="6">
        <v>-2.5025738400337598</v>
      </c>
      <c r="J109" s="6">
        <v>-2.5025738400337598</v>
      </c>
      <c r="K109" s="6">
        <v>0.49015521355554997</v>
      </c>
      <c r="L109" s="6">
        <v>0.49015521355554997</v>
      </c>
      <c r="M109" s="6">
        <v>0.49015521355554997</v>
      </c>
      <c r="N109" s="6">
        <v>-2.9927290535893101</v>
      </c>
      <c r="O109" s="6">
        <v>-2.9927290535893101</v>
      </c>
      <c r="P109" s="6">
        <v>-2.9927290535893101</v>
      </c>
      <c r="Q109" s="6">
        <v>0</v>
      </c>
      <c r="R109" s="6">
        <v>0</v>
      </c>
      <c r="S109" s="6">
        <v>0</v>
      </c>
      <c r="T109" s="6">
        <v>19.854662948773498</v>
      </c>
    </row>
    <row r="110" spans="1:20" ht="13" x14ac:dyDescent="0.15">
      <c r="A110" s="6">
        <v>108</v>
      </c>
      <c r="B110" s="7">
        <v>43315</v>
      </c>
      <c r="C110" s="6">
        <v>22.333442111228798</v>
      </c>
      <c r="D110" s="6">
        <v>-9.6171720061500299</v>
      </c>
      <c r="E110" s="6">
        <v>52.235927201747003</v>
      </c>
      <c r="F110" s="6">
        <v>22.333442111228798</v>
      </c>
      <c r="G110" s="6">
        <v>22.333442111228798</v>
      </c>
      <c r="H110" s="6">
        <v>-2.2338124482793198</v>
      </c>
      <c r="I110" s="6">
        <v>-2.2338124482793198</v>
      </c>
      <c r="J110" s="6">
        <v>-2.2338124482793198</v>
      </c>
      <c r="K110" s="6">
        <v>-2.2976765064176501E-2</v>
      </c>
      <c r="L110" s="6">
        <v>-2.2976765064176501E-2</v>
      </c>
      <c r="M110" s="6">
        <v>-2.2976765064176501E-2</v>
      </c>
      <c r="N110" s="6">
        <v>-2.2108356832151399</v>
      </c>
      <c r="O110" s="6">
        <v>-2.2108356832151399</v>
      </c>
      <c r="P110" s="6">
        <v>-2.2108356832151399</v>
      </c>
      <c r="Q110" s="6">
        <v>0</v>
      </c>
      <c r="R110" s="6">
        <v>0</v>
      </c>
      <c r="S110" s="6">
        <v>0</v>
      </c>
      <c r="T110" s="6">
        <v>20.0996296629495</v>
      </c>
    </row>
    <row r="111" spans="1:20" ht="13" x14ac:dyDescent="0.15">
      <c r="A111" s="6">
        <v>109</v>
      </c>
      <c r="B111" s="7">
        <v>43318</v>
      </c>
      <c r="C111" s="6">
        <v>22.262058078493499</v>
      </c>
      <c r="D111" s="6">
        <v>-7.3946920941775804</v>
      </c>
      <c r="E111" s="6">
        <v>57.598363803032001</v>
      </c>
      <c r="F111" s="6">
        <v>22.262058078493499</v>
      </c>
      <c r="G111" s="6">
        <v>22.262058078493499</v>
      </c>
      <c r="H111" s="6">
        <v>1.9941016428810501</v>
      </c>
      <c r="I111" s="6">
        <v>1.9941016428810501</v>
      </c>
      <c r="J111" s="6">
        <v>1.9941016428810501</v>
      </c>
      <c r="K111" s="6">
        <v>1.8228906089352801</v>
      </c>
      <c r="L111" s="6">
        <v>1.8228906089352801</v>
      </c>
      <c r="M111" s="6">
        <v>1.8228906089352801</v>
      </c>
      <c r="N111" s="6">
        <v>0.17121103394576201</v>
      </c>
      <c r="O111" s="6">
        <v>0.17121103394576201</v>
      </c>
      <c r="P111" s="6">
        <v>0.17121103394576201</v>
      </c>
      <c r="Q111" s="6">
        <v>0</v>
      </c>
      <c r="R111" s="6">
        <v>0</v>
      </c>
      <c r="S111" s="6">
        <v>0</v>
      </c>
      <c r="T111" s="6">
        <v>24.256159721374502</v>
      </c>
    </row>
    <row r="112" spans="1:20" ht="13" x14ac:dyDescent="0.15">
      <c r="A112" s="6">
        <v>110</v>
      </c>
      <c r="B112" s="7">
        <v>43319</v>
      </c>
      <c r="C112" s="6">
        <v>22.238263400914999</v>
      </c>
      <c r="D112" s="6">
        <v>-9.0045366824574309</v>
      </c>
      <c r="E112" s="6">
        <v>57.161908486496799</v>
      </c>
      <c r="F112" s="6">
        <v>22.238263400914999</v>
      </c>
      <c r="G112" s="6">
        <v>22.238263400914999</v>
      </c>
      <c r="H112" s="6">
        <v>1.7796106702343699</v>
      </c>
      <c r="I112" s="6">
        <v>1.7796106702343699</v>
      </c>
      <c r="J112" s="6">
        <v>1.7796106702343699</v>
      </c>
      <c r="K112" s="6">
        <v>0.84522403106768995</v>
      </c>
      <c r="L112" s="6">
        <v>0.84522403106768995</v>
      </c>
      <c r="M112" s="6">
        <v>0.84522403106768995</v>
      </c>
      <c r="N112" s="6">
        <v>0.93438663916668596</v>
      </c>
      <c r="O112" s="6">
        <v>0.93438663916668596</v>
      </c>
      <c r="P112" s="6">
        <v>0.93438663916668596</v>
      </c>
      <c r="Q112" s="6">
        <v>0</v>
      </c>
      <c r="R112" s="6">
        <v>0</v>
      </c>
      <c r="S112" s="6">
        <v>0</v>
      </c>
      <c r="T112" s="6">
        <v>24.0178740711494</v>
      </c>
    </row>
    <row r="113" spans="1:20" ht="13" x14ac:dyDescent="0.15">
      <c r="A113" s="6">
        <v>111</v>
      </c>
      <c r="B113" s="7">
        <v>43320</v>
      </c>
      <c r="C113" s="6">
        <v>22.214468723336601</v>
      </c>
      <c r="D113" s="6">
        <v>-6.0050608632804101</v>
      </c>
      <c r="E113" s="6">
        <v>59.9092749156273</v>
      </c>
      <c r="F113" s="6">
        <v>22.214468723336601</v>
      </c>
      <c r="G113" s="6">
        <v>22.214468723336601</v>
      </c>
      <c r="H113" s="6">
        <v>2.6091993092527299</v>
      </c>
      <c r="I113" s="6">
        <v>2.6091993092527299</v>
      </c>
      <c r="J113" s="6">
        <v>2.6091993092527299</v>
      </c>
      <c r="K113" s="6">
        <v>0.94874688043680899</v>
      </c>
      <c r="L113" s="6">
        <v>0.94874688043680899</v>
      </c>
      <c r="M113" s="6">
        <v>0.94874688043680899</v>
      </c>
      <c r="N113" s="6">
        <v>1.6604524288159199</v>
      </c>
      <c r="O113" s="6">
        <v>1.6604524288159199</v>
      </c>
      <c r="P113" s="6">
        <v>1.6604524288159199</v>
      </c>
      <c r="Q113" s="6">
        <v>0</v>
      </c>
      <c r="R113" s="6">
        <v>0</v>
      </c>
      <c r="S113" s="6">
        <v>0</v>
      </c>
      <c r="T113" s="6">
        <v>24.8236680325893</v>
      </c>
    </row>
    <row r="114" spans="1:20" ht="13" x14ac:dyDescent="0.15">
      <c r="A114" s="6">
        <v>112</v>
      </c>
      <c r="B114" s="7">
        <v>43321</v>
      </c>
      <c r="C114" s="6">
        <v>22.190674045758101</v>
      </c>
      <c r="D114" s="6">
        <v>-6.94096934730005</v>
      </c>
      <c r="E114" s="6">
        <v>59.749564943603197</v>
      </c>
      <c r="F114" s="6">
        <v>22.190674045758101</v>
      </c>
      <c r="G114" s="6">
        <v>22.190674045758101</v>
      </c>
      <c r="H114" s="6">
        <v>2.8272799698477198</v>
      </c>
      <c r="I114" s="6">
        <v>2.8272799698477198</v>
      </c>
      <c r="J114" s="6">
        <v>2.8272799698477198</v>
      </c>
      <c r="K114" s="6">
        <v>0.49015521355672897</v>
      </c>
      <c r="L114" s="6">
        <v>0.49015521355672897</v>
      </c>
      <c r="M114" s="6">
        <v>0.49015521355672897</v>
      </c>
      <c r="N114" s="6">
        <v>2.33712475629099</v>
      </c>
      <c r="O114" s="6">
        <v>2.33712475629099</v>
      </c>
      <c r="P114" s="6">
        <v>2.33712475629099</v>
      </c>
      <c r="Q114" s="6">
        <v>0</v>
      </c>
      <c r="R114" s="6">
        <v>0</v>
      </c>
      <c r="S114" s="6">
        <v>0</v>
      </c>
      <c r="T114" s="6">
        <v>25.017954015605898</v>
      </c>
    </row>
    <row r="115" spans="1:20" ht="13" x14ac:dyDescent="0.15">
      <c r="A115" s="6">
        <v>113</v>
      </c>
      <c r="B115" s="7">
        <v>43322</v>
      </c>
      <c r="C115" s="6">
        <v>22.1668793681797</v>
      </c>
      <c r="D115" s="6">
        <v>-5.5359407244414101</v>
      </c>
      <c r="E115" s="6">
        <v>56.063257471660997</v>
      </c>
      <c r="F115" s="6">
        <v>22.1668793681797</v>
      </c>
      <c r="G115" s="6">
        <v>22.1668793681797</v>
      </c>
      <c r="H115" s="6">
        <v>2.9301888984972502</v>
      </c>
      <c r="I115" s="6">
        <v>2.9301888984972502</v>
      </c>
      <c r="J115" s="6">
        <v>2.9301888984972502</v>
      </c>
      <c r="K115" s="6">
        <v>-2.29767650622302E-2</v>
      </c>
      <c r="L115" s="6">
        <v>-2.29767650622302E-2</v>
      </c>
      <c r="M115" s="6">
        <v>-2.29767650622302E-2</v>
      </c>
      <c r="N115" s="6">
        <v>2.9531656635594801</v>
      </c>
      <c r="O115" s="6">
        <v>2.9531656635594801</v>
      </c>
      <c r="P115" s="6">
        <v>2.9531656635594801</v>
      </c>
      <c r="Q115" s="6">
        <v>0</v>
      </c>
      <c r="R115" s="6">
        <v>0</v>
      </c>
      <c r="S115" s="6">
        <v>0</v>
      </c>
      <c r="T115" s="6">
        <v>25.097068266676999</v>
      </c>
    </row>
    <row r="116" spans="1:20" ht="13" x14ac:dyDescent="0.15">
      <c r="A116" s="6">
        <v>114</v>
      </c>
      <c r="B116" s="7">
        <v>43325</v>
      </c>
      <c r="C116" s="6">
        <v>22.095495335444401</v>
      </c>
      <c r="D116" s="6">
        <v>-4.1973623276387499</v>
      </c>
      <c r="E116" s="6">
        <v>61.931968854064102</v>
      </c>
      <c r="F116" s="6">
        <v>22.095495335444401</v>
      </c>
      <c r="G116" s="6">
        <v>22.095495335444401</v>
      </c>
      <c r="H116" s="6">
        <v>6.1711689474227898</v>
      </c>
      <c r="I116" s="6">
        <v>6.1711689474227898</v>
      </c>
      <c r="J116" s="6">
        <v>6.1711689474227898</v>
      </c>
      <c r="K116" s="6">
        <v>1.8228906089370001</v>
      </c>
      <c r="L116" s="6">
        <v>1.8228906089370001</v>
      </c>
      <c r="M116" s="6">
        <v>1.8228906089370001</v>
      </c>
      <c r="N116" s="6">
        <v>4.3482783384857902</v>
      </c>
      <c r="O116" s="6">
        <v>4.3482783384857902</v>
      </c>
      <c r="P116" s="6">
        <v>4.3482783384857902</v>
      </c>
      <c r="Q116" s="6">
        <v>0</v>
      </c>
      <c r="R116" s="6">
        <v>0</v>
      </c>
      <c r="S116" s="6">
        <v>0</v>
      </c>
      <c r="T116" s="6">
        <v>28.2666642828672</v>
      </c>
    </row>
    <row r="117" spans="1:20" ht="13" x14ac:dyDescent="0.15">
      <c r="A117" s="6">
        <v>115</v>
      </c>
      <c r="B117" s="7">
        <v>43326</v>
      </c>
      <c r="C117" s="6">
        <v>22.071700657866</v>
      </c>
      <c r="D117" s="6">
        <v>-4.6426974074058798</v>
      </c>
      <c r="E117" s="6">
        <v>61.4544568574726</v>
      </c>
      <c r="F117" s="6">
        <v>22.071700657866</v>
      </c>
      <c r="G117" s="6">
        <v>22.071700657866</v>
      </c>
      <c r="H117" s="6">
        <v>5.4875927393803403</v>
      </c>
      <c r="I117" s="6">
        <v>5.4875927393803403</v>
      </c>
      <c r="J117" s="6">
        <v>5.4875927393803403</v>
      </c>
      <c r="K117" s="6">
        <v>0.84522403106704502</v>
      </c>
      <c r="L117" s="6">
        <v>0.84522403106704502</v>
      </c>
      <c r="M117" s="6">
        <v>0.84522403106704502</v>
      </c>
      <c r="N117" s="6">
        <v>4.6423687083132998</v>
      </c>
      <c r="O117" s="6">
        <v>4.6423687083132998</v>
      </c>
      <c r="P117" s="6">
        <v>4.6423687083132998</v>
      </c>
      <c r="Q117" s="6">
        <v>0</v>
      </c>
      <c r="R117" s="6">
        <v>0</v>
      </c>
      <c r="S117" s="6">
        <v>0</v>
      </c>
      <c r="T117" s="6">
        <v>27.5592933972463</v>
      </c>
    </row>
    <row r="118" spans="1:20" ht="13" x14ac:dyDescent="0.15">
      <c r="A118" s="6">
        <v>116</v>
      </c>
      <c r="B118" s="7">
        <v>43327</v>
      </c>
      <c r="C118" s="6">
        <v>22.047905980287499</v>
      </c>
      <c r="D118" s="6">
        <v>-4.8556228610976104</v>
      </c>
      <c r="E118" s="6">
        <v>60.1604537864687</v>
      </c>
      <c r="F118" s="6">
        <v>22.047905980287499</v>
      </c>
      <c r="G118" s="6">
        <v>22.047905980287499</v>
      </c>
      <c r="H118" s="6">
        <v>5.7954314084704297</v>
      </c>
      <c r="I118" s="6">
        <v>5.7954314084704297</v>
      </c>
      <c r="J118" s="6">
        <v>5.7954314084704297</v>
      </c>
      <c r="K118" s="6">
        <v>0.94874688043597799</v>
      </c>
      <c r="L118" s="6">
        <v>0.94874688043597799</v>
      </c>
      <c r="M118" s="6">
        <v>0.94874688043597799</v>
      </c>
      <c r="N118" s="6">
        <v>4.8466845280344497</v>
      </c>
      <c r="O118" s="6">
        <v>4.8466845280344497</v>
      </c>
      <c r="P118" s="6">
        <v>4.8466845280344497</v>
      </c>
      <c r="Q118" s="6">
        <v>0</v>
      </c>
      <c r="R118" s="6">
        <v>0</v>
      </c>
      <c r="S118" s="6">
        <v>0</v>
      </c>
      <c r="T118" s="6">
        <v>27.843337388757899</v>
      </c>
    </row>
    <row r="119" spans="1:20" ht="13" x14ac:dyDescent="0.15">
      <c r="A119" s="6">
        <v>117</v>
      </c>
      <c r="B119" s="7">
        <v>43328</v>
      </c>
      <c r="C119" s="6">
        <v>22.024111302709098</v>
      </c>
      <c r="D119" s="6">
        <v>-6.9461632989692603</v>
      </c>
      <c r="E119" s="6">
        <v>57.163720591769803</v>
      </c>
      <c r="F119" s="6">
        <v>22.024111302709098</v>
      </c>
      <c r="G119" s="6">
        <v>22.024111302709098</v>
      </c>
      <c r="H119" s="6">
        <v>5.4524788828404303</v>
      </c>
      <c r="I119" s="6">
        <v>5.4524788828404303</v>
      </c>
      <c r="J119" s="6">
        <v>5.4524788828404303</v>
      </c>
      <c r="K119" s="6">
        <v>0.49015521355389202</v>
      </c>
      <c r="L119" s="6">
        <v>0.49015521355389202</v>
      </c>
      <c r="M119" s="6">
        <v>0.49015521355389202</v>
      </c>
      <c r="N119" s="6">
        <v>4.9623236692865396</v>
      </c>
      <c r="O119" s="6">
        <v>4.9623236692865396</v>
      </c>
      <c r="P119" s="6">
        <v>4.9623236692865396</v>
      </c>
      <c r="Q119" s="6">
        <v>0</v>
      </c>
      <c r="R119" s="6">
        <v>0</v>
      </c>
      <c r="S119" s="6">
        <v>0</v>
      </c>
      <c r="T119" s="6">
        <v>27.476590185549501</v>
      </c>
    </row>
    <row r="120" spans="1:20" ht="13" x14ac:dyDescent="0.15">
      <c r="A120" s="6">
        <v>118</v>
      </c>
      <c r="B120" s="7">
        <v>43329</v>
      </c>
      <c r="C120" s="6">
        <v>22.000316625130601</v>
      </c>
      <c r="D120" s="6">
        <v>-6.2775652470113403</v>
      </c>
      <c r="E120" s="6">
        <v>61.589177826629097</v>
      </c>
      <c r="F120" s="6">
        <v>22.000316625130601</v>
      </c>
      <c r="G120" s="6">
        <v>22.000316625130601</v>
      </c>
      <c r="H120" s="6">
        <v>4.9699054932151903</v>
      </c>
      <c r="I120" s="6">
        <v>4.9699054932151903</v>
      </c>
      <c r="J120" s="6">
        <v>4.9699054932151903</v>
      </c>
      <c r="K120" s="6">
        <v>-2.29767650605067E-2</v>
      </c>
      <c r="L120" s="6">
        <v>-2.29767650605067E-2</v>
      </c>
      <c r="M120" s="6">
        <v>-2.29767650605067E-2</v>
      </c>
      <c r="N120" s="6">
        <v>4.9928822582757002</v>
      </c>
      <c r="O120" s="6">
        <v>4.9928822582757002</v>
      </c>
      <c r="P120" s="6">
        <v>4.9928822582757002</v>
      </c>
      <c r="Q120" s="6">
        <v>0</v>
      </c>
      <c r="R120" s="6">
        <v>0</v>
      </c>
      <c r="S120" s="6">
        <v>0</v>
      </c>
      <c r="T120" s="6">
        <v>26.970222118345799</v>
      </c>
    </row>
    <row r="121" spans="1:20" ht="13" x14ac:dyDescent="0.15">
      <c r="A121" s="6">
        <v>119</v>
      </c>
      <c r="B121" s="7">
        <v>43332</v>
      </c>
      <c r="C121" s="6">
        <v>21.928932592395299</v>
      </c>
      <c r="D121" s="6">
        <v>-0.75139628796819502</v>
      </c>
      <c r="E121" s="6">
        <v>59.941544254471303</v>
      </c>
      <c r="F121" s="6">
        <v>21.928932592395299</v>
      </c>
      <c r="G121" s="6">
        <v>21.928932592395299</v>
      </c>
      <c r="H121" s="6">
        <v>6.4683932826707196</v>
      </c>
      <c r="I121" s="6">
        <v>6.4683932826707196</v>
      </c>
      <c r="J121" s="6">
        <v>6.4683932826707196</v>
      </c>
      <c r="K121" s="6">
        <v>1.82289060893872</v>
      </c>
      <c r="L121" s="6">
        <v>1.82289060893872</v>
      </c>
      <c r="M121" s="6">
        <v>1.82289060893872</v>
      </c>
      <c r="N121" s="6">
        <v>4.6455026737320004</v>
      </c>
      <c r="O121" s="6">
        <v>4.6455026737320004</v>
      </c>
      <c r="P121" s="6">
        <v>4.6455026737320004</v>
      </c>
      <c r="Q121" s="6">
        <v>0</v>
      </c>
      <c r="R121" s="6">
        <v>0</v>
      </c>
      <c r="S121" s="6">
        <v>0</v>
      </c>
      <c r="T121" s="6">
        <v>28.397325875066102</v>
      </c>
    </row>
    <row r="122" spans="1:20" ht="13" x14ac:dyDescent="0.15">
      <c r="A122" s="6">
        <v>120</v>
      </c>
      <c r="B122" s="7">
        <v>43333</v>
      </c>
      <c r="C122" s="6">
        <v>21.905137914816901</v>
      </c>
      <c r="D122" s="6">
        <v>-4.2674972627936496</v>
      </c>
      <c r="E122" s="6">
        <v>58.648780071095899</v>
      </c>
      <c r="F122" s="6">
        <v>21.905137914816901</v>
      </c>
      <c r="G122" s="6">
        <v>21.905137914816901</v>
      </c>
      <c r="H122" s="6">
        <v>5.2628475447304996</v>
      </c>
      <c r="I122" s="6">
        <v>5.2628475447304996</v>
      </c>
      <c r="J122" s="6">
        <v>5.2628475447304996</v>
      </c>
      <c r="K122" s="6">
        <v>0.84522403106639998</v>
      </c>
      <c r="L122" s="6">
        <v>0.84522403106639998</v>
      </c>
      <c r="M122" s="6">
        <v>0.84522403106639998</v>
      </c>
      <c r="N122" s="6">
        <v>4.4176235136641004</v>
      </c>
      <c r="O122" s="6">
        <v>4.4176235136641004</v>
      </c>
      <c r="P122" s="6">
        <v>4.4176235136641004</v>
      </c>
      <c r="Q122" s="6">
        <v>0</v>
      </c>
      <c r="R122" s="6">
        <v>0</v>
      </c>
      <c r="S122" s="6">
        <v>0</v>
      </c>
      <c r="T122" s="6">
        <v>27.167985459547399</v>
      </c>
    </row>
    <row r="123" spans="1:20" ht="13" x14ac:dyDescent="0.15">
      <c r="A123" s="6">
        <v>121</v>
      </c>
      <c r="B123" s="7">
        <v>43334</v>
      </c>
      <c r="C123" s="6">
        <v>21.881343237238401</v>
      </c>
      <c r="D123" s="6">
        <v>-3.42108570041579</v>
      </c>
      <c r="E123" s="6">
        <v>59.934145930600202</v>
      </c>
      <c r="F123" s="6">
        <v>21.881343237238401</v>
      </c>
      <c r="G123" s="6">
        <v>21.881343237238401</v>
      </c>
      <c r="H123" s="6">
        <v>5.1038082778912504</v>
      </c>
      <c r="I123" s="6">
        <v>5.1038082778912504</v>
      </c>
      <c r="J123" s="6">
        <v>5.1038082778912504</v>
      </c>
      <c r="K123" s="6">
        <v>0.94874688043843503</v>
      </c>
      <c r="L123" s="6">
        <v>0.94874688043843503</v>
      </c>
      <c r="M123" s="6">
        <v>0.94874688043843503</v>
      </c>
      <c r="N123" s="6">
        <v>4.1550613974528199</v>
      </c>
      <c r="O123" s="6">
        <v>4.1550613974528199</v>
      </c>
      <c r="P123" s="6">
        <v>4.1550613974528199</v>
      </c>
      <c r="Q123" s="6">
        <v>0</v>
      </c>
      <c r="R123" s="6">
        <v>0</v>
      </c>
      <c r="S123" s="6">
        <v>0</v>
      </c>
      <c r="T123" s="6">
        <v>26.985151515129701</v>
      </c>
    </row>
    <row r="124" spans="1:20" ht="13" x14ac:dyDescent="0.15">
      <c r="A124" s="6">
        <v>122</v>
      </c>
      <c r="B124" s="7">
        <v>43335</v>
      </c>
      <c r="C124" s="6">
        <v>21.857548570832002</v>
      </c>
      <c r="D124" s="6">
        <v>-3.9534517853341802</v>
      </c>
      <c r="E124" s="6">
        <v>61.001087484434201</v>
      </c>
      <c r="F124" s="6">
        <v>21.857548570832002</v>
      </c>
      <c r="G124" s="6">
        <v>21.857548570832002</v>
      </c>
      <c r="H124" s="6">
        <v>4.3625599575452201</v>
      </c>
      <c r="I124" s="6">
        <v>4.3625599575452201</v>
      </c>
      <c r="J124" s="6">
        <v>4.3625599575452201</v>
      </c>
      <c r="K124" s="6">
        <v>0.490155213558359</v>
      </c>
      <c r="L124" s="6">
        <v>0.490155213558359</v>
      </c>
      <c r="M124" s="6">
        <v>0.490155213558359</v>
      </c>
      <c r="N124" s="6">
        <v>3.8724047439868601</v>
      </c>
      <c r="O124" s="6">
        <v>3.8724047439868601</v>
      </c>
      <c r="P124" s="6">
        <v>3.8724047439868601</v>
      </c>
      <c r="Q124" s="6">
        <v>0</v>
      </c>
      <c r="R124" s="6">
        <v>0</v>
      </c>
      <c r="S124" s="6">
        <v>0</v>
      </c>
      <c r="T124" s="6">
        <v>26.220108528377299</v>
      </c>
    </row>
    <row r="125" spans="1:20" ht="13" x14ac:dyDescent="0.15">
      <c r="A125" s="6">
        <v>123</v>
      </c>
      <c r="B125" s="7">
        <v>43336</v>
      </c>
      <c r="C125" s="6">
        <v>21.833753904425599</v>
      </c>
      <c r="D125" s="6">
        <v>-4.7176200764156899</v>
      </c>
      <c r="E125" s="6">
        <v>58.034496145491197</v>
      </c>
      <c r="F125" s="6">
        <v>21.833753904425599</v>
      </c>
      <c r="G125" s="6">
        <v>21.833753904425599</v>
      </c>
      <c r="H125" s="6">
        <v>3.56185299825608</v>
      </c>
      <c r="I125" s="6">
        <v>3.56185299825608</v>
      </c>
      <c r="J125" s="6">
        <v>3.56185299825608</v>
      </c>
      <c r="K125" s="6">
        <v>-2.2976765067899901E-2</v>
      </c>
      <c r="L125" s="6">
        <v>-2.2976765067899901E-2</v>
      </c>
      <c r="M125" s="6">
        <v>-2.2976765067899901E-2</v>
      </c>
      <c r="N125" s="6">
        <v>3.5848297633239801</v>
      </c>
      <c r="O125" s="6">
        <v>3.5848297633239801</v>
      </c>
      <c r="P125" s="6">
        <v>3.5848297633239801</v>
      </c>
      <c r="Q125" s="6">
        <v>0</v>
      </c>
      <c r="R125" s="6">
        <v>0</v>
      </c>
      <c r="S125" s="6">
        <v>0</v>
      </c>
      <c r="T125" s="6">
        <v>25.395606902681699</v>
      </c>
    </row>
    <row r="126" spans="1:20" ht="13" x14ac:dyDescent="0.15">
      <c r="A126" s="6">
        <v>124</v>
      </c>
      <c r="B126" s="7">
        <v>43339</v>
      </c>
      <c r="C126" s="6">
        <v>21.762369905206398</v>
      </c>
      <c r="D126" s="6">
        <v>-6.0880495955939198</v>
      </c>
      <c r="E126" s="6">
        <v>57.507404843564601</v>
      </c>
      <c r="F126" s="6">
        <v>21.762369905206398</v>
      </c>
      <c r="G126" s="6">
        <v>21.762369905206398</v>
      </c>
      <c r="H126" s="6">
        <v>4.6662492336435797</v>
      </c>
      <c r="I126" s="6">
        <v>4.6662492336435797</v>
      </c>
      <c r="J126" s="6">
        <v>4.6662492336435797</v>
      </c>
      <c r="K126" s="6">
        <v>1.8228906089392201</v>
      </c>
      <c r="L126" s="6">
        <v>1.8228906089392201</v>
      </c>
      <c r="M126" s="6">
        <v>1.8228906089392201</v>
      </c>
      <c r="N126" s="6">
        <v>2.8433586247043601</v>
      </c>
      <c r="O126" s="6">
        <v>2.8433586247043601</v>
      </c>
      <c r="P126" s="6">
        <v>2.8433586247043601</v>
      </c>
      <c r="Q126" s="6">
        <v>0</v>
      </c>
      <c r="R126" s="6">
        <v>0</v>
      </c>
      <c r="S126" s="6">
        <v>0</v>
      </c>
      <c r="T126" s="6">
        <v>26.428619138849999</v>
      </c>
    </row>
    <row r="127" spans="1:20" ht="13" x14ac:dyDescent="0.15">
      <c r="A127" s="6">
        <v>125</v>
      </c>
      <c r="B127" s="7">
        <v>43340</v>
      </c>
      <c r="C127" s="6">
        <v>21.738575238799999</v>
      </c>
      <c r="D127" s="6">
        <v>-4.6904908964012098</v>
      </c>
      <c r="E127" s="6">
        <v>55.6054567167944</v>
      </c>
      <c r="F127" s="6">
        <v>21.738575238799999</v>
      </c>
      <c r="G127" s="6">
        <v>21.738575238799999</v>
      </c>
      <c r="H127" s="6">
        <v>3.5284534524809499</v>
      </c>
      <c r="I127" s="6">
        <v>3.5284534524809499</v>
      </c>
      <c r="J127" s="6">
        <v>3.5284534524809499</v>
      </c>
      <c r="K127" s="6">
        <v>0.84522403106722799</v>
      </c>
      <c r="L127" s="6">
        <v>0.84522403106722799</v>
      </c>
      <c r="M127" s="6">
        <v>0.84522403106722799</v>
      </c>
      <c r="N127" s="6">
        <v>2.6832294214137198</v>
      </c>
      <c r="O127" s="6">
        <v>2.6832294214137198</v>
      </c>
      <c r="P127" s="6">
        <v>2.6832294214137198</v>
      </c>
      <c r="Q127" s="6">
        <v>0</v>
      </c>
      <c r="R127" s="6">
        <v>0</v>
      </c>
      <c r="S127" s="6">
        <v>0</v>
      </c>
      <c r="T127" s="6">
        <v>25.267028691280998</v>
      </c>
    </row>
    <row r="128" spans="1:20" ht="13" x14ac:dyDescent="0.15">
      <c r="A128" s="6">
        <v>126</v>
      </c>
      <c r="B128" s="7">
        <v>43341</v>
      </c>
      <c r="C128" s="6">
        <v>21.7147805723936</v>
      </c>
      <c r="D128" s="6">
        <v>-6.6641044772344502</v>
      </c>
      <c r="E128" s="6">
        <v>58.465691888185198</v>
      </c>
      <c r="F128" s="6">
        <v>21.7147805723936</v>
      </c>
      <c r="G128" s="6">
        <v>21.7147805723936</v>
      </c>
      <c r="H128" s="6">
        <v>3.5352536928523501</v>
      </c>
      <c r="I128" s="6">
        <v>3.5352536928523501</v>
      </c>
      <c r="J128" s="6">
        <v>3.5352536928523501</v>
      </c>
      <c r="K128" s="6">
        <v>0.94874688043760402</v>
      </c>
      <c r="L128" s="6">
        <v>0.94874688043760402</v>
      </c>
      <c r="M128" s="6">
        <v>0.94874688043760402</v>
      </c>
      <c r="N128" s="6">
        <v>2.5865068124147399</v>
      </c>
      <c r="O128" s="6">
        <v>2.5865068124147399</v>
      </c>
      <c r="P128" s="6">
        <v>2.5865068124147399</v>
      </c>
      <c r="Q128" s="6">
        <v>0</v>
      </c>
      <c r="R128" s="6">
        <v>0</v>
      </c>
      <c r="S128" s="6">
        <v>0</v>
      </c>
      <c r="T128" s="6">
        <v>25.250034265245901</v>
      </c>
    </row>
    <row r="129" spans="1:20" ht="13" x14ac:dyDescent="0.15">
      <c r="A129" s="6">
        <v>127</v>
      </c>
      <c r="B129" s="7">
        <v>43342</v>
      </c>
      <c r="C129" s="6">
        <v>21.690985905987201</v>
      </c>
      <c r="D129" s="6">
        <v>-6.9554082268467896</v>
      </c>
      <c r="E129" s="6">
        <v>58.065047258126903</v>
      </c>
      <c r="F129" s="6">
        <v>21.690985905987201</v>
      </c>
      <c r="G129" s="6">
        <v>21.690985905987201</v>
      </c>
      <c r="H129" s="6">
        <v>3.0523705046924099</v>
      </c>
      <c r="I129" s="6">
        <v>3.0523705046924099</v>
      </c>
      <c r="J129" s="6">
        <v>3.0523705046924099</v>
      </c>
      <c r="K129" s="6">
        <v>0.490155213555521</v>
      </c>
      <c r="L129" s="6">
        <v>0.490155213555521</v>
      </c>
      <c r="M129" s="6">
        <v>0.490155213555521</v>
      </c>
      <c r="N129" s="6">
        <v>2.5622152911368898</v>
      </c>
      <c r="O129" s="6">
        <v>2.5622152911368898</v>
      </c>
      <c r="P129" s="6">
        <v>2.5622152911368898</v>
      </c>
      <c r="Q129" s="6">
        <v>0</v>
      </c>
      <c r="R129" s="6">
        <v>0</v>
      </c>
      <c r="S129" s="6">
        <v>0</v>
      </c>
      <c r="T129" s="6">
        <v>24.743356410679599</v>
      </c>
    </row>
    <row r="130" spans="1:20" ht="13" x14ac:dyDescent="0.15">
      <c r="A130" s="6">
        <v>128</v>
      </c>
      <c r="B130" s="7">
        <v>43343</v>
      </c>
      <c r="C130" s="6">
        <v>21.667191239580799</v>
      </c>
      <c r="D130" s="6">
        <v>-6.9026939856377103</v>
      </c>
      <c r="E130" s="6">
        <v>58.602247916663103</v>
      </c>
      <c r="F130" s="6">
        <v>21.667191239580799</v>
      </c>
      <c r="G130" s="6">
        <v>21.667191239580799</v>
      </c>
      <c r="H130" s="6">
        <v>2.5939776567206199</v>
      </c>
      <c r="I130" s="6">
        <v>2.5939776567206199</v>
      </c>
      <c r="J130" s="6">
        <v>2.5939776567206199</v>
      </c>
      <c r="K130" s="6">
        <v>-2.2976765065953801E-2</v>
      </c>
      <c r="L130" s="6">
        <v>-2.2976765065953801E-2</v>
      </c>
      <c r="M130" s="6">
        <v>-2.2976765065953801E-2</v>
      </c>
      <c r="N130" s="6">
        <v>2.6169544217865699</v>
      </c>
      <c r="O130" s="6">
        <v>2.6169544217865699</v>
      </c>
      <c r="P130" s="6">
        <v>2.6169544217865699</v>
      </c>
      <c r="Q130" s="6">
        <v>0</v>
      </c>
      <c r="R130" s="6">
        <v>0</v>
      </c>
      <c r="S130" s="6">
        <v>0</v>
      </c>
      <c r="T130" s="6">
        <v>24.261168896301399</v>
      </c>
    </row>
    <row r="131" spans="1:20" ht="13" x14ac:dyDescent="0.15">
      <c r="A131" s="6">
        <v>129</v>
      </c>
      <c r="B131" s="7">
        <v>43347</v>
      </c>
      <c r="C131" s="6">
        <v>21.572012573955099</v>
      </c>
      <c r="D131" s="6">
        <v>-6.6909684647130296</v>
      </c>
      <c r="E131" s="6">
        <v>58.8422707437715</v>
      </c>
      <c r="F131" s="6">
        <v>21.572012573955099</v>
      </c>
      <c r="G131" s="6">
        <v>21.572012573955099</v>
      </c>
      <c r="H131" s="6">
        <v>4.5061516475294798</v>
      </c>
      <c r="I131" s="6">
        <v>4.5061516475294798</v>
      </c>
      <c r="J131" s="6">
        <v>4.5061516475294798</v>
      </c>
      <c r="K131" s="6">
        <v>0.84522403106739497</v>
      </c>
      <c r="L131" s="6">
        <v>0.84522403106739497</v>
      </c>
      <c r="M131" s="6">
        <v>0.84522403106739497</v>
      </c>
      <c r="N131" s="6">
        <v>3.6609276164620801</v>
      </c>
      <c r="O131" s="6">
        <v>3.6609276164620801</v>
      </c>
      <c r="P131" s="6">
        <v>3.6609276164620801</v>
      </c>
      <c r="Q131" s="6">
        <v>0</v>
      </c>
      <c r="R131" s="6">
        <v>0</v>
      </c>
      <c r="S131" s="6">
        <v>0</v>
      </c>
      <c r="T131" s="6">
        <v>26.078164221484599</v>
      </c>
    </row>
    <row r="132" spans="1:20" ht="13" x14ac:dyDescent="0.15">
      <c r="A132" s="6">
        <v>130</v>
      </c>
      <c r="B132" s="7">
        <v>43348</v>
      </c>
      <c r="C132" s="6">
        <v>21.5482179075487</v>
      </c>
      <c r="D132" s="6">
        <v>-3.1391920476870099</v>
      </c>
      <c r="E132" s="6">
        <v>59.521827717461001</v>
      </c>
      <c r="F132" s="6">
        <v>21.5482179075487</v>
      </c>
      <c r="G132" s="6">
        <v>21.5482179075487</v>
      </c>
      <c r="H132" s="6">
        <v>5.0598824715764898</v>
      </c>
      <c r="I132" s="6">
        <v>5.0598824715764898</v>
      </c>
      <c r="J132" s="6">
        <v>5.0598824715764898</v>
      </c>
      <c r="K132" s="6">
        <v>0.94874688043677402</v>
      </c>
      <c r="L132" s="6">
        <v>0.94874688043677402</v>
      </c>
      <c r="M132" s="6">
        <v>0.94874688043677402</v>
      </c>
      <c r="N132" s="6">
        <v>4.1111355911397203</v>
      </c>
      <c r="O132" s="6">
        <v>4.1111355911397203</v>
      </c>
      <c r="P132" s="6">
        <v>4.1111355911397203</v>
      </c>
      <c r="Q132" s="6">
        <v>0</v>
      </c>
      <c r="R132" s="6">
        <v>0</v>
      </c>
      <c r="S132" s="6">
        <v>0</v>
      </c>
      <c r="T132" s="6">
        <v>26.608100379125201</v>
      </c>
    </row>
    <row r="133" spans="1:20" ht="13" x14ac:dyDescent="0.15">
      <c r="A133" s="6">
        <v>131</v>
      </c>
      <c r="B133" s="7">
        <v>43349</v>
      </c>
      <c r="C133" s="6">
        <v>21.524423241142301</v>
      </c>
      <c r="D133" s="6">
        <v>-5.6832247140965499</v>
      </c>
      <c r="E133" s="6">
        <v>57.3641728744076</v>
      </c>
      <c r="F133" s="6">
        <v>21.524423241142301</v>
      </c>
      <c r="G133" s="6">
        <v>21.524423241142301</v>
      </c>
      <c r="H133" s="6">
        <v>5.1102548724234396</v>
      </c>
      <c r="I133" s="6">
        <v>5.1102548724234396</v>
      </c>
      <c r="J133" s="6">
        <v>5.1102548724234396</v>
      </c>
      <c r="K133" s="6">
        <v>0.4901552135567</v>
      </c>
      <c r="L133" s="6">
        <v>0.4901552135567</v>
      </c>
      <c r="M133" s="6">
        <v>0.4901552135567</v>
      </c>
      <c r="N133" s="6">
        <v>4.6200996588667396</v>
      </c>
      <c r="O133" s="6">
        <v>4.6200996588667396</v>
      </c>
      <c r="P133" s="6">
        <v>4.6200996588667396</v>
      </c>
      <c r="Q133" s="6">
        <v>0</v>
      </c>
      <c r="R133" s="6">
        <v>0</v>
      </c>
      <c r="S133" s="6">
        <v>0</v>
      </c>
      <c r="T133" s="6">
        <v>26.634678113565801</v>
      </c>
    </row>
    <row r="134" spans="1:20" ht="13" x14ac:dyDescent="0.15">
      <c r="A134" s="6">
        <v>132</v>
      </c>
      <c r="B134" s="7">
        <v>43350</v>
      </c>
      <c r="C134" s="6">
        <v>21.500628574735899</v>
      </c>
      <c r="D134" s="6">
        <v>-6.8656220900946296</v>
      </c>
      <c r="E134" s="6">
        <v>59.809840460298098</v>
      </c>
      <c r="F134" s="6">
        <v>21.500628574735899</v>
      </c>
      <c r="G134" s="6">
        <v>21.500628574735899</v>
      </c>
      <c r="H134" s="6">
        <v>5.1517771180442899</v>
      </c>
      <c r="I134" s="6">
        <v>5.1517771180442899</v>
      </c>
      <c r="J134" s="6">
        <v>5.1517771180442899</v>
      </c>
      <c r="K134" s="6">
        <v>-2.29767650596721E-2</v>
      </c>
      <c r="L134" s="6">
        <v>-2.29767650596721E-2</v>
      </c>
      <c r="M134" s="6">
        <v>-2.29767650596721E-2</v>
      </c>
      <c r="N134" s="6">
        <v>5.1747538831039597</v>
      </c>
      <c r="O134" s="6">
        <v>5.1747538831039597</v>
      </c>
      <c r="P134" s="6">
        <v>5.1747538831039597</v>
      </c>
      <c r="Q134" s="6">
        <v>0</v>
      </c>
      <c r="R134" s="6">
        <v>0</v>
      </c>
      <c r="S134" s="6">
        <v>0</v>
      </c>
      <c r="T134" s="6">
        <v>26.652405692780199</v>
      </c>
    </row>
    <row r="135" spans="1:20" ht="13" x14ac:dyDescent="0.15">
      <c r="A135" s="6">
        <v>133</v>
      </c>
      <c r="B135" s="7">
        <v>43353</v>
      </c>
      <c r="C135" s="6">
        <v>21.429244575516702</v>
      </c>
      <c r="D135" s="6">
        <v>-3.8020768517643702</v>
      </c>
      <c r="E135" s="6">
        <v>63.475709229905398</v>
      </c>
      <c r="F135" s="6">
        <v>21.429244575516702</v>
      </c>
      <c r="G135" s="6">
        <v>21.429244575516702</v>
      </c>
      <c r="H135" s="6">
        <v>8.7750376977069706</v>
      </c>
      <c r="I135" s="6">
        <v>8.7750376977069706</v>
      </c>
      <c r="J135" s="6">
        <v>8.7750376977069706</v>
      </c>
      <c r="K135" s="6">
        <v>1.8228906089347201</v>
      </c>
      <c r="L135" s="6">
        <v>1.8228906089347201</v>
      </c>
      <c r="M135" s="6">
        <v>1.8228906089347201</v>
      </c>
      <c r="N135" s="6">
        <v>6.9521470887722501</v>
      </c>
      <c r="O135" s="6">
        <v>6.9521470887722501</v>
      </c>
      <c r="P135" s="6">
        <v>6.9521470887722501</v>
      </c>
      <c r="Q135" s="6">
        <v>0</v>
      </c>
      <c r="R135" s="6">
        <v>0</v>
      </c>
      <c r="S135" s="6">
        <v>0</v>
      </c>
      <c r="T135" s="6">
        <v>30.204282273223701</v>
      </c>
    </row>
    <row r="136" spans="1:20" ht="13" x14ac:dyDescent="0.15">
      <c r="A136" s="6">
        <v>134</v>
      </c>
      <c r="B136" s="7">
        <v>43354</v>
      </c>
      <c r="C136" s="6">
        <v>21.405449909110299</v>
      </c>
      <c r="D136" s="6">
        <v>-2.7600716670673302</v>
      </c>
      <c r="E136" s="6">
        <v>61.780602119816002</v>
      </c>
      <c r="F136" s="6">
        <v>21.405449909110299</v>
      </c>
      <c r="G136" s="6">
        <v>21.405449909110299</v>
      </c>
      <c r="H136" s="6">
        <v>8.3671321757975896</v>
      </c>
      <c r="I136" s="6">
        <v>8.3671321757975896</v>
      </c>
      <c r="J136" s="6">
        <v>8.3671321757975896</v>
      </c>
      <c r="K136" s="6">
        <v>0.84522403106593802</v>
      </c>
      <c r="L136" s="6">
        <v>0.84522403106593802</v>
      </c>
      <c r="M136" s="6">
        <v>0.84522403106593802</v>
      </c>
      <c r="N136" s="6">
        <v>7.5219081447316603</v>
      </c>
      <c r="O136" s="6">
        <v>7.5219081447316603</v>
      </c>
      <c r="P136" s="6">
        <v>7.5219081447316603</v>
      </c>
      <c r="Q136" s="6">
        <v>0</v>
      </c>
      <c r="R136" s="6">
        <v>0</v>
      </c>
      <c r="S136" s="6">
        <v>0</v>
      </c>
      <c r="T136" s="6">
        <v>29.772582084907899</v>
      </c>
    </row>
    <row r="137" spans="1:20" ht="13" x14ac:dyDescent="0.15">
      <c r="A137" s="6">
        <v>135</v>
      </c>
      <c r="B137" s="7">
        <v>43355</v>
      </c>
      <c r="C137" s="6">
        <v>21.3816552427039</v>
      </c>
      <c r="D137" s="6">
        <v>-1.26037244030643</v>
      </c>
      <c r="E137" s="6">
        <v>64.869134504174099</v>
      </c>
      <c r="F137" s="6">
        <v>21.3816552427039</v>
      </c>
      <c r="G137" s="6">
        <v>21.3816552427039</v>
      </c>
      <c r="H137" s="6">
        <v>8.9971051422614199</v>
      </c>
      <c r="I137" s="6">
        <v>8.9971051422614199</v>
      </c>
      <c r="J137" s="6">
        <v>8.9971051422614199</v>
      </c>
      <c r="K137" s="6">
        <v>0.94874688043594302</v>
      </c>
      <c r="L137" s="6">
        <v>0.94874688043594302</v>
      </c>
      <c r="M137" s="6">
        <v>0.94874688043594302</v>
      </c>
      <c r="N137" s="6">
        <v>8.0483582618254701</v>
      </c>
      <c r="O137" s="6">
        <v>8.0483582618254701</v>
      </c>
      <c r="P137" s="6">
        <v>8.0483582618254701</v>
      </c>
      <c r="Q137" s="6">
        <v>0</v>
      </c>
      <c r="R137" s="6">
        <v>0</v>
      </c>
      <c r="S137" s="6">
        <v>0</v>
      </c>
      <c r="T137" s="6">
        <v>30.3787603849653</v>
      </c>
    </row>
    <row r="138" spans="1:20" ht="13" x14ac:dyDescent="0.15">
      <c r="A138" s="6">
        <v>136</v>
      </c>
      <c r="B138" s="7">
        <v>43356</v>
      </c>
      <c r="C138" s="6">
        <v>21.357860576297501</v>
      </c>
      <c r="D138" s="6">
        <v>7.29882324887422E-2</v>
      </c>
      <c r="E138" s="6">
        <v>61.946324158175599</v>
      </c>
      <c r="F138" s="6">
        <v>21.357860576297501</v>
      </c>
      <c r="G138" s="6">
        <v>21.357860576297501</v>
      </c>
      <c r="H138" s="6">
        <v>9.0026064972245106</v>
      </c>
      <c r="I138" s="6">
        <v>9.0026064972245106</v>
      </c>
      <c r="J138" s="6">
        <v>9.0026064972245106</v>
      </c>
      <c r="K138" s="6">
        <v>0.49015521355313302</v>
      </c>
      <c r="L138" s="6">
        <v>0.49015521355313302</v>
      </c>
      <c r="M138" s="6">
        <v>0.49015521355313302</v>
      </c>
      <c r="N138" s="6">
        <v>8.5124512836713695</v>
      </c>
      <c r="O138" s="6">
        <v>8.5124512836713695</v>
      </c>
      <c r="P138" s="6">
        <v>8.5124512836713695</v>
      </c>
      <c r="Q138" s="6">
        <v>0</v>
      </c>
      <c r="R138" s="6">
        <v>0</v>
      </c>
      <c r="S138" s="6">
        <v>0</v>
      </c>
      <c r="T138" s="6">
        <v>30.360467073521999</v>
      </c>
    </row>
    <row r="139" spans="1:20" ht="13" x14ac:dyDescent="0.15">
      <c r="A139" s="6">
        <v>137</v>
      </c>
      <c r="B139" s="7">
        <v>43357</v>
      </c>
      <c r="C139" s="6">
        <v>21.334065909891098</v>
      </c>
      <c r="D139" s="6">
        <v>-0.34975043737997602</v>
      </c>
      <c r="E139" s="6">
        <v>63.304838719049798</v>
      </c>
      <c r="F139" s="6">
        <v>21.334065909891098</v>
      </c>
      <c r="G139" s="6">
        <v>21.334065909891098</v>
      </c>
      <c r="H139" s="6">
        <v>8.8730406568507707</v>
      </c>
      <c r="I139" s="6">
        <v>8.8730406568507707</v>
      </c>
      <c r="J139" s="6">
        <v>8.8730406568507707</v>
      </c>
      <c r="K139" s="6">
        <v>-2.2976765062284101E-2</v>
      </c>
      <c r="L139" s="6">
        <v>-2.2976765062284101E-2</v>
      </c>
      <c r="M139" s="6">
        <v>-2.2976765062284101E-2</v>
      </c>
      <c r="N139" s="6">
        <v>8.8960174219130597</v>
      </c>
      <c r="O139" s="6">
        <v>8.8960174219130597</v>
      </c>
      <c r="P139" s="6">
        <v>8.8960174219130597</v>
      </c>
      <c r="Q139" s="6">
        <v>0</v>
      </c>
      <c r="R139" s="6">
        <v>0</v>
      </c>
      <c r="S139" s="6">
        <v>0</v>
      </c>
      <c r="T139" s="6">
        <v>30.207106566741899</v>
      </c>
    </row>
    <row r="140" spans="1:20" ht="13" x14ac:dyDescent="0.15">
      <c r="A140" s="6">
        <v>138</v>
      </c>
      <c r="B140" s="7">
        <v>43360</v>
      </c>
      <c r="C140" s="6">
        <v>21.262681910671802</v>
      </c>
      <c r="D140" s="6">
        <v>-1.2091871553126201</v>
      </c>
      <c r="E140" s="6">
        <v>64.9838917505475</v>
      </c>
      <c r="F140" s="6">
        <v>21.262681910671802</v>
      </c>
      <c r="G140" s="6">
        <v>21.262681910671802</v>
      </c>
      <c r="H140" s="6">
        <v>11.229288169641899</v>
      </c>
      <c r="I140" s="6">
        <v>11.229288169641899</v>
      </c>
      <c r="J140" s="6">
        <v>11.229288169641899</v>
      </c>
      <c r="K140" s="6">
        <v>1.82289060893766</v>
      </c>
      <c r="L140" s="6">
        <v>1.82289060893766</v>
      </c>
      <c r="M140" s="6">
        <v>1.82289060893766</v>
      </c>
      <c r="N140" s="6">
        <v>9.4063975607043009</v>
      </c>
      <c r="O140" s="6">
        <v>9.4063975607043009</v>
      </c>
      <c r="P140" s="6">
        <v>9.4063975607043009</v>
      </c>
      <c r="Q140" s="6">
        <v>0</v>
      </c>
      <c r="R140" s="6">
        <v>0</v>
      </c>
      <c r="S140" s="6">
        <v>0</v>
      </c>
      <c r="T140" s="6">
        <v>32.491970080313799</v>
      </c>
    </row>
    <row r="141" spans="1:20" ht="13" x14ac:dyDescent="0.15">
      <c r="A141" s="6">
        <v>139</v>
      </c>
      <c r="B141" s="7">
        <v>43361</v>
      </c>
      <c r="C141" s="6">
        <v>21.238887244265399</v>
      </c>
      <c r="D141" s="6">
        <v>-3.4116060684540201</v>
      </c>
      <c r="E141" s="6">
        <v>62.071783933465703</v>
      </c>
      <c r="F141" s="6">
        <v>21.238887244265399</v>
      </c>
      <c r="G141" s="6">
        <v>21.238887244265399</v>
      </c>
      <c r="H141" s="6">
        <v>10.167548196113501</v>
      </c>
      <c r="I141" s="6">
        <v>10.167548196113501</v>
      </c>
      <c r="J141" s="6">
        <v>10.167548196113501</v>
      </c>
      <c r="K141" s="6">
        <v>0.84522403106676602</v>
      </c>
      <c r="L141" s="6">
        <v>0.84522403106676602</v>
      </c>
      <c r="M141" s="6">
        <v>0.84522403106676602</v>
      </c>
      <c r="N141" s="6">
        <v>9.3223241650467692</v>
      </c>
      <c r="O141" s="6">
        <v>9.3223241650467692</v>
      </c>
      <c r="P141" s="6">
        <v>9.3223241650467692</v>
      </c>
      <c r="Q141" s="6">
        <v>0</v>
      </c>
      <c r="R141" s="6">
        <v>0</v>
      </c>
      <c r="S141" s="6">
        <v>0</v>
      </c>
      <c r="T141" s="6">
        <v>31.406435440378999</v>
      </c>
    </row>
    <row r="142" spans="1:20" ht="13" x14ac:dyDescent="0.15">
      <c r="A142" s="6">
        <v>140</v>
      </c>
      <c r="B142" s="7">
        <v>43362</v>
      </c>
      <c r="C142" s="6">
        <v>21.215092577859</v>
      </c>
      <c r="D142" s="6">
        <v>8.5894307100919207E-2</v>
      </c>
      <c r="E142" s="6">
        <v>64.013246654817095</v>
      </c>
      <c r="F142" s="6">
        <v>21.215092577859</v>
      </c>
      <c r="G142" s="6">
        <v>21.215092577859</v>
      </c>
      <c r="H142" s="6">
        <v>10.046787684428899</v>
      </c>
      <c r="I142" s="6">
        <v>10.046787684428899</v>
      </c>
      <c r="J142" s="6">
        <v>10.046787684428899</v>
      </c>
      <c r="K142" s="6">
        <v>0.94874688043840005</v>
      </c>
      <c r="L142" s="6">
        <v>0.94874688043840005</v>
      </c>
      <c r="M142" s="6">
        <v>0.94874688043840005</v>
      </c>
      <c r="N142" s="6">
        <v>9.0980408039905001</v>
      </c>
      <c r="O142" s="6">
        <v>9.0980408039905001</v>
      </c>
      <c r="P142" s="6">
        <v>9.0980408039905001</v>
      </c>
      <c r="Q142" s="6">
        <v>0</v>
      </c>
      <c r="R142" s="6">
        <v>0</v>
      </c>
      <c r="S142" s="6">
        <v>0</v>
      </c>
      <c r="T142" s="6">
        <v>31.2618802622879</v>
      </c>
    </row>
    <row r="143" spans="1:20" ht="13" x14ac:dyDescent="0.15">
      <c r="A143" s="6">
        <v>141</v>
      </c>
      <c r="B143" s="7">
        <v>43363</v>
      </c>
      <c r="C143" s="6">
        <v>21.191297911452601</v>
      </c>
      <c r="D143" s="6">
        <v>-1.61639029683327</v>
      </c>
      <c r="E143" s="6">
        <v>62.207920206516903</v>
      </c>
      <c r="F143" s="6">
        <v>21.191297911452601</v>
      </c>
      <c r="G143" s="6">
        <v>21.191297911452601</v>
      </c>
      <c r="H143" s="6">
        <v>9.2208692035023692</v>
      </c>
      <c r="I143" s="6">
        <v>9.2208692035023692</v>
      </c>
      <c r="J143" s="6">
        <v>9.2208692035023692</v>
      </c>
      <c r="K143" s="6">
        <v>0.4901552135576</v>
      </c>
      <c r="L143" s="6">
        <v>0.4901552135576</v>
      </c>
      <c r="M143" s="6">
        <v>0.4901552135576</v>
      </c>
      <c r="N143" s="6">
        <v>8.7307139899447694</v>
      </c>
      <c r="O143" s="6">
        <v>8.7307139899447694</v>
      </c>
      <c r="P143" s="6">
        <v>8.7307139899447694</v>
      </c>
      <c r="Q143" s="6">
        <v>0</v>
      </c>
      <c r="R143" s="6">
        <v>0</v>
      </c>
      <c r="S143" s="6">
        <v>0</v>
      </c>
      <c r="T143" s="6">
        <v>30.412167114955</v>
      </c>
    </row>
    <row r="144" spans="1:20" ht="13" x14ac:dyDescent="0.15">
      <c r="A144" s="6">
        <v>142</v>
      </c>
      <c r="B144" s="7">
        <v>43364</v>
      </c>
      <c r="C144" s="6">
        <v>21.167503245046198</v>
      </c>
      <c r="D144" s="6">
        <v>-1.82869534931172</v>
      </c>
      <c r="E144" s="6">
        <v>61.738725196533103</v>
      </c>
      <c r="F144" s="6">
        <v>21.167503245046198</v>
      </c>
      <c r="G144" s="6">
        <v>21.167503245046198</v>
      </c>
      <c r="H144" s="6">
        <v>8.1981740342943894</v>
      </c>
      <c r="I144" s="6">
        <v>8.1981740342943894</v>
      </c>
      <c r="J144" s="6">
        <v>8.1981740342943894</v>
      </c>
      <c r="K144" s="6">
        <v>-2.2976765060337901E-2</v>
      </c>
      <c r="L144" s="6">
        <v>-2.2976765060337901E-2</v>
      </c>
      <c r="M144" s="6">
        <v>-2.2976765060337901E-2</v>
      </c>
      <c r="N144" s="6">
        <v>8.2211507993547297</v>
      </c>
      <c r="O144" s="6">
        <v>8.2211507993547297</v>
      </c>
      <c r="P144" s="6">
        <v>8.2211507993547297</v>
      </c>
      <c r="Q144" s="6">
        <v>0</v>
      </c>
      <c r="R144" s="6">
        <v>0</v>
      </c>
      <c r="S144" s="6">
        <v>0</v>
      </c>
      <c r="T144" s="6">
        <v>29.365677279340598</v>
      </c>
    </row>
    <row r="145" spans="1:20" ht="13" x14ac:dyDescent="0.15">
      <c r="A145" s="6">
        <v>143</v>
      </c>
      <c r="B145" s="7">
        <v>43367</v>
      </c>
      <c r="C145" s="6">
        <v>21.096119245827001</v>
      </c>
      <c r="D145" s="6">
        <v>-1.5662859569597301</v>
      </c>
      <c r="E145" s="6">
        <v>62.307167173948599</v>
      </c>
      <c r="F145" s="6">
        <v>21.096119245827001</v>
      </c>
      <c r="G145" s="6">
        <v>21.096119245827001</v>
      </c>
      <c r="H145" s="6">
        <v>7.7255007713595303</v>
      </c>
      <c r="I145" s="6">
        <v>7.7255007713595303</v>
      </c>
      <c r="J145" s="6">
        <v>7.7255007713595303</v>
      </c>
      <c r="K145" s="6">
        <v>1.8228906089341901</v>
      </c>
      <c r="L145" s="6">
        <v>1.8228906089341901</v>
      </c>
      <c r="M145" s="6">
        <v>1.8228906089341901</v>
      </c>
      <c r="N145" s="6">
        <v>5.9026101624253302</v>
      </c>
      <c r="O145" s="6">
        <v>5.9026101624253302</v>
      </c>
      <c r="P145" s="6">
        <v>5.9026101624253302</v>
      </c>
      <c r="Q145" s="6">
        <v>0</v>
      </c>
      <c r="R145" s="6">
        <v>0</v>
      </c>
      <c r="S145" s="6">
        <v>0</v>
      </c>
      <c r="T145" s="6">
        <v>28.8216200171865</v>
      </c>
    </row>
    <row r="146" spans="1:20" ht="13" x14ac:dyDescent="0.15">
      <c r="A146" s="6">
        <v>144</v>
      </c>
      <c r="B146" s="7">
        <v>43368</v>
      </c>
      <c r="C146" s="6">
        <v>21.072324579420599</v>
      </c>
      <c r="D146" s="6">
        <v>-5.6148152000068903</v>
      </c>
      <c r="E146" s="6">
        <v>59.938478657419203</v>
      </c>
      <c r="F146" s="6">
        <v>21.072324579420599</v>
      </c>
      <c r="G146" s="6">
        <v>21.072324579420599</v>
      </c>
      <c r="H146" s="6">
        <v>5.7507414283024696</v>
      </c>
      <c r="I146" s="6">
        <v>5.7507414283024696</v>
      </c>
      <c r="J146" s="6">
        <v>5.7507414283024696</v>
      </c>
      <c r="K146" s="6">
        <v>0.84522403106612098</v>
      </c>
      <c r="L146" s="6">
        <v>0.84522403106612098</v>
      </c>
      <c r="M146" s="6">
        <v>0.84522403106612098</v>
      </c>
      <c r="N146" s="6">
        <v>4.9055173972363502</v>
      </c>
      <c r="O146" s="6">
        <v>4.9055173972363502</v>
      </c>
      <c r="P146" s="6">
        <v>4.9055173972363502</v>
      </c>
      <c r="Q146" s="6">
        <v>0</v>
      </c>
      <c r="R146" s="6">
        <v>0</v>
      </c>
      <c r="S146" s="6">
        <v>0</v>
      </c>
      <c r="T146" s="6">
        <v>26.823066007723099</v>
      </c>
    </row>
    <row r="147" spans="1:20" ht="13" x14ac:dyDescent="0.15">
      <c r="A147" s="6">
        <v>145</v>
      </c>
      <c r="B147" s="7">
        <v>43369</v>
      </c>
      <c r="C147" s="6">
        <v>21.0485299130142</v>
      </c>
      <c r="D147" s="6">
        <v>-6.9934342961339198</v>
      </c>
      <c r="E147" s="6">
        <v>58.013349801987701</v>
      </c>
      <c r="F147" s="6">
        <v>21.0485299130142</v>
      </c>
      <c r="G147" s="6">
        <v>21.0485299130142</v>
      </c>
      <c r="H147" s="6">
        <v>4.7727027663777699</v>
      </c>
      <c r="I147" s="6">
        <v>4.7727027663777699</v>
      </c>
      <c r="J147" s="6">
        <v>4.7727027663777699</v>
      </c>
      <c r="K147" s="6">
        <v>0.94874688043488897</v>
      </c>
      <c r="L147" s="6">
        <v>0.94874688043488897</v>
      </c>
      <c r="M147" s="6">
        <v>0.94874688043488897</v>
      </c>
      <c r="N147" s="6">
        <v>3.8239558859428802</v>
      </c>
      <c r="O147" s="6">
        <v>3.8239558859428802</v>
      </c>
      <c r="P147" s="6">
        <v>3.8239558859428802</v>
      </c>
      <c r="Q147" s="6">
        <v>0</v>
      </c>
      <c r="R147" s="6">
        <v>0</v>
      </c>
      <c r="S147" s="6">
        <v>0</v>
      </c>
      <c r="T147" s="6">
        <v>25.821232679392001</v>
      </c>
    </row>
    <row r="148" spans="1:20" ht="13" x14ac:dyDescent="0.15">
      <c r="A148" s="6">
        <v>146</v>
      </c>
      <c r="B148" s="7">
        <v>43370</v>
      </c>
      <c r="C148" s="6">
        <v>21.024735246607801</v>
      </c>
      <c r="D148" s="6">
        <v>-8.5830231536200401</v>
      </c>
      <c r="E148" s="6">
        <v>54.6644173565549</v>
      </c>
      <c r="F148" s="6">
        <v>21.024735246607801</v>
      </c>
      <c r="G148" s="6">
        <v>21.024735246607801</v>
      </c>
      <c r="H148" s="6">
        <v>3.16882081346228</v>
      </c>
      <c r="I148" s="6">
        <v>3.16882081346228</v>
      </c>
      <c r="J148" s="6">
        <v>3.16882081346228</v>
      </c>
      <c r="K148" s="6">
        <v>0.490155213558779</v>
      </c>
      <c r="L148" s="6">
        <v>0.490155213558779</v>
      </c>
      <c r="M148" s="6">
        <v>0.490155213558779</v>
      </c>
      <c r="N148" s="6">
        <v>2.6786655999034998</v>
      </c>
      <c r="O148" s="6">
        <v>2.6786655999034998</v>
      </c>
      <c r="P148" s="6">
        <v>2.6786655999034998</v>
      </c>
      <c r="Q148" s="6">
        <v>0</v>
      </c>
      <c r="R148" s="6">
        <v>0</v>
      </c>
      <c r="S148" s="6">
        <v>0</v>
      </c>
      <c r="T148" s="6">
        <v>24.193556060070001</v>
      </c>
    </row>
    <row r="149" spans="1:20" ht="13" x14ac:dyDescent="0.15">
      <c r="A149" s="6">
        <v>147</v>
      </c>
      <c r="B149" s="7">
        <v>43371</v>
      </c>
      <c r="C149" s="6">
        <v>21.000940580201402</v>
      </c>
      <c r="D149" s="6">
        <v>-10.7332811981031</v>
      </c>
      <c r="E149" s="6">
        <v>53.806582394112802</v>
      </c>
      <c r="F149" s="6">
        <v>21.000940580201402</v>
      </c>
      <c r="G149" s="6">
        <v>21.000940580201402</v>
      </c>
      <c r="H149" s="6">
        <v>1.46953219491022</v>
      </c>
      <c r="I149" s="6">
        <v>1.46953219491022</v>
      </c>
      <c r="J149" s="6">
        <v>1.46953219491022</v>
      </c>
      <c r="K149" s="6">
        <v>-2.29767650675082E-2</v>
      </c>
      <c r="L149" s="6">
        <v>-2.29767650675082E-2</v>
      </c>
      <c r="M149" s="6">
        <v>-2.29767650675082E-2</v>
      </c>
      <c r="N149" s="6">
        <v>1.4925089599777299</v>
      </c>
      <c r="O149" s="6">
        <v>1.4925089599777299</v>
      </c>
      <c r="P149" s="6">
        <v>1.4925089599777299</v>
      </c>
      <c r="Q149" s="6">
        <v>0</v>
      </c>
      <c r="R149" s="6">
        <v>0</v>
      </c>
      <c r="S149" s="6">
        <v>0</v>
      </c>
      <c r="T149" s="6">
        <v>22.470472775111599</v>
      </c>
    </row>
    <row r="150" spans="1:20" ht="13" x14ac:dyDescent="0.15">
      <c r="A150" s="6">
        <v>148</v>
      </c>
      <c r="B150" s="7">
        <v>43374</v>
      </c>
      <c r="C150" s="6">
        <v>20.929556580982101</v>
      </c>
      <c r="D150" s="6">
        <v>-10.5299150355719</v>
      </c>
      <c r="E150" s="6">
        <v>52.575767936882997</v>
      </c>
      <c r="F150" s="6">
        <v>20.929556580982101</v>
      </c>
      <c r="G150" s="6">
        <v>20.929556580982101</v>
      </c>
      <c r="H150" s="6">
        <v>-0.23966483642400299</v>
      </c>
      <c r="I150" s="6">
        <v>-0.23966483642400299</v>
      </c>
      <c r="J150" s="6">
        <v>-0.23966483642400299</v>
      </c>
      <c r="K150" s="6">
        <v>1.82289060893591</v>
      </c>
      <c r="L150" s="6">
        <v>1.82289060893591</v>
      </c>
      <c r="M150" s="6">
        <v>1.82289060893591</v>
      </c>
      <c r="N150" s="6">
        <v>-2.06255544535991</v>
      </c>
      <c r="O150" s="6">
        <v>-2.06255544535991</v>
      </c>
      <c r="P150" s="6">
        <v>-2.06255544535991</v>
      </c>
      <c r="Q150" s="6">
        <v>0</v>
      </c>
      <c r="R150" s="6">
        <v>0</v>
      </c>
      <c r="S150" s="6">
        <v>0</v>
      </c>
      <c r="T150" s="6">
        <v>20.6898917445581</v>
      </c>
    </row>
    <row r="151" spans="1:20" ht="13" x14ac:dyDescent="0.15">
      <c r="A151" s="6">
        <v>149</v>
      </c>
      <c r="B151" s="7">
        <v>43375</v>
      </c>
      <c r="C151" s="6">
        <v>20.905761914575699</v>
      </c>
      <c r="D151" s="6">
        <v>-13.6832037755435</v>
      </c>
      <c r="E151" s="6">
        <v>50.783162662006298</v>
      </c>
      <c r="F151" s="6">
        <v>20.905761914575699</v>
      </c>
      <c r="G151" s="6">
        <v>20.905761914575699</v>
      </c>
      <c r="H151" s="6">
        <v>-2.3160178361257899</v>
      </c>
      <c r="I151" s="6">
        <v>-2.3160178361257899</v>
      </c>
      <c r="J151" s="6">
        <v>-2.3160178361257899</v>
      </c>
      <c r="K151" s="6">
        <v>0.84522403106466404</v>
      </c>
      <c r="L151" s="6">
        <v>0.84522403106466404</v>
      </c>
      <c r="M151" s="6">
        <v>0.84522403106466404</v>
      </c>
      <c r="N151" s="6">
        <v>-3.1612418671904599</v>
      </c>
      <c r="O151" s="6">
        <v>-3.1612418671904599</v>
      </c>
      <c r="P151" s="6">
        <v>-3.1612418671904599</v>
      </c>
      <c r="Q151" s="6">
        <v>0</v>
      </c>
      <c r="R151" s="6">
        <v>0</v>
      </c>
      <c r="S151" s="6">
        <v>0</v>
      </c>
      <c r="T151" s="6">
        <v>18.5897440784499</v>
      </c>
    </row>
    <row r="152" spans="1:20" ht="13" x14ac:dyDescent="0.15">
      <c r="A152" s="6">
        <v>150</v>
      </c>
      <c r="B152" s="7">
        <v>43376</v>
      </c>
      <c r="C152" s="6">
        <v>20.8819672481693</v>
      </c>
      <c r="D152" s="6">
        <v>-15.0260429998324</v>
      </c>
      <c r="E152" s="6">
        <v>48.355497614507499</v>
      </c>
      <c r="F152" s="6">
        <v>20.8819672481693</v>
      </c>
      <c r="G152" s="6">
        <v>20.8819672481693</v>
      </c>
      <c r="H152" s="6">
        <v>-3.2264992344319801</v>
      </c>
      <c r="I152" s="6">
        <v>-3.2264992344319801</v>
      </c>
      <c r="J152" s="6">
        <v>-3.2264992344319801</v>
      </c>
      <c r="K152" s="6">
        <v>0.94874688043673905</v>
      </c>
      <c r="L152" s="6">
        <v>0.94874688043673905</v>
      </c>
      <c r="M152" s="6">
        <v>0.94874688043673905</v>
      </c>
      <c r="N152" s="6">
        <v>-4.1752461148687203</v>
      </c>
      <c r="O152" s="6">
        <v>-4.1752461148687203</v>
      </c>
      <c r="P152" s="6">
        <v>-4.1752461148687203</v>
      </c>
      <c r="Q152" s="6">
        <v>0</v>
      </c>
      <c r="R152" s="6">
        <v>0</v>
      </c>
      <c r="S152" s="6">
        <v>0</v>
      </c>
      <c r="T152" s="6">
        <v>17.655468013737298</v>
      </c>
    </row>
    <row r="153" spans="1:20" ht="13" x14ac:dyDescent="0.15">
      <c r="A153" s="6">
        <v>151</v>
      </c>
      <c r="B153" s="7">
        <v>43377</v>
      </c>
      <c r="C153" s="6">
        <v>20.858172581762901</v>
      </c>
      <c r="D153" s="6">
        <v>-18.453589703203999</v>
      </c>
      <c r="E153" s="6">
        <v>46.744947087027299</v>
      </c>
      <c r="F153" s="6">
        <v>20.858172581762901</v>
      </c>
      <c r="G153" s="6">
        <v>20.858172581762901</v>
      </c>
      <c r="H153" s="6">
        <v>-4.5914954910709502</v>
      </c>
      <c r="I153" s="6">
        <v>-4.5914954910709502</v>
      </c>
      <c r="J153" s="6">
        <v>-4.5914954910709502</v>
      </c>
      <c r="K153" s="6">
        <v>0.49015521355922997</v>
      </c>
      <c r="L153" s="6">
        <v>0.49015521355922997</v>
      </c>
      <c r="M153" s="6">
        <v>0.49015521355922997</v>
      </c>
      <c r="N153" s="6">
        <v>-5.0816507046301798</v>
      </c>
      <c r="O153" s="6">
        <v>-5.0816507046301798</v>
      </c>
      <c r="P153" s="6">
        <v>-5.0816507046301798</v>
      </c>
      <c r="Q153" s="6">
        <v>0</v>
      </c>
      <c r="R153" s="6">
        <v>0</v>
      </c>
      <c r="S153" s="6">
        <v>0</v>
      </c>
      <c r="T153" s="6">
        <v>16.266677090691999</v>
      </c>
    </row>
    <row r="154" spans="1:20" ht="13" x14ac:dyDescent="0.15">
      <c r="A154" s="6">
        <v>152</v>
      </c>
      <c r="B154" s="7">
        <v>43378</v>
      </c>
      <c r="C154" s="6">
        <v>20.834377915356502</v>
      </c>
      <c r="D154" s="6">
        <v>-15.680224218560101</v>
      </c>
      <c r="E154" s="6">
        <v>45.5524342396237</v>
      </c>
      <c r="F154" s="6">
        <v>20.834377915356502</v>
      </c>
      <c r="G154" s="6">
        <v>20.834377915356502</v>
      </c>
      <c r="H154" s="6">
        <v>-5.8826866378058504</v>
      </c>
      <c r="I154" s="6">
        <v>-5.8826866378058504</v>
      </c>
      <c r="J154" s="6">
        <v>-5.8826866378058504</v>
      </c>
      <c r="K154" s="6">
        <v>-2.2976765061226399E-2</v>
      </c>
      <c r="L154" s="6">
        <v>-2.2976765061226399E-2</v>
      </c>
      <c r="M154" s="6">
        <v>-2.2976765061226399E-2</v>
      </c>
      <c r="N154" s="6">
        <v>-5.8597098727446202</v>
      </c>
      <c r="O154" s="6">
        <v>-5.8597098727446202</v>
      </c>
      <c r="P154" s="6">
        <v>-5.8597098727446202</v>
      </c>
      <c r="Q154" s="6">
        <v>0</v>
      </c>
      <c r="R154" s="6">
        <v>0</v>
      </c>
      <c r="S154" s="6">
        <v>0</v>
      </c>
      <c r="T154" s="6">
        <v>14.951691277550699</v>
      </c>
    </row>
    <row r="155" spans="1:20" ht="13" x14ac:dyDescent="0.15">
      <c r="A155" s="6">
        <v>153</v>
      </c>
      <c r="B155" s="7">
        <v>43381</v>
      </c>
      <c r="C155" s="6">
        <v>20.762993916137301</v>
      </c>
      <c r="D155" s="6">
        <v>-15.6519385814651</v>
      </c>
      <c r="E155" s="6">
        <v>49.9786953902764</v>
      </c>
      <c r="F155" s="6">
        <v>20.762993916137301</v>
      </c>
      <c r="G155" s="6">
        <v>20.762993916137301</v>
      </c>
      <c r="H155" s="6">
        <v>-5.4368720051822104</v>
      </c>
      <c r="I155" s="6">
        <v>-5.4368720051822104</v>
      </c>
      <c r="J155" s="6">
        <v>-5.4368720051822104</v>
      </c>
      <c r="K155" s="6">
        <v>1.82289060893762</v>
      </c>
      <c r="L155" s="6">
        <v>1.82289060893762</v>
      </c>
      <c r="M155" s="6">
        <v>1.82289060893762</v>
      </c>
      <c r="N155" s="6">
        <v>-7.2597626141198397</v>
      </c>
      <c r="O155" s="6">
        <v>-7.2597626141198397</v>
      </c>
      <c r="P155" s="6">
        <v>-7.2597626141198397</v>
      </c>
      <c r="Q155" s="6">
        <v>0</v>
      </c>
      <c r="R155" s="6">
        <v>0</v>
      </c>
      <c r="S155" s="6">
        <v>0</v>
      </c>
      <c r="T155" s="6">
        <v>15.3261219109551</v>
      </c>
    </row>
    <row r="156" spans="1:20" ht="13" x14ac:dyDescent="0.15">
      <c r="A156" s="6">
        <v>154</v>
      </c>
      <c r="B156" s="7">
        <v>43382</v>
      </c>
      <c r="C156" s="6">
        <v>20.739199249730898</v>
      </c>
      <c r="D156" s="6">
        <v>-17.017433997370301</v>
      </c>
      <c r="E156" s="6">
        <v>46.985707505723703</v>
      </c>
      <c r="F156" s="6">
        <v>20.739199249730898</v>
      </c>
      <c r="G156" s="6">
        <v>20.739199249730898</v>
      </c>
      <c r="H156" s="6">
        <v>-6.5325406181694499</v>
      </c>
      <c r="I156" s="6">
        <v>-6.5325406181694499</v>
      </c>
      <c r="J156" s="6">
        <v>-6.5325406181694499</v>
      </c>
      <c r="K156" s="6">
        <v>0.84522403106483102</v>
      </c>
      <c r="L156" s="6">
        <v>0.84522403106483102</v>
      </c>
      <c r="M156" s="6">
        <v>0.84522403106483102</v>
      </c>
      <c r="N156" s="6">
        <v>-7.3777646492342797</v>
      </c>
      <c r="O156" s="6">
        <v>-7.3777646492342797</v>
      </c>
      <c r="P156" s="6">
        <v>-7.3777646492342797</v>
      </c>
      <c r="Q156" s="6">
        <v>0</v>
      </c>
      <c r="R156" s="6">
        <v>0</v>
      </c>
      <c r="S156" s="6">
        <v>0</v>
      </c>
      <c r="T156" s="6">
        <v>14.2066586315614</v>
      </c>
    </row>
    <row r="157" spans="1:20" ht="13" x14ac:dyDescent="0.15">
      <c r="A157" s="6">
        <v>155</v>
      </c>
      <c r="B157" s="7">
        <v>43383</v>
      </c>
      <c r="C157" s="6">
        <v>20.715404583324499</v>
      </c>
      <c r="D157" s="6">
        <v>-18.990999799266</v>
      </c>
      <c r="E157" s="6">
        <v>46.069796977515402</v>
      </c>
      <c r="F157" s="6">
        <v>20.715404583324499</v>
      </c>
      <c r="G157" s="6">
        <v>20.715404583324499</v>
      </c>
      <c r="H157" s="6">
        <v>-6.3637475044027099</v>
      </c>
      <c r="I157" s="6">
        <v>-6.3637475044027099</v>
      </c>
      <c r="J157" s="6">
        <v>-6.3637475044027099</v>
      </c>
      <c r="K157" s="6">
        <v>0.94874688043919497</v>
      </c>
      <c r="L157" s="6">
        <v>0.94874688043919497</v>
      </c>
      <c r="M157" s="6">
        <v>0.94874688043919497</v>
      </c>
      <c r="N157" s="6">
        <v>-7.3124943848419104</v>
      </c>
      <c r="O157" s="6">
        <v>-7.3124943848419104</v>
      </c>
      <c r="P157" s="6">
        <v>-7.3124943848419104</v>
      </c>
      <c r="Q157" s="6">
        <v>0</v>
      </c>
      <c r="R157" s="6">
        <v>0</v>
      </c>
      <c r="S157" s="6">
        <v>0</v>
      </c>
      <c r="T157" s="6">
        <v>14.3516570789218</v>
      </c>
    </row>
    <row r="158" spans="1:20" ht="13" x14ac:dyDescent="0.15">
      <c r="A158" s="6">
        <v>156</v>
      </c>
      <c r="B158" s="7">
        <v>43384</v>
      </c>
      <c r="C158" s="6">
        <v>20.6916099169181</v>
      </c>
      <c r="D158" s="6">
        <v>-17.9112567219901</v>
      </c>
      <c r="E158" s="6">
        <v>44.092805742713601</v>
      </c>
      <c r="F158" s="6">
        <v>20.6916099169181</v>
      </c>
      <c r="G158" s="6">
        <v>20.6916099169181</v>
      </c>
      <c r="H158" s="6">
        <v>-6.5746092331048702</v>
      </c>
      <c r="I158" s="6">
        <v>-6.5746092331048702</v>
      </c>
      <c r="J158" s="6">
        <v>-6.5746092331048702</v>
      </c>
      <c r="K158" s="6">
        <v>0.49015521355639202</v>
      </c>
      <c r="L158" s="6">
        <v>0.49015521355639202</v>
      </c>
      <c r="M158" s="6">
        <v>0.49015521355639202</v>
      </c>
      <c r="N158" s="6">
        <v>-7.06476444666127</v>
      </c>
      <c r="O158" s="6">
        <v>-7.06476444666127</v>
      </c>
      <c r="P158" s="6">
        <v>-7.06476444666127</v>
      </c>
      <c r="Q158" s="6">
        <v>0</v>
      </c>
      <c r="R158" s="6">
        <v>0</v>
      </c>
      <c r="S158" s="6">
        <v>0</v>
      </c>
      <c r="T158" s="6">
        <v>14.117000683813201</v>
      </c>
    </row>
    <row r="159" spans="1:20" ht="13" x14ac:dyDescent="0.15">
      <c r="A159" s="6">
        <v>157</v>
      </c>
      <c r="B159" s="7">
        <v>43385</v>
      </c>
      <c r="C159" s="6">
        <v>20.667815250511701</v>
      </c>
      <c r="D159" s="6">
        <v>-17.4062114928916</v>
      </c>
      <c r="E159" s="6">
        <v>46.719945320556</v>
      </c>
      <c r="F159" s="6">
        <v>20.667815250511701</v>
      </c>
      <c r="G159" s="6">
        <v>20.667815250511701</v>
      </c>
      <c r="H159" s="6">
        <v>-6.6625033026693901</v>
      </c>
      <c r="I159" s="6">
        <v>-6.6625033026693901</v>
      </c>
      <c r="J159" s="6">
        <v>-6.6625033026693901</v>
      </c>
      <c r="K159" s="6">
        <v>-2.29767650638384E-2</v>
      </c>
      <c r="L159" s="6">
        <v>-2.29767650638384E-2</v>
      </c>
      <c r="M159" s="6">
        <v>-2.29767650638384E-2</v>
      </c>
      <c r="N159" s="6">
        <v>-6.6395265376055503</v>
      </c>
      <c r="O159" s="6">
        <v>-6.6395265376055503</v>
      </c>
      <c r="P159" s="6">
        <v>-6.6395265376055503</v>
      </c>
      <c r="Q159" s="6">
        <v>0</v>
      </c>
      <c r="R159" s="6">
        <v>0</v>
      </c>
      <c r="S159" s="6">
        <v>0</v>
      </c>
      <c r="T159" s="6">
        <v>14.0053119478423</v>
      </c>
    </row>
    <row r="160" spans="1:20" ht="13" x14ac:dyDescent="0.15">
      <c r="A160" s="6">
        <v>158</v>
      </c>
      <c r="B160" s="7">
        <v>43388</v>
      </c>
      <c r="C160" s="6">
        <v>20.596431251292401</v>
      </c>
      <c r="D160" s="6">
        <v>-15.400650657929001</v>
      </c>
      <c r="E160" s="6">
        <v>50.652288028442001</v>
      </c>
      <c r="F160" s="6">
        <v>20.596431251292401</v>
      </c>
      <c r="G160" s="6">
        <v>20.596431251292401</v>
      </c>
      <c r="H160" s="6">
        <v>-2.5840627732529602</v>
      </c>
      <c r="I160" s="6">
        <v>-2.5840627732529602</v>
      </c>
      <c r="J160" s="6">
        <v>-2.5840627732529602</v>
      </c>
      <c r="K160" s="6">
        <v>1.82289060893538</v>
      </c>
      <c r="L160" s="6">
        <v>1.82289060893538</v>
      </c>
      <c r="M160" s="6">
        <v>1.82289060893538</v>
      </c>
      <c r="N160" s="6">
        <v>-4.4069533821883402</v>
      </c>
      <c r="O160" s="6">
        <v>-4.4069533821883402</v>
      </c>
      <c r="P160" s="6">
        <v>-4.4069533821883402</v>
      </c>
      <c r="Q160" s="6">
        <v>0</v>
      </c>
      <c r="R160" s="6">
        <v>0</v>
      </c>
      <c r="S160" s="6">
        <v>0</v>
      </c>
      <c r="T160" s="6">
        <v>18.012368478039502</v>
      </c>
    </row>
    <row r="161" spans="1:20" ht="13" x14ac:dyDescent="0.15">
      <c r="A161" s="6">
        <v>159</v>
      </c>
      <c r="B161" s="7">
        <v>43389</v>
      </c>
      <c r="C161" s="6">
        <v>20.572636584885998</v>
      </c>
      <c r="D161" s="6">
        <v>-14.614921942583001</v>
      </c>
      <c r="E161" s="6">
        <v>50.339422243083398</v>
      </c>
      <c r="F161" s="6">
        <v>20.572636584885998</v>
      </c>
      <c r="G161" s="6">
        <v>20.572636584885998</v>
      </c>
      <c r="H161" s="6">
        <v>-2.5521149441446598</v>
      </c>
      <c r="I161" s="6">
        <v>-2.5521149441446598</v>
      </c>
      <c r="J161" s="6">
        <v>-2.5521149441446598</v>
      </c>
      <c r="K161" s="6">
        <v>0.84522403106565902</v>
      </c>
      <c r="L161" s="6">
        <v>0.84522403106565902</v>
      </c>
      <c r="M161" s="6">
        <v>0.84522403106565902</v>
      </c>
      <c r="N161" s="6">
        <v>-3.39733897521032</v>
      </c>
      <c r="O161" s="6">
        <v>-3.39733897521032</v>
      </c>
      <c r="P161" s="6">
        <v>-3.39733897521032</v>
      </c>
      <c r="Q161" s="6">
        <v>0</v>
      </c>
      <c r="R161" s="6">
        <v>0</v>
      </c>
      <c r="S161" s="6">
        <v>0</v>
      </c>
      <c r="T161" s="6">
        <v>18.0205216407414</v>
      </c>
    </row>
    <row r="162" spans="1:20" ht="13" x14ac:dyDescent="0.15">
      <c r="A162" s="6">
        <v>160</v>
      </c>
      <c r="B162" s="7">
        <v>43390</v>
      </c>
      <c r="C162" s="6">
        <v>20.548841918479599</v>
      </c>
      <c r="D162" s="6">
        <v>-14.225104706507301</v>
      </c>
      <c r="E162" s="6">
        <v>53.226267612486303</v>
      </c>
      <c r="F162" s="6">
        <v>20.548841918479599</v>
      </c>
      <c r="G162" s="6">
        <v>20.548841918479599</v>
      </c>
      <c r="H162" s="6">
        <v>-1.34029297455789</v>
      </c>
      <c r="I162" s="6">
        <v>-1.34029297455789</v>
      </c>
      <c r="J162" s="6">
        <v>-1.34029297455789</v>
      </c>
      <c r="K162" s="6">
        <v>0.94874688043629196</v>
      </c>
      <c r="L162" s="6">
        <v>0.94874688043629196</v>
      </c>
      <c r="M162" s="6">
        <v>0.94874688043629196</v>
      </c>
      <c r="N162" s="6">
        <v>-2.2890398549941802</v>
      </c>
      <c r="O162" s="6">
        <v>-2.2890398549941802</v>
      </c>
      <c r="P162" s="6">
        <v>-2.2890398549941802</v>
      </c>
      <c r="Q162" s="6">
        <v>0</v>
      </c>
      <c r="R162" s="6">
        <v>0</v>
      </c>
      <c r="S162" s="6">
        <v>0</v>
      </c>
      <c r="T162" s="6">
        <v>19.208548943921699</v>
      </c>
    </row>
    <row r="163" spans="1:20" ht="13" x14ac:dyDescent="0.15">
      <c r="A163" s="6">
        <v>161</v>
      </c>
      <c r="B163" s="7">
        <v>43391</v>
      </c>
      <c r="C163" s="6">
        <v>20.5250472520732</v>
      </c>
      <c r="D163" s="6">
        <v>-11.997238420787101</v>
      </c>
      <c r="E163" s="6">
        <v>51.5692350841246</v>
      </c>
      <c r="F163" s="6">
        <v>20.5250472520732</v>
      </c>
      <c r="G163" s="6">
        <v>20.5250472520732</v>
      </c>
      <c r="H163" s="6">
        <v>-0.61557682117211199</v>
      </c>
      <c r="I163" s="6">
        <v>-0.61557682117211199</v>
      </c>
      <c r="J163" s="6">
        <v>-0.61557682117211199</v>
      </c>
      <c r="K163" s="6">
        <v>0.49015521355757102</v>
      </c>
      <c r="L163" s="6">
        <v>0.49015521355757102</v>
      </c>
      <c r="M163" s="6">
        <v>0.49015521355757102</v>
      </c>
      <c r="N163" s="6">
        <v>-1.10573203472968</v>
      </c>
      <c r="O163" s="6">
        <v>-1.10573203472968</v>
      </c>
      <c r="P163" s="6">
        <v>-1.10573203472968</v>
      </c>
      <c r="Q163" s="6">
        <v>0</v>
      </c>
      <c r="R163" s="6">
        <v>0</v>
      </c>
      <c r="S163" s="6">
        <v>0</v>
      </c>
      <c r="T163" s="6">
        <v>19.909470430901099</v>
      </c>
    </row>
    <row r="164" spans="1:20" ht="13" x14ac:dyDescent="0.15">
      <c r="A164" s="6">
        <v>162</v>
      </c>
      <c r="B164" s="7">
        <v>43392</v>
      </c>
      <c r="C164" s="6">
        <v>20.501252613679601</v>
      </c>
      <c r="D164" s="6">
        <v>-12.765448869026301</v>
      </c>
      <c r="E164" s="6">
        <v>51.952374180428897</v>
      </c>
      <c r="F164" s="6">
        <v>20.501252613679601</v>
      </c>
      <c r="G164" s="6">
        <v>20.501252613679601</v>
      </c>
      <c r="H164" s="6">
        <v>0.104599107254777</v>
      </c>
      <c r="I164" s="6">
        <v>0.104599107254777</v>
      </c>
      <c r="J164" s="6">
        <v>0.104599107254777</v>
      </c>
      <c r="K164" s="6">
        <v>-2.2976765066450699E-2</v>
      </c>
      <c r="L164" s="6">
        <v>-2.2976765066450699E-2</v>
      </c>
      <c r="M164" s="6">
        <v>-2.2976765066450699E-2</v>
      </c>
      <c r="N164" s="6">
        <v>0.127575872321228</v>
      </c>
      <c r="O164" s="6">
        <v>0.127575872321228</v>
      </c>
      <c r="P164" s="6">
        <v>0.127575872321228</v>
      </c>
      <c r="Q164" s="6">
        <v>0</v>
      </c>
      <c r="R164" s="6">
        <v>0</v>
      </c>
      <c r="S164" s="6">
        <v>0</v>
      </c>
      <c r="T164" s="6">
        <v>20.6058517209343</v>
      </c>
    </row>
    <row r="165" spans="1:20" ht="13" x14ac:dyDescent="0.15">
      <c r="A165" s="6">
        <v>163</v>
      </c>
      <c r="B165" s="7">
        <v>43395</v>
      </c>
      <c r="C165" s="6">
        <v>20.429868698498598</v>
      </c>
      <c r="D165" s="6">
        <v>-4.6911327889391297</v>
      </c>
      <c r="E165" s="6">
        <v>60.400347397420198</v>
      </c>
      <c r="F165" s="6">
        <v>20.429868698498598</v>
      </c>
      <c r="G165" s="6">
        <v>20.429868698498598</v>
      </c>
      <c r="H165" s="6">
        <v>5.6940584398462297</v>
      </c>
      <c r="I165" s="6">
        <v>5.6940584398462297</v>
      </c>
      <c r="J165" s="6">
        <v>5.6940584398462297</v>
      </c>
      <c r="K165" s="6">
        <v>1.8228906089358801</v>
      </c>
      <c r="L165" s="6">
        <v>1.8228906089358801</v>
      </c>
      <c r="M165" s="6">
        <v>1.8228906089358801</v>
      </c>
      <c r="N165" s="6">
        <v>3.8711678309103501</v>
      </c>
      <c r="O165" s="6">
        <v>3.8711678309103501</v>
      </c>
      <c r="P165" s="6">
        <v>3.8711678309103501</v>
      </c>
      <c r="Q165" s="6">
        <v>0</v>
      </c>
      <c r="R165" s="6">
        <v>0</v>
      </c>
      <c r="S165" s="6">
        <v>0</v>
      </c>
      <c r="T165" s="6">
        <v>26.123927138344801</v>
      </c>
    </row>
    <row r="166" spans="1:20" ht="13" x14ac:dyDescent="0.15">
      <c r="A166" s="6">
        <v>164</v>
      </c>
      <c r="B166" s="7">
        <v>43396</v>
      </c>
      <c r="C166" s="6">
        <v>20.406074060104899</v>
      </c>
      <c r="D166" s="6">
        <v>-7.25858310444805</v>
      </c>
      <c r="E166" s="6">
        <v>56.767386839530701</v>
      </c>
      <c r="F166" s="6">
        <v>20.406074060104899</v>
      </c>
      <c r="G166" s="6">
        <v>20.406074060104899</v>
      </c>
      <c r="H166" s="6">
        <v>5.89590607699387</v>
      </c>
      <c r="I166" s="6">
        <v>5.89590607699387</v>
      </c>
      <c r="J166" s="6">
        <v>5.89590607699387</v>
      </c>
      <c r="K166" s="6">
        <v>0.84522403106501398</v>
      </c>
      <c r="L166" s="6">
        <v>0.84522403106501398</v>
      </c>
      <c r="M166" s="6">
        <v>0.84522403106501398</v>
      </c>
      <c r="N166" s="6">
        <v>5.0506820459288599</v>
      </c>
      <c r="O166" s="6">
        <v>5.0506820459288599</v>
      </c>
      <c r="P166" s="6">
        <v>5.0506820459288599</v>
      </c>
      <c r="Q166" s="6">
        <v>0</v>
      </c>
      <c r="R166" s="6">
        <v>0</v>
      </c>
      <c r="S166" s="6">
        <v>0</v>
      </c>
      <c r="T166" s="6">
        <v>26.301980137098798</v>
      </c>
    </row>
    <row r="167" spans="1:20" ht="13" x14ac:dyDescent="0.15">
      <c r="A167" s="6">
        <v>165</v>
      </c>
      <c r="B167" s="7">
        <v>43397</v>
      </c>
      <c r="C167" s="6">
        <v>20.3822794217112</v>
      </c>
      <c r="D167" s="6">
        <v>-3.1784480612664998</v>
      </c>
      <c r="E167" s="6">
        <v>58.064860475314497</v>
      </c>
      <c r="F167" s="6">
        <v>20.3822794217112</v>
      </c>
      <c r="G167" s="6">
        <v>20.3822794217112</v>
      </c>
      <c r="H167" s="6">
        <v>7.1068050498070896</v>
      </c>
      <c r="I167" s="6">
        <v>7.1068050498070896</v>
      </c>
      <c r="J167" s="6">
        <v>7.1068050498070896</v>
      </c>
      <c r="K167" s="6">
        <v>0.94874688043814104</v>
      </c>
      <c r="L167" s="6">
        <v>0.94874688043814104</v>
      </c>
      <c r="M167" s="6">
        <v>0.94874688043814104</v>
      </c>
      <c r="N167" s="6">
        <v>6.1580581693689496</v>
      </c>
      <c r="O167" s="6">
        <v>6.1580581693689496</v>
      </c>
      <c r="P167" s="6">
        <v>6.1580581693689496</v>
      </c>
      <c r="Q167" s="6">
        <v>0</v>
      </c>
      <c r="R167" s="6">
        <v>0</v>
      </c>
      <c r="S167" s="6">
        <v>0</v>
      </c>
      <c r="T167" s="6">
        <v>27.4890844715183</v>
      </c>
    </row>
    <row r="168" spans="1:20" ht="13" x14ac:dyDescent="0.15">
      <c r="A168" s="6">
        <v>166</v>
      </c>
      <c r="B168" s="7">
        <v>43398</v>
      </c>
      <c r="C168" s="6">
        <v>20.3584847833176</v>
      </c>
      <c r="D168" s="6">
        <v>-5.3928287771204904</v>
      </c>
      <c r="E168" s="6">
        <v>59.707595102023703</v>
      </c>
      <c r="F168" s="6">
        <v>20.3584847833176</v>
      </c>
      <c r="G168" s="6">
        <v>20.3584847833176</v>
      </c>
      <c r="H168" s="6">
        <v>7.6639829365955103</v>
      </c>
      <c r="I168" s="6">
        <v>7.6639829365955103</v>
      </c>
      <c r="J168" s="6">
        <v>7.6639829365955103</v>
      </c>
      <c r="K168" s="6">
        <v>0.49015521355473302</v>
      </c>
      <c r="L168" s="6">
        <v>0.49015521355473302</v>
      </c>
      <c r="M168" s="6">
        <v>0.49015521355473302</v>
      </c>
      <c r="N168" s="6">
        <v>7.1738277230407803</v>
      </c>
      <c r="O168" s="6">
        <v>7.1738277230407803</v>
      </c>
      <c r="P168" s="6">
        <v>7.1738277230407803</v>
      </c>
      <c r="Q168" s="6">
        <v>0</v>
      </c>
      <c r="R168" s="6">
        <v>0</v>
      </c>
      <c r="S168" s="6">
        <v>0</v>
      </c>
      <c r="T168" s="6">
        <v>28.022467719913099</v>
      </c>
    </row>
    <row r="169" spans="1:20" ht="13" x14ac:dyDescent="0.15">
      <c r="A169" s="6">
        <v>167</v>
      </c>
      <c r="B169" s="7">
        <v>43399</v>
      </c>
      <c r="C169" s="6">
        <v>20.334690144923901</v>
      </c>
      <c r="D169" s="6">
        <v>-3.4352606454708901</v>
      </c>
      <c r="E169" s="6">
        <v>60.613152310462901</v>
      </c>
      <c r="F169" s="6">
        <v>20.334690144923901</v>
      </c>
      <c r="G169" s="6">
        <v>20.334690144923901</v>
      </c>
      <c r="H169" s="6">
        <v>8.0584458348654895</v>
      </c>
      <c r="I169" s="6">
        <v>8.0584458348654895</v>
      </c>
      <c r="J169" s="6">
        <v>8.0584458348654895</v>
      </c>
      <c r="K169" s="6">
        <v>-2.2976765064727001E-2</v>
      </c>
      <c r="L169" s="6">
        <v>-2.2976765064727001E-2</v>
      </c>
      <c r="M169" s="6">
        <v>-2.2976765064727001E-2</v>
      </c>
      <c r="N169" s="6">
        <v>8.0814225999302192</v>
      </c>
      <c r="O169" s="6">
        <v>8.0814225999302192</v>
      </c>
      <c r="P169" s="6">
        <v>8.0814225999302192</v>
      </c>
      <c r="Q169" s="6">
        <v>0</v>
      </c>
      <c r="R169" s="6">
        <v>0</v>
      </c>
      <c r="S169" s="6">
        <v>0</v>
      </c>
      <c r="T169" s="6">
        <v>28.393135979789399</v>
      </c>
    </row>
    <row r="170" spans="1:20" ht="13" x14ac:dyDescent="0.15">
      <c r="A170" s="6">
        <v>168</v>
      </c>
      <c r="B170" s="7">
        <v>43402</v>
      </c>
      <c r="C170" s="6">
        <v>20.263306229742899</v>
      </c>
      <c r="D170" s="6">
        <v>1.1438423809323801</v>
      </c>
      <c r="E170" s="6">
        <v>66.615435601179399</v>
      </c>
      <c r="F170" s="6">
        <v>20.263306229742899</v>
      </c>
      <c r="G170" s="6">
        <v>20.263306229742899</v>
      </c>
      <c r="H170" s="6">
        <v>11.8633715863108</v>
      </c>
      <c r="I170" s="6">
        <v>11.8633715863108</v>
      </c>
      <c r="J170" s="6">
        <v>11.8633715863108</v>
      </c>
      <c r="K170" s="6">
        <v>1.82289060893759</v>
      </c>
      <c r="L170" s="6">
        <v>1.82289060893759</v>
      </c>
      <c r="M170" s="6">
        <v>1.82289060893759</v>
      </c>
      <c r="N170" s="6">
        <v>10.0404809773732</v>
      </c>
      <c r="O170" s="6">
        <v>10.0404809773732</v>
      </c>
      <c r="P170" s="6">
        <v>10.0404809773732</v>
      </c>
      <c r="Q170" s="6">
        <v>0</v>
      </c>
      <c r="R170" s="6">
        <v>0</v>
      </c>
      <c r="S170" s="6">
        <v>0</v>
      </c>
      <c r="T170" s="6">
        <v>32.1266778160538</v>
      </c>
    </row>
    <row r="171" spans="1:20" ht="13" x14ac:dyDescent="0.15">
      <c r="A171" s="6">
        <v>169</v>
      </c>
      <c r="B171" s="7">
        <v>43403</v>
      </c>
      <c r="C171" s="6">
        <v>20.239511591349299</v>
      </c>
      <c r="D171" s="6">
        <v>-1.44091361949569</v>
      </c>
      <c r="E171" s="6">
        <v>63.170492644899099</v>
      </c>
      <c r="F171" s="6">
        <v>20.239511591349299</v>
      </c>
      <c r="G171" s="6">
        <v>20.239511591349299</v>
      </c>
      <c r="H171" s="6">
        <v>11.264502619733699</v>
      </c>
      <c r="I171" s="6">
        <v>11.264502619733699</v>
      </c>
      <c r="J171" s="6">
        <v>11.264502619733699</v>
      </c>
      <c r="K171" s="6">
        <v>0.84522403106436905</v>
      </c>
      <c r="L171" s="6">
        <v>0.84522403106436905</v>
      </c>
      <c r="M171" s="6">
        <v>0.84522403106436905</v>
      </c>
      <c r="N171" s="6">
        <v>10.4192785886694</v>
      </c>
      <c r="O171" s="6">
        <v>10.4192785886694</v>
      </c>
      <c r="P171" s="6">
        <v>10.4192785886694</v>
      </c>
      <c r="Q171" s="6">
        <v>0</v>
      </c>
      <c r="R171" s="6">
        <v>0</v>
      </c>
      <c r="S171" s="6">
        <v>0</v>
      </c>
      <c r="T171" s="6">
        <v>31.504014211083099</v>
      </c>
    </row>
    <row r="172" spans="1:20" ht="13" x14ac:dyDescent="0.15">
      <c r="A172" s="6">
        <v>170</v>
      </c>
      <c r="B172" s="7">
        <v>43404</v>
      </c>
      <c r="C172" s="6">
        <v>20.215716952955599</v>
      </c>
      <c r="D172" s="6">
        <v>-1.0631020314336099</v>
      </c>
      <c r="E172" s="6">
        <v>64.1117438397971</v>
      </c>
      <c r="F172" s="6">
        <v>20.215716952955599</v>
      </c>
      <c r="G172" s="6">
        <v>20.215716952955599</v>
      </c>
      <c r="H172" s="6">
        <v>11.609474124818</v>
      </c>
      <c r="I172" s="6">
        <v>11.609474124818</v>
      </c>
      <c r="J172" s="6">
        <v>11.609474124818</v>
      </c>
      <c r="K172" s="6">
        <v>0.94874688043523803</v>
      </c>
      <c r="L172" s="6">
        <v>0.94874688043523803</v>
      </c>
      <c r="M172" s="6">
        <v>0.94874688043523803</v>
      </c>
      <c r="N172" s="6">
        <v>10.6607272443828</v>
      </c>
      <c r="O172" s="6">
        <v>10.6607272443828</v>
      </c>
      <c r="P172" s="6">
        <v>10.6607272443828</v>
      </c>
      <c r="Q172" s="6">
        <v>0</v>
      </c>
      <c r="R172" s="6">
        <v>0</v>
      </c>
      <c r="S172" s="6">
        <v>0</v>
      </c>
      <c r="T172" s="6">
        <v>31.825191077773699</v>
      </c>
    </row>
    <row r="173" spans="1:20" ht="13" x14ac:dyDescent="0.15">
      <c r="A173" s="6">
        <v>171</v>
      </c>
      <c r="B173" s="7">
        <v>43405</v>
      </c>
      <c r="C173" s="6">
        <v>20.1919223145619</v>
      </c>
      <c r="D173" s="6">
        <v>-2.4829500755243101</v>
      </c>
      <c r="E173" s="6">
        <v>64.806926898975902</v>
      </c>
      <c r="F173" s="6">
        <v>20.1919223145619</v>
      </c>
      <c r="G173" s="6">
        <v>20.1919223145619</v>
      </c>
      <c r="H173" s="6">
        <v>11.260464611229899</v>
      </c>
      <c r="I173" s="6">
        <v>11.260464611229899</v>
      </c>
      <c r="J173" s="6">
        <v>11.260464611229899</v>
      </c>
      <c r="K173" s="6">
        <v>0.4901552135592</v>
      </c>
      <c r="L173" s="6">
        <v>0.4901552135592</v>
      </c>
      <c r="M173" s="6">
        <v>0.4901552135592</v>
      </c>
      <c r="N173" s="6">
        <v>10.770309397670699</v>
      </c>
      <c r="O173" s="6">
        <v>10.770309397670699</v>
      </c>
      <c r="P173" s="6">
        <v>10.770309397670699</v>
      </c>
      <c r="Q173" s="6">
        <v>0</v>
      </c>
      <c r="R173" s="6">
        <v>0</v>
      </c>
      <c r="S173" s="6">
        <v>0</v>
      </c>
      <c r="T173" s="6">
        <v>31.452386925791899</v>
      </c>
    </row>
    <row r="174" spans="1:20" ht="13" x14ac:dyDescent="0.15">
      <c r="A174" s="6">
        <v>172</v>
      </c>
      <c r="B174" s="7">
        <v>43406</v>
      </c>
      <c r="C174" s="6">
        <v>20.1681276761683</v>
      </c>
      <c r="D174" s="6">
        <v>-2.0617860982889402</v>
      </c>
      <c r="E174" s="6">
        <v>62.315715341857498</v>
      </c>
      <c r="F174" s="6">
        <v>20.1681276761683</v>
      </c>
      <c r="G174" s="6">
        <v>20.1681276761683</v>
      </c>
      <c r="H174" s="6">
        <v>10.733999784089599</v>
      </c>
      <c r="I174" s="6">
        <v>10.733999784089599</v>
      </c>
      <c r="J174" s="6">
        <v>10.733999784089599</v>
      </c>
      <c r="K174" s="6">
        <v>-2.2976765062780801E-2</v>
      </c>
      <c r="L174" s="6">
        <v>-2.2976765062780801E-2</v>
      </c>
      <c r="M174" s="6">
        <v>-2.2976765062780801E-2</v>
      </c>
      <c r="N174" s="6">
        <v>10.7569765491524</v>
      </c>
      <c r="O174" s="6">
        <v>10.7569765491524</v>
      </c>
      <c r="P174" s="6">
        <v>10.7569765491524</v>
      </c>
      <c r="Q174" s="6">
        <v>0</v>
      </c>
      <c r="R174" s="6">
        <v>0</v>
      </c>
      <c r="S174" s="6">
        <v>0</v>
      </c>
      <c r="T174" s="6">
        <v>30.902127460257901</v>
      </c>
    </row>
    <row r="175" spans="1:20" ht="13" x14ac:dyDescent="0.15">
      <c r="A175" s="6">
        <v>173</v>
      </c>
      <c r="B175" s="7">
        <v>43409</v>
      </c>
      <c r="C175" s="6">
        <v>20.096743760987302</v>
      </c>
      <c r="D175" s="6">
        <v>0.19068035741300801</v>
      </c>
      <c r="E175" s="6">
        <v>64.589986761228104</v>
      </c>
      <c r="F175" s="6">
        <v>20.096743760987302</v>
      </c>
      <c r="G175" s="6">
        <v>20.096743760987302</v>
      </c>
      <c r="H175" s="6">
        <v>11.936369813014799</v>
      </c>
      <c r="I175" s="6">
        <v>11.936369813014799</v>
      </c>
      <c r="J175" s="6">
        <v>11.936369813014799</v>
      </c>
      <c r="K175" s="6">
        <v>1.8228906089380901</v>
      </c>
      <c r="L175" s="6">
        <v>1.8228906089380901</v>
      </c>
      <c r="M175" s="6">
        <v>1.8228906089380901</v>
      </c>
      <c r="N175" s="6">
        <v>10.1134792040767</v>
      </c>
      <c r="O175" s="6">
        <v>10.1134792040767</v>
      </c>
      <c r="P175" s="6">
        <v>10.1134792040767</v>
      </c>
      <c r="Q175" s="6">
        <v>0</v>
      </c>
      <c r="R175" s="6">
        <v>0</v>
      </c>
      <c r="S175" s="6">
        <v>0</v>
      </c>
      <c r="T175" s="6">
        <v>32.033113574002101</v>
      </c>
    </row>
    <row r="176" spans="1:20" ht="13" x14ac:dyDescent="0.15">
      <c r="A176" s="6">
        <v>174</v>
      </c>
      <c r="B176" s="7">
        <v>43410</v>
      </c>
      <c r="C176" s="6">
        <v>20.072949122593599</v>
      </c>
      <c r="D176" s="6">
        <v>-1.22262631107747</v>
      </c>
      <c r="E176" s="6">
        <v>61.057407367215298</v>
      </c>
      <c r="F176" s="6">
        <v>20.072949122593599</v>
      </c>
      <c r="G176" s="6">
        <v>20.072949122593599</v>
      </c>
      <c r="H176" s="6">
        <v>10.599270235305401</v>
      </c>
      <c r="I176" s="6">
        <v>10.599270235305401</v>
      </c>
      <c r="J176" s="6">
        <v>10.599270235305401</v>
      </c>
      <c r="K176" s="6">
        <v>0.84522403106600896</v>
      </c>
      <c r="L176" s="6">
        <v>0.84522403106600896</v>
      </c>
      <c r="M176" s="6">
        <v>0.84522403106600896</v>
      </c>
      <c r="N176" s="6">
        <v>9.7540462042394704</v>
      </c>
      <c r="O176" s="6">
        <v>9.7540462042394704</v>
      </c>
      <c r="P176" s="6">
        <v>9.7540462042394704</v>
      </c>
      <c r="Q176" s="6">
        <v>0</v>
      </c>
      <c r="R176" s="6">
        <v>0</v>
      </c>
      <c r="S176" s="6">
        <v>0</v>
      </c>
      <c r="T176" s="6">
        <v>30.672219357899099</v>
      </c>
    </row>
    <row r="177" spans="1:20" ht="13" x14ac:dyDescent="0.15">
      <c r="A177" s="6">
        <v>175</v>
      </c>
      <c r="B177" s="7">
        <v>43411</v>
      </c>
      <c r="C177" s="6">
        <v>20.049154484199999</v>
      </c>
      <c r="D177" s="6">
        <v>-3.2836503446097298</v>
      </c>
      <c r="E177" s="6">
        <v>64.7982006967584</v>
      </c>
      <c r="F177" s="6">
        <v>20.049154484199999</v>
      </c>
      <c r="G177" s="6">
        <v>20.049154484199999</v>
      </c>
      <c r="H177" s="6">
        <v>10.302880454864001</v>
      </c>
      <c r="I177" s="6">
        <v>10.302880454864001</v>
      </c>
      <c r="J177" s="6">
        <v>10.302880454864001</v>
      </c>
      <c r="K177" s="6">
        <v>0.94874688043708699</v>
      </c>
      <c r="L177" s="6">
        <v>0.94874688043708699</v>
      </c>
      <c r="M177" s="6">
        <v>0.94874688043708699</v>
      </c>
      <c r="N177" s="6">
        <v>9.3541335744269603</v>
      </c>
      <c r="O177" s="6">
        <v>9.3541335744269603</v>
      </c>
      <c r="P177" s="6">
        <v>9.3541335744269603</v>
      </c>
      <c r="Q177" s="6">
        <v>0</v>
      </c>
      <c r="R177" s="6">
        <v>0</v>
      </c>
      <c r="S177" s="6">
        <v>0</v>
      </c>
      <c r="T177" s="6">
        <v>30.352034939064001</v>
      </c>
    </row>
    <row r="178" spans="1:20" ht="13" x14ac:dyDescent="0.15">
      <c r="A178" s="6">
        <v>176</v>
      </c>
      <c r="B178" s="7">
        <v>43412</v>
      </c>
      <c r="C178" s="6">
        <v>20.0253598458063</v>
      </c>
      <c r="D178" s="6">
        <v>-2.2752058180852401</v>
      </c>
      <c r="E178" s="6">
        <v>62.020855235221198</v>
      </c>
      <c r="F178" s="6">
        <v>20.0253598458063</v>
      </c>
      <c r="G178" s="6">
        <v>20.0253598458063</v>
      </c>
      <c r="H178" s="6">
        <v>9.4241506478872701</v>
      </c>
      <c r="I178" s="6">
        <v>9.4241506478872701</v>
      </c>
      <c r="J178" s="6">
        <v>9.4241506478872701</v>
      </c>
      <c r="K178" s="6">
        <v>0.49015521355636299</v>
      </c>
      <c r="L178" s="6">
        <v>0.49015521355636299</v>
      </c>
      <c r="M178" s="6">
        <v>0.49015521355636299</v>
      </c>
      <c r="N178" s="6">
        <v>8.9339954343309103</v>
      </c>
      <c r="O178" s="6">
        <v>8.9339954343309103</v>
      </c>
      <c r="P178" s="6">
        <v>8.9339954343309103</v>
      </c>
      <c r="Q178" s="6">
        <v>0</v>
      </c>
      <c r="R178" s="6">
        <v>0</v>
      </c>
      <c r="S178" s="6">
        <v>0</v>
      </c>
      <c r="T178" s="6">
        <v>29.449510493693602</v>
      </c>
    </row>
    <row r="179" spans="1:20" ht="13" x14ac:dyDescent="0.15">
      <c r="A179" s="6">
        <v>177</v>
      </c>
      <c r="B179" s="7">
        <v>43413</v>
      </c>
      <c r="C179" s="6">
        <v>20.0015652074126</v>
      </c>
      <c r="D179" s="6">
        <v>-4.7044265904235996</v>
      </c>
      <c r="E179" s="6">
        <v>62.649907912941799</v>
      </c>
      <c r="F179" s="6">
        <v>20.0015652074126</v>
      </c>
      <c r="G179" s="6">
        <v>20.0015652074126</v>
      </c>
      <c r="H179" s="6">
        <v>8.4907429956013196</v>
      </c>
      <c r="I179" s="6">
        <v>8.4907429956013196</v>
      </c>
      <c r="J179" s="6">
        <v>8.4907429956013196</v>
      </c>
      <c r="K179" s="6">
        <v>-2.2976765065392899E-2</v>
      </c>
      <c r="L179" s="6">
        <v>-2.2976765065392899E-2</v>
      </c>
      <c r="M179" s="6">
        <v>-2.2976765065392899E-2</v>
      </c>
      <c r="N179" s="6">
        <v>8.5137197606667101</v>
      </c>
      <c r="O179" s="6">
        <v>8.5137197606667101</v>
      </c>
      <c r="P179" s="6">
        <v>8.5137197606667101</v>
      </c>
      <c r="Q179" s="6">
        <v>0</v>
      </c>
      <c r="R179" s="6">
        <v>0</v>
      </c>
      <c r="S179" s="6">
        <v>0</v>
      </c>
      <c r="T179" s="6">
        <v>28.492308203013899</v>
      </c>
    </row>
    <row r="180" spans="1:20" ht="13" x14ac:dyDescent="0.15">
      <c r="A180" s="6">
        <v>178</v>
      </c>
      <c r="B180" s="7">
        <v>43416</v>
      </c>
      <c r="C180" s="6">
        <v>19.930181292231602</v>
      </c>
      <c r="D180" s="6">
        <v>-3.7446814762537799</v>
      </c>
      <c r="E180" s="6">
        <v>62.305624407754003</v>
      </c>
      <c r="F180" s="6">
        <v>19.930181292231602</v>
      </c>
      <c r="G180" s="6">
        <v>19.930181292231602</v>
      </c>
      <c r="H180" s="6">
        <v>9.2606078488764094</v>
      </c>
      <c r="I180" s="6">
        <v>9.2606078488764094</v>
      </c>
      <c r="J180" s="6">
        <v>9.2606078488764094</v>
      </c>
      <c r="K180" s="6">
        <v>1.82289060893706</v>
      </c>
      <c r="L180" s="6">
        <v>1.82289060893706</v>
      </c>
      <c r="M180" s="6">
        <v>1.82289060893706</v>
      </c>
      <c r="N180" s="6">
        <v>7.4377172399393396</v>
      </c>
      <c r="O180" s="6">
        <v>7.4377172399393396</v>
      </c>
      <c r="P180" s="6">
        <v>7.4377172399393396</v>
      </c>
      <c r="Q180" s="6">
        <v>0</v>
      </c>
      <c r="R180" s="6">
        <v>0</v>
      </c>
      <c r="S180" s="6">
        <v>0</v>
      </c>
      <c r="T180" s="6">
        <v>29.190789141107999</v>
      </c>
    </row>
    <row r="181" spans="1:20" ht="13" x14ac:dyDescent="0.15">
      <c r="A181" s="6">
        <v>179</v>
      </c>
      <c r="B181" s="7">
        <v>43417</v>
      </c>
      <c r="C181" s="6">
        <v>19.906386653837998</v>
      </c>
      <c r="D181" s="6">
        <v>-4.7943694803546997</v>
      </c>
      <c r="E181" s="6">
        <v>59.076388851366403</v>
      </c>
      <c r="F181" s="6">
        <v>19.906386653837998</v>
      </c>
      <c r="G181" s="6">
        <v>19.906386653837998</v>
      </c>
      <c r="H181" s="6">
        <v>8.0387998116057702</v>
      </c>
      <c r="I181" s="6">
        <v>8.0387998116057702</v>
      </c>
      <c r="J181" s="6">
        <v>8.0387998116057702</v>
      </c>
      <c r="K181" s="6">
        <v>0.84522403106455202</v>
      </c>
      <c r="L181" s="6">
        <v>0.84522403106455202</v>
      </c>
      <c r="M181" s="6">
        <v>0.84522403106455202</v>
      </c>
      <c r="N181" s="6">
        <v>7.1935757805412104</v>
      </c>
      <c r="O181" s="6">
        <v>7.1935757805412104</v>
      </c>
      <c r="P181" s="6">
        <v>7.1935757805412104</v>
      </c>
      <c r="Q181" s="6">
        <v>0</v>
      </c>
      <c r="R181" s="6">
        <v>0</v>
      </c>
      <c r="S181" s="6">
        <v>0</v>
      </c>
      <c r="T181" s="6">
        <v>27.945186465443701</v>
      </c>
    </row>
    <row r="182" spans="1:20" ht="13" x14ac:dyDescent="0.15">
      <c r="A182" s="6">
        <v>180</v>
      </c>
      <c r="B182" s="7">
        <v>43418</v>
      </c>
      <c r="C182" s="6">
        <v>19.882592015444299</v>
      </c>
      <c r="D182" s="6">
        <v>-3.5199052662042298</v>
      </c>
      <c r="E182" s="6">
        <v>60.8368380936598</v>
      </c>
      <c r="F182" s="6">
        <v>19.882592015444299</v>
      </c>
      <c r="G182" s="6">
        <v>19.882592015444299</v>
      </c>
      <c r="H182" s="6">
        <v>7.9757507629315096</v>
      </c>
      <c r="I182" s="6">
        <v>7.9757507629315096</v>
      </c>
      <c r="J182" s="6">
        <v>7.9757507629315096</v>
      </c>
      <c r="K182" s="6">
        <v>0.94874688043625699</v>
      </c>
      <c r="L182" s="6">
        <v>0.94874688043625699</v>
      </c>
      <c r="M182" s="6">
        <v>0.94874688043625699</v>
      </c>
      <c r="N182" s="6">
        <v>7.0270038824952499</v>
      </c>
      <c r="O182" s="6">
        <v>7.0270038824952499</v>
      </c>
      <c r="P182" s="6">
        <v>7.0270038824952499</v>
      </c>
      <c r="Q182" s="6">
        <v>0</v>
      </c>
      <c r="R182" s="6">
        <v>0</v>
      </c>
      <c r="S182" s="6">
        <v>0</v>
      </c>
      <c r="T182" s="6">
        <v>27.8583427783758</v>
      </c>
    </row>
    <row r="183" spans="1:20" ht="13" x14ac:dyDescent="0.15">
      <c r="A183" s="6">
        <v>181</v>
      </c>
      <c r="B183" s="7">
        <v>43419</v>
      </c>
      <c r="C183" s="6">
        <v>19.858797377050699</v>
      </c>
      <c r="D183" s="6">
        <v>-6.0675359887681601</v>
      </c>
      <c r="E183" s="6">
        <v>59.971943130890097</v>
      </c>
      <c r="F183" s="6">
        <v>19.858797377050699</v>
      </c>
      <c r="G183" s="6">
        <v>19.858797377050699</v>
      </c>
      <c r="H183" s="6">
        <v>7.4358618631559104</v>
      </c>
      <c r="I183" s="6">
        <v>7.4358618631559104</v>
      </c>
      <c r="J183" s="6">
        <v>7.4358618631559104</v>
      </c>
      <c r="K183" s="6">
        <v>0.49015521355352498</v>
      </c>
      <c r="L183" s="6">
        <v>0.49015521355352498</v>
      </c>
      <c r="M183" s="6">
        <v>0.49015521355352498</v>
      </c>
      <c r="N183" s="6">
        <v>6.94570664960239</v>
      </c>
      <c r="O183" s="6">
        <v>6.94570664960239</v>
      </c>
      <c r="P183" s="6">
        <v>6.94570664960239</v>
      </c>
      <c r="Q183" s="6">
        <v>0</v>
      </c>
      <c r="R183" s="6">
        <v>0</v>
      </c>
      <c r="S183" s="6">
        <v>0</v>
      </c>
      <c r="T183" s="6">
        <v>27.294659240206599</v>
      </c>
    </row>
    <row r="184" spans="1:20" ht="13" x14ac:dyDescent="0.15">
      <c r="A184" s="6">
        <v>182</v>
      </c>
      <c r="B184" s="7">
        <v>43420</v>
      </c>
      <c r="C184" s="6">
        <v>19.835002738657</v>
      </c>
      <c r="D184" s="6">
        <v>-5.8105357350161198</v>
      </c>
      <c r="E184" s="6">
        <v>59.963376184057701</v>
      </c>
      <c r="F184" s="6">
        <v>19.835002738657</v>
      </c>
      <c r="G184" s="6">
        <v>19.835002738657</v>
      </c>
      <c r="H184" s="6">
        <v>6.9310710124931099</v>
      </c>
      <c r="I184" s="6">
        <v>6.9310710124931099</v>
      </c>
      <c r="J184" s="6">
        <v>6.9310710124931099</v>
      </c>
      <c r="K184" s="6">
        <v>-2.2976765063446501E-2</v>
      </c>
      <c r="L184" s="6">
        <v>-2.2976765063446501E-2</v>
      </c>
      <c r="M184" s="6">
        <v>-2.2976765063446501E-2</v>
      </c>
      <c r="N184" s="6">
        <v>6.9540477775565499</v>
      </c>
      <c r="O184" s="6">
        <v>6.9540477775565499</v>
      </c>
      <c r="P184" s="6">
        <v>6.9540477775565499</v>
      </c>
      <c r="Q184" s="6">
        <v>0</v>
      </c>
      <c r="R184" s="6">
        <v>0</v>
      </c>
      <c r="S184" s="6">
        <v>0</v>
      </c>
      <c r="T184" s="6">
        <v>26.766073751150099</v>
      </c>
    </row>
    <row r="185" spans="1:20" ht="13" x14ac:dyDescent="0.15">
      <c r="A185" s="6">
        <v>183</v>
      </c>
      <c r="B185" s="7">
        <v>43423</v>
      </c>
      <c r="C185" s="6">
        <v>19.763618823476001</v>
      </c>
      <c r="D185" s="6">
        <v>-4.2659902939076</v>
      </c>
      <c r="E185" s="6">
        <v>61.002807987304699</v>
      </c>
      <c r="F185" s="6">
        <v>19.763618823476001</v>
      </c>
      <c r="G185" s="6">
        <v>19.763618823476001</v>
      </c>
      <c r="H185" s="6">
        <v>9.3315351392084196</v>
      </c>
      <c r="I185" s="6">
        <v>9.3315351392084196</v>
      </c>
      <c r="J185" s="6">
        <v>9.3315351392084196</v>
      </c>
      <c r="K185" s="6">
        <v>1.8228906089375601</v>
      </c>
      <c r="L185" s="6">
        <v>1.8228906089375601</v>
      </c>
      <c r="M185" s="6">
        <v>1.8228906089375601</v>
      </c>
      <c r="N185" s="6">
        <v>7.5086445302708498</v>
      </c>
      <c r="O185" s="6">
        <v>7.5086445302708498</v>
      </c>
      <c r="P185" s="6">
        <v>7.5086445302708498</v>
      </c>
      <c r="Q185" s="6">
        <v>0</v>
      </c>
      <c r="R185" s="6">
        <v>0</v>
      </c>
      <c r="S185" s="6">
        <v>0</v>
      </c>
      <c r="T185" s="6">
        <v>29.0951539626844</v>
      </c>
    </row>
    <row r="186" spans="1:20" ht="13" x14ac:dyDescent="0.15">
      <c r="A186" s="6">
        <v>184</v>
      </c>
      <c r="B186" s="7">
        <v>43424</v>
      </c>
      <c r="C186" s="6">
        <v>19.739824185082298</v>
      </c>
      <c r="D186" s="6">
        <v>-4.6767029017490804</v>
      </c>
      <c r="E186" s="6">
        <v>63.0965235228648</v>
      </c>
      <c r="F186" s="6">
        <v>19.739824185082298</v>
      </c>
      <c r="G186" s="6">
        <v>19.739824185082298</v>
      </c>
      <c r="H186" s="6">
        <v>8.6956041873871506</v>
      </c>
      <c r="I186" s="6">
        <v>8.6956041873871506</v>
      </c>
      <c r="J186" s="6">
        <v>8.6956041873871506</v>
      </c>
      <c r="K186" s="6">
        <v>0.84522403106700394</v>
      </c>
      <c r="L186" s="6">
        <v>0.84522403106700394</v>
      </c>
      <c r="M186" s="6">
        <v>0.84522403106700394</v>
      </c>
      <c r="N186" s="6">
        <v>7.8503801563201403</v>
      </c>
      <c r="O186" s="6">
        <v>7.8503801563201403</v>
      </c>
      <c r="P186" s="6">
        <v>7.8503801563201403</v>
      </c>
      <c r="Q186" s="6">
        <v>0</v>
      </c>
      <c r="R186" s="6">
        <v>0</v>
      </c>
      <c r="S186" s="6">
        <v>0</v>
      </c>
      <c r="T186" s="6">
        <v>28.435428372469499</v>
      </c>
    </row>
    <row r="187" spans="1:20" ht="13" x14ac:dyDescent="0.15">
      <c r="A187" s="6">
        <v>185</v>
      </c>
      <c r="B187" s="7">
        <v>43425</v>
      </c>
      <c r="C187" s="6">
        <v>19.716029546688699</v>
      </c>
      <c r="D187" s="6">
        <v>-2.5492449456693098</v>
      </c>
      <c r="E187" s="6">
        <v>60.387587019310303</v>
      </c>
      <c r="F187" s="6">
        <v>19.716029546688699</v>
      </c>
      <c r="G187" s="6">
        <v>19.716029546688699</v>
      </c>
      <c r="H187" s="6">
        <v>9.2016981475652209</v>
      </c>
      <c r="I187" s="6">
        <v>9.2016981475652209</v>
      </c>
      <c r="J187" s="6">
        <v>9.2016981475652209</v>
      </c>
      <c r="K187" s="6">
        <v>0.94874688043810596</v>
      </c>
      <c r="L187" s="6">
        <v>0.94874688043810596</v>
      </c>
      <c r="M187" s="6">
        <v>0.94874688043810596</v>
      </c>
      <c r="N187" s="6">
        <v>8.2529512671271092</v>
      </c>
      <c r="O187" s="6">
        <v>8.2529512671271092</v>
      </c>
      <c r="P187" s="6">
        <v>8.2529512671271092</v>
      </c>
      <c r="Q187" s="6">
        <v>0</v>
      </c>
      <c r="R187" s="6">
        <v>0</v>
      </c>
      <c r="S187" s="6">
        <v>0</v>
      </c>
      <c r="T187" s="6">
        <v>28.917727694253902</v>
      </c>
    </row>
    <row r="188" spans="1:20" ht="13" x14ac:dyDescent="0.15">
      <c r="A188" s="6">
        <v>186</v>
      </c>
      <c r="B188" s="7">
        <v>43427</v>
      </c>
      <c r="C188" s="6">
        <v>19.6684402699013</v>
      </c>
      <c r="D188" s="6">
        <v>-2.0644631090705499</v>
      </c>
      <c r="E188" s="6">
        <v>59.498289074629803</v>
      </c>
      <c r="F188" s="6">
        <v>19.6684402699013</v>
      </c>
      <c r="G188" s="6">
        <v>19.6684402699013</v>
      </c>
      <c r="H188" s="6">
        <v>9.1573763408612301</v>
      </c>
      <c r="I188" s="6">
        <v>9.1573763408612301</v>
      </c>
      <c r="J188" s="6">
        <v>9.1573763408612301</v>
      </c>
      <c r="K188" s="6">
        <v>-2.2976765066281699E-2</v>
      </c>
      <c r="L188" s="6">
        <v>-2.2976765066281699E-2</v>
      </c>
      <c r="M188" s="6">
        <v>-2.2976765066281699E-2</v>
      </c>
      <c r="N188" s="6">
        <v>9.1803531059275105</v>
      </c>
      <c r="O188" s="6">
        <v>9.1803531059275105</v>
      </c>
      <c r="P188" s="6">
        <v>9.1803531059275105</v>
      </c>
      <c r="Q188" s="6">
        <v>0</v>
      </c>
      <c r="R188" s="6">
        <v>0</v>
      </c>
      <c r="S188" s="6">
        <v>0</v>
      </c>
      <c r="T188" s="6">
        <v>28.825816610762601</v>
      </c>
    </row>
    <row r="189" spans="1:20" ht="13" x14ac:dyDescent="0.15">
      <c r="A189" s="6">
        <v>187</v>
      </c>
      <c r="B189" s="7">
        <v>43430</v>
      </c>
      <c r="C189" s="6">
        <v>19.597056354720401</v>
      </c>
      <c r="D189" s="6">
        <v>-3.1509965506307398</v>
      </c>
      <c r="E189" s="6">
        <v>64.896154786784606</v>
      </c>
      <c r="F189" s="6">
        <v>19.597056354720401</v>
      </c>
      <c r="G189" s="6">
        <v>19.597056354720401</v>
      </c>
      <c r="H189" s="6">
        <v>12.4314679039746</v>
      </c>
      <c r="I189" s="6">
        <v>12.4314679039746</v>
      </c>
      <c r="J189" s="6">
        <v>12.4314679039746</v>
      </c>
      <c r="K189" s="6">
        <v>1.8228906089380601</v>
      </c>
      <c r="L189" s="6">
        <v>1.8228906089380601</v>
      </c>
      <c r="M189" s="6">
        <v>1.8228906089380601</v>
      </c>
      <c r="N189" s="6">
        <v>10.6085772950365</v>
      </c>
      <c r="O189" s="6">
        <v>10.6085772950365</v>
      </c>
      <c r="P189" s="6">
        <v>10.6085772950365</v>
      </c>
      <c r="Q189" s="6">
        <v>0</v>
      </c>
      <c r="R189" s="6">
        <v>0</v>
      </c>
      <c r="S189" s="6">
        <v>0</v>
      </c>
      <c r="T189" s="6">
        <v>32.028524258695001</v>
      </c>
    </row>
    <row r="190" spans="1:20" ht="13" x14ac:dyDescent="0.15">
      <c r="A190" s="6">
        <v>188</v>
      </c>
      <c r="B190" s="7">
        <v>43431</v>
      </c>
      <c r="C190" s="6">
        <v>19.573261716326702</v>
      </c>
      <c r="D190" s="6">
        <v>-1.3561432105915401</v>
      </c>
      <c r="E190" s="6">
        <v>66.237361202941699</v>
      </c>
      <c r="F190" s="6">
        <v>19.573261716326702</v>
      </c>
      <c r="G190" s="6">
        <v>19.573261716326702</v>
      </c>
      <c r="H190" s="6">
        <v>11.8631926717766</v>
      </c>
      <c r="I190" s="6">
        <v>11.8631926717766</v>
      </c>
      <c r="J190" s="6">
        <v>11.8631926717766</v>
      </c>
      <c r="K190" s="6">
        <v>0.84522403106783295</v>
      </c>
      <c r="L190" s="6">
        <v>0.84522403106783295</v>
      </c>
      <c r="M190" s="6">
        <v>0.84522403106783295</v>
      </c>
      <c r="N190" s="6">
        <v>11.0179686407087</v>
      </c>
      <c r="O190" s="6">
        <v>11.0179686407087</v>
      </c>
      <c r="P190" s="6">
        <v>11.0179686407087</v>
      </c>
      <c r="Q190" s="6">
        <v>0</v>
      </c>
      <c r="R190" s="6">
        <v>0</v>
      </c>
      <c r="S190" s="6">
        <v>0</v>
      </c>
      <c r="T190" s="6">
        <v>31.4364543881033</v>
      </c>
    </row>
    <row r="191" spans="1:20" ht="13" x14ac:dyDescent="0.15">
      <c r="A191" s="6">
        <v>189</v>
      </c>
      <c r="B191" s="7">
        <v>43432</v>
      </c>
      <c r="C191" s="6">
        <v>19.549467077932999</v>
      </c>
      <c r="D191" s="6">
        <v>-0.103634204658478</v>
      </c>
      <c r="E191" s="6">
        <v>62.303051836664899</v>
      </c>
      <c r="F191" s="6">
        <v>19.549467077932999</v>
      </c>
      <c r="G191" s="6">
        <v>19.549467077932999</v>
      </c>
      <c r="H191" s="6">
        <v>12.3116082233326</v>
      </c>
      <c r="I191" s="6">
        <v>12.3116082233326</v>
      </c>
      <c r="J191" s="6">
        <v>12.3116082233326</v>
      </c>
      <c r="K191" s="6">
        <v>0.94874688043788302</v>
      </c>
      <c r="L191" s="6">
        <v>0.94874688043788302</v>
      </c>
      <c r="M191" s="6">
        <v>0.94874688043788302</v>
      </c>
      <c r="N191" s="6">
        <v>11.3628613428947</v>
      </c>
      <c r="O191" s="6">
        <v>11.3628613428947</v>
      </c>
      <c r="P191" s="6">
        <v>11.3628613428947</v>
      </c>
      <c r="Q191" s="6">
        <v>0</v>
      </c>
      <c r="R191" s="6">
        <v>0</v>
      </c>
      <c r="S191" s="6">
        <v>0</v>
      </c>
      <c r="T191" s="6">
        <v>31.8610753012657</v>
      </c>
    </row>
    <row r="192" spans="1:20" ht="13" x14ac:dyDescent="0.15">
      <c r="A192" s="6">
        <v>190</v>
      </c>
      <c r="B192" s="7">
        <v>43433</v>
      </c>
      <c r="C192" s="6">
        <v>19.525672439539399</v>
      </c>
      <c r="D192" s="6">
        <v>-1.9317038309033301</v>
      </c>
      <c r="E192" s="6">
        <v>63.880382417221803</v>
      </c>
      <c r="F192" s="6">
        <v>19.525672439539399</v>
      </c>
      <c r="G192" s="6">
        <v>19.525672439539399</v>
      </c>
      <c r="H192" s="6">
        <v>12.116549071521</v>
      </c>
      <c r="I192" s="6">
        <v>12.116549071521</v>
      </c>
      <c r="J192" s="6">
        <v>12.116549071521</v>
      </c>
      <c r="K192" s="6">
        <v>0.49015521355515401</v>
      </c>
      <c r="L192" s="6">
        <v>0.49015521355515401</v>
      </c>
      <c r="M192" s="6">
        <v>0.49015521355515401</v>
      </c>
      <c r="N192" s="6">
        <v>11.6263938579658</v>
      </c>
      <c r="O192" s="6">
        <v>11.6263938579658</v>
      </c>
      <c r="P192" s="6">
        <v>11.6263938579658</v>
      </c>
      <c r="Q192" s="6">
        <v>0</v>
      </c>
      <c r="R192" s="6">
        <v>0</v>
      </c>
      <c r="S192" s="6">
        <v>0</v>
      </c>
      <c r="T192" s="6">
        <v>31.642221511060399</v>
      </c>
    </row>
    <row r="193" spans="1:20" ht="13" x14ac:dyDescent="0.15">
      <c r="A193" s="6">
        <v>191</v>
      </c>
      <c r="B193" s="7">
        <v>43434</v>
      </c>
      <c r="C193" s="6">
        <v>19.501877801145699</v>
      </c>
      <c r="D193" s="6">
        <v>1.2354207425880701</v>
      </c>
      <c r="E193" s="6">
        <v>65.477441851132795</v>
      </c>
      <c r="F193" s="6">
        <v>19.501877801145699</v>
      </c>
      <c r="G193" s="6">
        <v>19.501877801145699</v>
      </c>
      <c r="H193" s="6">
        <v>11.7707349523176</v>
      </c>
      <c r="I193" s="6">
        <v>11.7707349523176</v>
      </c>
      <c r="J193" s="6">
        <v>11.7707349523176</v>
      </c>
      <c r="K193" s="6">
        <v>-2.2976765064558299E-2</v>
      </c>
      <c r="L193" s="6">
        <v>-2.2976765064558299E-2</v>
      </c>
      <c r="M193" s="6">
        <v>-2.2976765064558299E-2</v>
      </c>
      <c r="N193" s="6">
        <v>11.7937117173821</v>
      </c>
      <c r="O193" s="6">
        <v>11.7937117173821</v>
      </c>
      <c r="P193" s="6">
        <v>11.7937117173821</v>
      </c>
      <c r="Q193" s="6">
        <v>0</v>
      </c>
      <c r="R193" s="6">
        <v>0</v>
      </c>
      <c r="S193" s="6">
        <v>0</v>
      </c>
      <c r="T193" s="6">
        <v>31.272612753463299</v>
      </c>
    </row>
    <row r="194" spans="1:20" ht="13" x14ac:dyDescent="0.15">
      <c r="A194" s="6">
        <v>192</v>
      </c>
      <c r="B194" s="7">
        <v>43437</v>
      </c>
      <c r="C194" s="6">
        <v>19.430493885964701</v>
      </c>
      <c r="D194" s="6">
        <v>1.89930085954789</v>
      </c>
      <c r="E194" s="6">
        <v>64.416332445993007</v>
      </c>
      <c r="F194" s="6">
        <v>19.430493885964701</v>
      </c>
      <c r="G194" s="6">
        <v>19.430493885964701</v>
      </c>
      <c r="H194" s="6">
        <v>13.432647480356</v>
      </c>
      <c r="I194" s="6">
        <v>13.432647480356</v>
      </c>
      <c r="J194" s="6">
        <v>13.432647480356</v>
      </c>
      <c r="K194" s="6">
        <v>1.82289060893703</v>
      </c>
      <c r="L194" s="6">
        <v>1.82289060893703</v>
      </c>
      <c r="M194" s="6">
        <v>1.82289060893703</v>
      </c>
      <c r="N194" s="6">
        <v>11.609756871419</v>
      </c>
      <c r="O194" s="6">
        <v>11.609756871419</v>
      </c>
      <c r="P194" s="6">
        <v>11.609756871419</v>
      </c>
      <c r="Q194" s="6">
        <v>0</v>
      </c>
      <c r="R194" s="6">
        <v>0</v>
      </c>
      <c r="S194" s="6">
        <v>0</v>
      </c>
      <c r="T194" s="6">
        <v>32.863141366320797</v>
      </c>
    </row>
    <row r="195" spans="1:20" ht="13" x14ac:dyDescent="0.15">
      <c r="A195" s="6">
        <v>193</v>
      </c>
      <c r="B195" s="7">
        <v>43438</v>
      </c>
      <c r="C195" s="6">
        <v>19.406699247571101</v>
      </c>
      <c r="D195" s="6">
        <v>-1.5770602623124601</v>
      </c>
      <c r="E195" s="6">
        <v>65.363084839642895</v>
      </c>
      <c r="F195" s="6">
        <v>19.406699247571101</v>
      </c>
      <c r="G195" s="6">
        <v>19.406699247571101</v>
      </c>
      <c r="H195" s="6">
        <v>12.144671134762101</v>
      </c>
      <c r="I195" s="6">
        <v>12.144671134762101</v>
      </c>
      <c r="J195" s="6">
        <v>12.144671134762101</v>
      </c>
      <c r="K195" s="6">
        <v>0.84522403106799904</v>
      </c>
      <c r="L195" s="6">
        <v>0.84522403106799904</v>
      </c>
      <c r="M195" s="6">
        <v>0.84522403106799904</v>
      </c>
      <c r="N195" s="6">
        <v>11.299447103694099</v>
      </c>
      <c r="O195" s="6">
        <v>11.299447103694099</v>
      </c>
      <c r="P195" s="6">
        <v>11.299447103694099</v>
      </c>
      <c r="Q195" s="6">
        <v>0</v>
      </c>
      <c r="R195" s="6">
        <v>0</v>
      </c>
      <c r="S195" s="6">
        <v>0</v>
      </c>
      <c r="T195" s="6">
        <v>31.5513703823332</v>
      </c>
    </row>
    <row r="196" spans="1:20" ht="13" x14ac:dyDescent="0.15">
      <c r="A196" s="6">
        <v>194</v>
      </c>
      <c r="B196" s="7">
        <v>43440</v>
      </c>
      <c r="C196" s="6">
        <v>19.359109970783699</v>
      </c>
      <c r="D196" s="6">
        <v>0.748419320718817</v>
      </c>
      <c r="E196" s="6">
        <v>64.4010353053703</v>
      </c>
      <c r="F196" s="6">
        <v>19.359109970783699</v>
      </c>
      <c r="G196" s="6">
        <v>19.359109970783699</v>
      </c>
      <c r="H196" s="6">
        <v>10.7959045890805</v>
      </c>
      <c r="I196" s="6">
        <v>10.7959045890805</v>
      </c>
      <c r="J196" s="6">
        <v>10.7959045890805</v>
      </c>
      <c r="K196" s="6">
        <v>0.49015521355633301</v>
      </c>
      <c r="L196" s="6">
        <v>0.49015521355633301</v>
      </c>
      <c r="M196" s="6">
        <v>0.49015521355633301</v>
      </c>
      <c r="N196" s="6">
        <v>10.305749375524201</v>
      </c>
      <c r="O196" s="6">
        <v>10.305749375524201</v>
      </c>
      <c r="P196" s="6">
        <v>10.305749375524201</v>
      </c>
      <c r="Q196" s="6">
        <v>0</v>
      </c>
      <c r="R196" s="6">
        <v>0</v>
      </c>
      <c r="S196" s="6">
        <v>0</v>
      </c>
      <c r="T196" s="6">
        <v>30.155014559864298</v>
      </c>
    </row>
    <row r="197" spans="1:20" ht="13" x14ac:dyDescent="0.15">
      <c r="A197" s="6">
        <v>195</v>
      </c>
      <c r="B197" s="7">
        <v>43441</v>
      </c>
      <c r="C197" s="6">
        <v>19.335315332390099</v>
      </c>
      <c r="D197" s="6">
        <v>-3.529240949689</v>
      </c>
      <c r="E197" s="6">
        <v>59.341956060226501</v>
      </c>
      <c r="F197" s="6">
        <v>19.335315332390099</v>
      </c>
      <c r="G197" s="6">
        <v>19.335315332390099</v>
      </c>
      <c r="H197" s="6">
        <v>9.61226292464743</v>
      </c>
      <c r="I197" s="6">
        <v>9.61226292464743</v>
      </c>
      <c r="J197" s="6">
        <v>9.61226292464743</v>
      </c>
      <c r="K197" s="6">
        <v>-2.2976765067170501E-2</v>
      </c>
      <c r="L197" s="6">
        <v>-2.2976765067170501E-2</v>
      </c>
      <c r="M197" s="6">
        <v>-2.2976765067170501E-2</v>
      </c>
      <c r="N197" s="6">
        <v>9.6352396897146004</v>
      </c>
      <c r="O197" s="6">
        <v>9.6352396897146004</v>
      </c>
      <c r="P197" s="6">
        <v>9.6352396897146004</v>
      </c>
      <c r="Q197" s="6">
        <v>0</v>
      </c>
      <c r="R197" s="6">
        <v>0</v>
      </c>
      <c r="S197" s="6">
        <v>0</v>
      </c>
      <c r="T197" s="6">
        <v>28.947578257037499</v>
      </c>
    </row>
    <row r="198" spans="1:20" ht="13" x14ac:dyDescent="0.15">
      <c r="A198" s="6">
        <v>196</v>
      </c>
      <c r="B198" s="7">
        <v>43444</v>
      </c>
      <c r="C198" s="6">
        <v>19.263931417209101</v>
      </c>
      <c r="D198" s="6">
        <v>-3.6348613380981001</v>
      </c>
      <c r="E198" s="6">
        <v>59.7639949607535</v>
      </c>
      <c r="F198" s="6">
        <v>19.263931417209101</v>
      </c>
      <c r="G198" s="6">
        <v>19.263931417209101</v>
      </c>
      <c r="H198" s="6">
        <v>8.9004923717056403</v>
      </c>
      <c r="I198" s="6">
        <v>8.9004923717056403</v>
      </c>
      <c r="J198" s="6">
        <v>8.9004923717056403</v>
      </c>
      <c r="K198" s="6">
        <v>1.8228906089375301</v>
      </c>
      <c r="L198" s="6">
        <v>1.8228906089375301</v>
      </c>
      <c r="M198" s="6">
        <v>1.8228906089375301</v>
      </c>
      <c r="N198" s="6">
        <v>7.0776017627681096</v>
      </c>
      <c r="O198" s="6">
        <v>7.0776017627681096</v>
      </c>
      <c r="P198" s="6">
        <v>7.0776017627681096</v>
      </c>
      <c r="Q198" s="6">
        <v>0</v>
      </c>
      <c r="R198" s="6">
        <v>0</v>
      </c>
      <c r="S198" s="6">
        <v>0</v>
      </c>
      <c r="T198" s="6">
        <v>28.1644237889147</v>
      </c>
    </row>
    <row r="199" spans="1:20" ht="13" x14ac:dyDescent="0.15">
      <c r="A199" s="6">
        <v>197</v>
      </c>
      <c r="B199" s="7">
        <v>43445</v>
      </c>
      <c r="C199" s="6">
        <v>19.240136778815401</v>
      </c>
      <c r="D199" s="6">
        <v>-4.7571512499606001</v>
      </c>
      <c r="E199" s="6">
        <v>59.5099637824258</v>
      </c>
      <c r="F199" s="6">
        <v>19.240136778815401</v>
      </c>
      <c r="G199" s="6">
        <v>19.240136778815401</v>
      </c>
      <c r="H199" s="6">
        <v>6.9464334150011702</v>
      </c>
      <c r="I199" s="6">
        <v>6.9464334150011702</v>
      </c>
      <c r="J199" s="6">
        <v>6.9464334150011702</v>
      </c>
      <c r="K199" s="6">
        <v>0.84522403106654298</v>
      </c>
      <c r="L199" s="6">
        <v>0.84522403106654298</v>
      </c>
      <c r="M199" s="6">
        <v>0.84522403106654298</v>
      </c>
      <c r="N199" s="6">
        <v>6.1012093839346297</v>
      </c>
      <c r="O199" s="6">
        <v>6.1012093839346297</v>
      </c>
      <c r="P199" s="6">
        <v>6.1012093839346297</v>
      </c>
      <c r="Q199" s="6">
        <v>0</v>
      </c>
      <c r="R199" s="6">
        <v>0</v>
      </c>
      <c r="S199" s="6">
        <v>0</v>
      </c>
      <c r="T199" s="6">
        <v>26.1865701938166</v>
      </c>
    </row>
    <row r="200" spans="1:20" ht="13" x14ac:dyDescent="0.15">
      <c r="A200" s="6">
        <v>198</v>
      </c>
      <c r="B200" s="7">
        <v>43446</v>
      </c>
      <c r="C200" s="6">
        <v>19.216342140421801</v>
      </c>
      <c r="D200" s="6">
        <v>-5.2414307047729398</v>
      </c>
      <c r="E200" s="6">
        <v>56.626069226713298</v>
      </c>
      <c r="F200" s="6">
        <v>19.216342140421801</v>
      </c>
      <c r="G200" s="6">
        <v>19.216342140421801</v>
      </c>
      <c r="H200" s="6">
        <v>6.0462446558703702</v>
      </c>
      <c r="I200" s="6">
        <v>6.0462446558703702</v>
      </c>
      <c r="J200" s="6">
        <v>6.0462446558703702</v>
      </c>
      <c r="K200" s="6">
        <v>0.94874688043622202</v>
      </c>
      <c r="L200" s="6">
        <v>0.94874688043622202</v>
      </c>
      <c r="M200" s="6">
        <v>0.94874688043622202</v>
      </c>
      <c r="N200" s="6">
        <v>5.0974977754341504</v>
      </c>
      <c r="O200" s="6">
        <v>5.0974977754341504</v>
      </c>
      <c r="P200" s="6">
        <v>5.0974977754341504</v>
      </c>
      <c r="Q200" s="6">
        <v>0</v>
      </c>
      <c r="R200" s="6">
        <v>0</v>
      </c>
      <c r="S200" s="6">
        <v>0</v>
      </c>
      <c r="T200" s="6">
        <v>25.262586796292101</v>
      </c>
    </row>
    <row r="201" spans="1:20" ht="13" x14ac:dyDescent="0.15">
      <c r="A201" s="6">
        <v>199</v>
      </c>
      <c r="B201" s="7">
        <v>43447</v>
      </c>
      <c r="C201" s="6">
        <v>19.192547502028098</v>
      </c>
      <c r="D201" s="6">
        <v>-10.9509667895147</v>
      </c>
      <c r="E201" s="6">
        <v>55.167920873400902</v>
      </c>
      <c r="F201" s="6">
        <v>19.192547502028098</v>
      </c>
      <c r="G201" s="6">
        <v>19.192547502028098</v>
      </c>
      <c r="H201" s="6">
        <v>4.57955524674417</v>
      </c>
      <c r="I201" s="6">
        <v>4.57955524674417</v>
      </c>
      <c r="J201" s="6">
        <v>4.57955524674417</v>
      </c>
      <c r="K201" s="6">
        <v>0.49015521355349501</v>
      </c>
      <c r="L201" s="6">
        <v>0.49015521355349501</v>
      </c>
      <c r="M201" s="6">
        <v>0.49015521355349501</v>
      </c>
      <c r="N201" s="6">
        <v>4.0894000331906701</v>
      </c>
      <c r="O201" s="6">
        <v>4.0894000331906701</v>
      </c>
      <c r="P201" s="6">
        <v>4.0894000331906701</v>
      </c>
      <c r="Q201" s="6">
        <v>0</v>
      </c>
      <c r="R201" s="6">
        <v>0</v>
      </c>
      <c r="S201" s="6">
        <v>0</v>
      </c>
      <c r="T201" s="6">
        <v>23.772102748772301</v>
      </c>
    </row>
    <row r="202" spans="1:20" ht="13" x14ac:dyDescent="0.15">
      <c r="A202" s="6">
        <v>200</v>
      </c>
      <c r="B202" s="7">
        <v>43448</v>
      </c>
      <c r="C202" s="6">
        <v>19.168752863634399</v>
      </c>
      <c r="D202" s="6">
        <v>-11.6772211851218</v>
      </c>
      <c r="E202" s="6">
        <v>52.3714887376508</v>
      </c>
      <c r="F202" s="6">
        <v>19.168752863634399</v>
      </c>
      <c r="G202" s="6">
        <v>19.168752863634399</v>
      </c>
      <c r="H202" s="6">
        <v>3.0774742409076601</v>
      </c>
      <c r="I202" s="6">
        <v>3.0774742409076601</v>
      </c>
      <c r="J202" s="6">
        <v>3.0774742409076601</v>
      </c>
      <c r="K202" s="6">
        <v>-2.29767650608887E-2</v>
      </c>
      <c r="L202" s="6">
        <v>-2.29767650608887E-2</v>
      </c>
      <c r="M202" s="6">
        <v>-2.29767650608887E-2</v>
      </c>
      <c r="N202" s="6">
        <v>3.1004510059685502</v>
      </c>
      <c r="O202" s="6">
        <v>3.1004510059685502</v>
      </c>
      <c r="P202" s="6">
        <v>3.1004510059685502</v>
      </c>
      <c r="Q202" s="6">
        <v>0</v>
      </c>
      <c r="R202" s="6">
        <v>0</v>
      </c>
      <c r="S202" s="6">
        <v>0</v>
      </c>
      <c r="T202" s="6">
        <v>22.246227104542101</v>
      </c>
    </row>
    <row r="203" spans="1:20" ht="13" x14ac:dyDescent="0.15">
      <c r="A203" s="6">
        <v>201</v>
      </c>
      <c r="B203" s="7">
        <v>43451</v>
      </c>
      <c r="C203" s="6">
        <v>19.097368948453401</v>
      </c>
      <c r="D203" s="6">
        <v>-8.8842074383717602</v>
      </c>
      <c r="E203" s="6">
        <v>53.795172818097498</v>
      </c>
      <c r="F203" s="6">
        <v>19.097368948453401</v>
      </c>
      <c r="G203" s="6">
        <v>19.097368948453401</v>
      </c>
      <c r="H203" s="6">
        <v>2.3023641632083902</v>
      </c>
      <c r="I203" s="6">
        <v>2.3023641632083902</v>
      </c>
      <c r="J203" s="6">
        <v>2.3023641632083902</v>
      </c>
      <c r="K203" s="6">
        <v>1.8228906089365</v>
      </c>
      <c r="L203" s="6">
        <v>1.8228906089365</v>
      </c>
      <c r="M203" s="6">
        <v>1.8228906089365</v>
      </c>
      <c r="N203" s="6">
        <v>0.47947355427188598</v>
      </c>
      <c r="O203" s="6">
        <v>0.47947355427188598</v>
      </c>
      <c r="P203" s="6">
        <v>0.47947355427188598</v>
      </c>
      <c r="Q203" s="6">
        <v>0</v>
      </c>
      <c r="R203" s="6">
        <v>0</v>
      </c>
      <c r="S203" s="6">
        <v>0</v>
      </c>
      <c r="T203" s="6">
        <v>21.399733111661799</v>
      </c>
    </row>
    <row r="204" spans="1:20" ht="13" x14ac:dyDescent="0.15">
      <c r="A204" s="6">
        <v>202</v>
      </c>
      <c r="B204" s="7">
        <v>43452</v>
      </c>
      <c r="C204" s="6">
        <v>19.0821439635349</v>
      </c>
      <c r="D204" s="6">
        <v>-12.8005701527568</v>
      </c>
      <c r="E204" s="6">
        <v>52.3895350341989</v>
      </c>
      <c r="F204" s="6">
        <v>19.0821439635349</v>
      </c>
      <c r="G204" s="6">
        <v>19.0821439635349</v>
      </c>
      <c r="H204" s="6">
        <v>0.63747402196635405</v>
      </c>
      <c r="I204" s="6">
        <v>0.63747402196635405</v>
      </c>
      <c r="J204" s="6">
        <v>0.63747402196635405</v>
      </c>
      <c r="K204" s="6">
        <v>0.84522403106589705</v>
      </c>
      <c r="L204" s="6">
        <v>0.84522403106589705</v>
      </c>
      <c r="M204" s="6">
        <v>0.84522403106589705</v>
      </c>
      <c r="N204" s="6">
        <v>-0.207750009099543</v>
      </c>
      <c r="O204" s="6">
        <v>-0.207750009099543</v>
      </c>
      <c r="P204" s="6">
        <v>-0.207750009099543</v>
      </c>
      <c r="Q204" s="6">
        <v>0</v>
      </c>
      <c r="R204" s="6">
        <v>0</v>
      </c>
      <c r="S204" s="6">
        <v>0</v>
      </c>
      <c r="T204" s="6">
        <v>19.719617985501301</v>
      </c>
    </row>
    <row r="205" spans="1:20" ht="13" x14ac:dyDescent="0.15">
      <c r="A205" s="6">
        <v>203</v>
      </c>
      <c r="B205" s="7">
        <v>43453</v>
      </c>
      <c r="C205" s="6">
        <v>19.0669189786164</v>
      </c>
      <c r="D205" s="6">
        <v>-11.2405779579103</v>
      </c>
      <c r="E205" s="6">
        <v>50.406062233649003</v>
      </c>
      <c r="F205" s="6">
        <v>19.0669189786164</v>
      </c>
      <c r="G205" s="6">
        <v>19.0669189786164</v>
      </c>
      <c r="H205" s="6">
        <v>0.17759189313525101</v>
      </c>
      <c r="I205" s="6">
        <v>0.17759189313525101</v>
      </c>
      <c r="J205" s="6">
        <v>0.17759189313525101</v>
      </c>
      <c r="K205" s="6">
        <v>0.94874688043867805</v>
      </c>
      <c r="L205" s="6">
        <v>0.94874688043867805</v>
      </c>
      <c r="M205" s="6">
        <v>0.94874688043867805</v>
      </c>
      <c r="N205" s="6">
        <v>-0.77115498730342702</v>
      </c>
      <c r="O205" s="6">
        <v>-0.77115498730342702</v>
      </c>
      <c r="P205" s="6">
        <v>-0.77115498730342702</v>
      </c>
      <c r="Q205" s="6">
        <v>0</v>
      </c>
      <c r="R205" s="6">
        <v>0</v>
      </c>
      <c r="S205" s="6">
        <v>0</v>
      </c>
      <c r="T205" s="6">
        <v>19.2445108717517</v>
      </c>
    </row>
    <row r="206" spans="1:20" ht="13" x14ac:dyDescent="0.15">
      <c r="A206" s="6">
        <v>204</v>
      </c>
      <c r="B206" s="7">
        <v>43454</v>
      </c>
      <c r="C206" s="6">
        <v>19.051693993697899</v>
      </c>
      <c r="D206" s="6">
        <v>-13.053649927834901</v>
      </c>
      <c r="E206" s="6">
        <v>50.119280012203603</v>
      </c>
      <c r="F206" s="6">
        <v>19.051693993697899</v>
      </c>
      <c r="G206" s="6">
        <v>19.051693993697899</v>
      </c>
      <c r="H206" s="6">
        <v>-0.706289627164295</v>
      </c>
      <c r="I206" s="6">
        <v>-0.706289627164295</v>
      </c>
      <c r="J206" s="6">
        <v>-0.706289627164295</v>
      </c>
      <c r="K206" s="6">
        <v>0.49015521355394498</v>
      </c>
      <c r="L206" s="6">
        <v>0.49015521355394498</v>
      </c>
      <c r="M206" s="6">
        <v>0.49015521355394498</v>
      </c>
      <c r="N206" s="6">
        <v>-1.19644484071824</v>
      </c>
      <c r="O206" s="6">
        <v>-1.19644484071824</v>
      </c>
      <c r="P206" s="6">
        <v>-1.19644484071824</v>
      </c>
      <c r="Q206" s="6">
        <v>0</v>
      </c>
      <c r="R206" s="6">
        <v>0</v>
      </c>
      <c r="S206" s="6">
        <v>0</v>
      </c>
      <c r="T206" s="6">
        <v>18.3454043665336</v>
      </c>
    </row>
    <row r="207" spans="1:20" ht="13" x14ac:dyDescent="0.15">
      <c r="A207" s="6">
        <v>205</v>
      </c>
      <c r="B207" s="7">
        <v>43455</v>
      </c>
      <c r="C207" s="6">
        <v>19.036469008779399</v>
      </c>
      <c r="D207" s="6">
        <v>-14.019668672533401</v>
      </c>
      <c r="E207" s="6">
        <v>48.780713550463901</v>
      </c>
      <c r="F207" s="6">
        <v>19.036469008779399</v>
      </c>
      <c r="G207" s="6">
        <v>19.036469008779399</v>
      </c>
      <c r="H207" s="6">
        <v>-1.4955944629643001</v>
      </c>
      <c r="I207" s="6">
        <v>-1.4955944629643001</v>
      </c>
      <c r="J207" s="6">
        <v>-1.4955944629643001</v>
      </c>
      <c r="K207" s="6">
        <v>-2.2976765058942299E-2</v>
      </c>
      <c r="L207" s="6">
        <v>-2.2976765058942299E-2</v>
      </c>
      <c r="M207" s="6">
        <v>-2.2976765058942299E-2</v>
      </c>
      <c r="N207" s="6">
        <v>-1.47261769790536</v>
      </c>
      <c r="O207" s="6">
        <v>-1.47261769790536</v>
      </c>
      <c r="P207" s="6">
        <v>-1.47261769790536</v>
      </c>
      <c r="Q207" s="6">
        <v>0</v>
      </c>
      <c r="R207" s="6">
        <v>0</v>
      </c>
      <c r="S207" s="6">
        <v>0</v>
      </c>
      <c r="T207" s="6">
        <v>17.5408745458151</v>
      </c>
    </row>
    <row r="208" spans="1:20" ht="13" x14ac:dyDescent="0.15">
      <c r="A208" s="6">
        <v>206</v>
      </c>
      <c r="B208" s="7">
        <v>43458</v>
      </c>
      <c r="C208" s="6">
        <v>18.990794054023802</v>
      </c>
      <c r="D208" s="6">
        <v>-10.7143062838018</v>
      </c>
      <c r="E208" s="6">
        <v>54.2792643932153</v>
      </c>
      <c r="F208" s="6">
        <v>18.990794054023802</v>
      </c>
      <c r="G208" s="6">
        <v>18.990794054023802</v>
      </c>
      <c r="H208" s="6">
        <v>0.47145959416149102</v>
      </c>
      <c r="I208" s="6">
        <v>0.47145959416149102</v>
      </c>
      <c r="J208" s="6">
        <v>0.47145959416149102</v>
      </c>
      <c r="K208" s="6">
        <v>1.8228906089330399</v>
      </c>
      <c r="L208" s="6">
        <v>1.8228906089330399</v>
      </c>
      <c r="M208" s="6">
        <v>1.8228906089330399</v>
      </c>
      <c r="N208" s="6">
        <v>-1.35143101477154</v>
      </c>
      <c r="O208" s="6">
        <v>-1.35143101477154</v>
      </c>
      <c r="P208" s="6">
        <v>-1.35143101477154</v>
      </c>
      <c r="Q208" s="6">
        <v>0</v>
      </c>
      <c r="R208" s="6">
        <v>0</v>
      </c>
      <c r="S208" s="6">
        <v>0</v>
      </c>
      <c r="T208" s="6">
        <v>19.4622536481853</v>
      </c>
    </row>
    <row r="209" spans="1:20" ht="13" x14ac:dyDescent="0.15">
      <c r="A209" s="6">
        <v>207</v>
      </c>
      <c r="B209" s="7">
        <v>43460</v>
      </c>
      <c r="C209" s="6">
        <v>18.960344084186801</v>
      </c>
      <c r="D209" s="6">
        <v>-11.131478883328001</v>
      </c>
      <c r="E209" s="6">
        <v>50.390864068859699</v>
      </c>
      <c r="F209" s="6">
        <v>18.960344084186801</v>
      </c>
      <c r="G209" s="6">
        <v>18.960344084186801</v>
      </c>
      <c r="H209" s="6">
        <v>0.45725429238932502</v>
      </c>
      <c r="I209" s="6">
        <v>0.45725429238932502</v>
      </c>
      <c r="J209" s="6">
        <v>0.45725429238932502</v>
      </c>
      <c r="K209" s="6">
        <v>0.94874688043516797</v>
      </c>
      <c r="L209" s="6">
        <v>0.94874688043516797</v>
      </c>
      <c r="M209" s="6">
        <v>0.94874688043516797</v>
      </c>
      <c r="N209" s="6">
        <v>-0.491492588045842</v>
      </c>
      <c r="O209" s="6">
        <v>-0.491492588045842</v>
      </c>
      <c r="P209" s="6">
        <v>-0.491492588045842</v>
      </c>
      <c r="Q209" s="6">
        <v>0</v>
      </c>
      <c r="R209" s="6">
        <v>0</v>
      </c>
      <c r="S209" s="6">
        <v>0</v>
      </c>
      <c r="T209" s="6">
        <v>19.417598376576102</v>
      </c>
    </row>
    <row r="210" spans="1:20" ht="13" x14ac:dyDescent="0.15">
      <c r="A210" s="6">
        <v>208</v>
      </c>
      <c r="B210" s="7">
        <v>43461</v>
      </c>
      <c r="C210" s="6">
        <v>18.9451190992683</v>
      </c>
      <c r="D210" s="6">
        <v>-12.374544811799799</v>
      </c>
      <c r="E210" s="6">
        <v>51.508261954951202</v>
      </c>
      <c r="F210" s="6">
        <v>18.9451190992683</v>
      </c>
      <c r="G210" s="6">
        <v>18.9451190992683</v>
      </c>
      <c r="H210" s="6">
        <v>0.638942994434886</v>
      </c>
      <c r="I210" s="6">
        <v>0.638942994434886</v>
      </c>
      <c r="J210" s="6">
        <v>0.638942994434886</v>
      </c>
      <c r="K210" s="6">
        <v>0.49015521355512498</v>
      </c>
      <c r="L210" s="6">
        <v>0.49015521355512498</v>
      </c>
      <c r="M210" s="6">
        <v>0.49015521355512498</v>
      </c>
      <c r="N210" s="6">
        <v>0.14878778087976099</v>
      </c>
      <c r="O210" s="6">
        <v>0.14878778087976099</v>
      </c>
      <c r="P210" s="6">
        <v>0.14878778087976099</v>
      </c>
      <c r="Q210" s="6">
        <v>0</v>
      </c>
      <c r="R210" s="6">
        <v>0</v>
      </c>
      <c r="S210" s="6">
        <v>0</v>
      </c>
      <c r="T210" s="6">
        <v>19.584062093703199</v>
      </c>
    </row>
    <row r="211" spans="1:20" ht="13" x14ac:dyDescent="0.15">
      <c r="A211" s="6">
        <v>209</v>
      </c>
      <c r="B211" s="7">
        <v>43462</v>
      </c>
      <c r="C211" s="6">
        <v>18.9298941143498</v>
      </c>
      <c r="D211" s="6">
        <v>-12.401046932365899</v>
      </c>
      <c r="E211" s="6">
        <v>51.730272848992499</v>
      </c>
      <c r="F211" s="6">
        <v>18.9298941143498</v>
      </c>
      <c r="G211" s="6">
        <v>18.9298941143498</v>
      </c>
      <c r="H211" s="6">
        <v>0.88789010598123297</v>
      </c>
      <c r="I211" s="6">
        <v>0.88789010598123297</v>
      </c>
      <c r="J211" s="6">
        <v>0.88789010598123297</v>
      </c>
      <c r="K211" s="6">
        <v>-2.2976765066112799E-2</v>
      </c>
      <c r="L211" s="6">
        <v>-2.2976765066112799E-2</v>
      </c>
      <c r="M211" s="6">
        <v>-2.2976765066112799E-2</v>
      </c>
      <c r="N211" s="6">
        <v>0.91086687104734598</v>
      </c>
      <c r="O211" s="6">
        <v>0.91086687104734598</v>
      </c>
      <c r="P211" s="6">
        <v>0.91086687104734598</v>
      </c>
      <c r="Q211" s="6">
        <v>0</v>
      </c>
      <c r="R211" s="6">
        <v>0</v>
      </c>
      <c r="S211" s="6">
        <v>0</v>
      </c>
      <c r="T211" s="6">
        <v>19.817784220330999</v>
      </c>
    </row>
    <row r="212" spans="1:20" ht="13" x14ac:dyDescent="0.15">
      <c r="A212" s="6">
        <v>210</v>
      </c>
      <c r="B212" s="7">
        <v>43465</v>
      </c>
      <c r="C212" s="6">
        <v>18.884219159594199</v>
      </c>
      <c r="D212" s="6">
        <v>-7.6265764396456497</v>
      </c>
      <c r="E212" s="6">
        <v>56.826096764409002</v>
      </c>
      <c r="F212" s="6">
        <v>18.884219159594199</v>
      </c>
      <c r="G212" s="6">
        <v>18.884219159594199</v>
      </c>
      <c r="H212" s="6">
        <v>5.5661919497464103</v>
      </c>
      <c r="I212" s="6">
        <v>5.5661919497464103</v>
      </c>
      <c r="J212" s="6">
        <v>5.5661919497464103</v>
      </c>
      <c r="K212" s="6">
        <v>1.8228906089347501</v>
      </c>
      <c r="L212" s="6">
        <v>1.8228906089347501</v>
      </c>
      <c r="M212" s="6">
        <v>1.8228906089347501</v>
      </c>
      <c r="N212" s="6">
        <v>3.7433013408116498</v>
      </c>
      <c r="O212" s="6">
        <v>3.7433013408116498</v>
      </c>
      <c r="P212" s="6">
        <v>3.7433013408116498</v>
      </c>
      <c r="Q212" s="6">
        <v>0</v>
      </c>
      <c r="R212" s="6">
        <v>0</v>
      </c>
      <c r="S212" s="6">
        <v>0</v>
      </c>
      <c r="T212" s="6">
        <v>24.450411109340699</v>
      </c>
    </row>
    <row r="213" spans="1:20" ht="13" x14ac:dyDescent="0.15">
      <c r="A213" s="6">
        <v>211</v>
      </c>
      <c r="B213" s="7">
        <v>43467</v>
      </c>
      <c r="C213" s="6">
        <v>18.853769189757202</v>
      </c>
      <c r="D213" s="6">
        <v>-5.2979328774674599</v>
      </c>
      <c r="E213" s="6">
        <v>56.463802044696102</v>
      </c>
      <c r="F213" s="6">
        <v>18.853769189757202</v>
      </c>
      <c r="G213" s="6">
        <v>18.853769189757202</v>
      </c>
      <c r="H213" s="6">
        <v>6.8211177403191297</v>
      </c>
      <c r="I213" s="6">
        <v>6.8211177403191297</v>
      </c>
      <c r="J213" s="6">
        <v>6.8211177403191297</v>
      </c>
      <c r="K213" s="6">
        <v>0.94874688043701705</v>
      </c>
      <c r="L213" s="6">
        <v>0.94874688043701705</v>
      </c>
      <c r="M213" s="6">
        <v>0.94874688043701705</v>
      </c>
      <c r="N213" s="6">
        <v>5.8723708598821096</v>
      </c>
      <c r="O213" s="6">
        <v>5.8723708598821096</v>
      </c>
      <c r="P213" s="6">
        <v>5.8723708598821096</v>
      </c>
      <c r="Q213" s="6">
        <v>0</v>
      </c>
      <c r="R213" s="6">
        <v>0</v>
      </c>
      <c r="S213" s="6">
        <v>0</v>
      </c>
      <c r="T213" s="6">
        <v>25.674886930076401</v>
      </c>
    </row>
    <row r="214" spans="1:20" ht="13" x14ac:dyDescent="0.15">
      <c r="A214" s="6">
        <v>212</v>
      </c>
      <c r="B214" s="7">
        <v>43468</v>
      </c>
      <c r="C214" s="6">
        <v>18.838544204838701</v>
      </c>
      <c r="D214" s="6">
        <v>-5.2605175472327996</v>
      </c>
      <c r="E214" s="6">
        <v>58.1653261161293</v>
      </c>
      <c r="F214" s="6">
        <v>18.838544204838701</v>
      </c>
      <c r="G214" s="6">
        <v>18.838544204838701</v>
      </c>
      <c r="H214" s="6">
        <v>7.4311535773969997</v>
      </c>
      <c r="I214" s="6">
        <v>7.4311535773969997</v>
      </c>
      <c r="J214" s="6">
        <v>7.4311535773969997</v>
      </c>
      <c r="K214" s="6">
        <v>0.49015521355959202</v>
      </c>
      <c r="L214" s="6">
        <v>0.49015521355959202</v>
      </c>
      <c r="M214" s="6">
        <v>0.49015521355959202</v>
      </c>
      <c r="N214" s="6">
        <v>6.9409983638374104</v>
      </c>
      <c r="O214" s="6">
        <v>6.9409983638374104</v>
      </c>
      <c r="P214" s="6">
        <v>6.9409983638374104</v>
      </c>
      <c r="Q214" s="6">
        <v>0</v>
      </c>
      <c r="R214" s="6">
        <v>0</v>
      </c>
      <c r="S214" s="6">
        <v>0</v>
      </c>
      <c r="T214" s="6">
        <v>26.269697782235699</v>
      </c>
    </row>
    <row r="215" spans="1:20" ht="13" x14ac:dyDescent="0.15">
      <c r="A215" s="6">
        <v>213</v>
      </c>
      <c r="B215" s="7">
        <v>43469</v>
      </c>
      <c r="C215" s="6">
        <v>18.823319219920201</v>
      </c>
      <c r="D215" s="6">
        <v>-7.1059525732003701</v>
      </c>
      <c r="E215" s="6">
        <v>57.1457729923345</v>
      </c>
      <c r="F215" s="6">
        <v>18.823319219920201</v>
      </c>
      <c r="G215" s="6">
        <v>18.823319219920201</v>
      </c>
      <c r="H215" s="6">
        <v>7.95976880282669</v>
      </c>
      <c r="I215" s="6">
        <v>7.95976880282669</v>
      </c>
      <c r="J215" s="6">
        <v>7.95976880282669</v>
      </c>
      <c r="K215" s="6">
        <v>-2.2976765059831001E-2</v>
      </c>
      <c r="L215" s="6">
        <v>-2.2976765059831001E-2</v>
      </c>
      <c r="M215" s="6">
        <v>-2.2976765059831001E-2</v>
      </c>
      <c r="N215" s="6">
        <v>7.9827455678865196</v>
      </c>
      <c r="O215" s="6">
        <v>7.9827455678865196</v>
      </c>
      <c r="P215" s="6">
        <v>7.9827455678865196</v>
      </c>
      <c r="Q215" s="6">
        <v>0</v>
      </c>
      <c r="R215" s="6">
        <v>0</v>
      </c>
      <c r="S215" s="6">
        <v>0</v>
      </c>
      <c r="T215" s="6">
        <v>26.783088022746899</v>
      </c>
    </row>
    <row r="216" spans="1:20" ht="13" x14ac:dyDescent="0.15">
      <c r="A216" s="6">
        <v>214</v>
      </c>
      <c r="B216" s="7">
        <v>43472</v>
      </c>
      <c r="C216" s="6">
        <v>18.7776442651647</v>
      </c>
      <c r="D216" s="6">
        <v>0.313196746102818</v>
      </c>
      <c r="E216" s="6">
        <v>62.4768010008397</v>
      </c>
      <c r="F216" s="6">
        <v>18.7776442651647</v>
      </c>
      <c r="G216" s="6">
        <v>18.7776442651647</v>
      </c>
      <c r="H216" s="6">
        <v>12.574067693014999</v>
      </c>
      <c r="I216" s="6">
        <v>12.574067693014999</v>
      </c>
      <c r="J216" s="6">
        <v>12.574067693014999</v>
      </c>
      <c r="K216" s="6">
        <v>1.82289060893647</v>
      </c>
      <c r="L216" s="6">
        <v>1.82289060893647</v>
      </c>
      <c r="M216" s="6">
        <v>1.82289060893647</v>
      </c>
      <c r="N216" s="6">
        <v>10.7511770840786</v>
      </c>
      <c r="O216" s="6">
        <v>10.7511770840786</v>
      </c>
      <c r="P216" s="6">
        <v>10.7511770840786</v>
      </c>
      <c r="Q216" s="6">
        <v>0</v>
      </c>
      <c r="R216" s="6">
        <v>0</v>
      </c>
      <c r="S216" s="6">
        <v>0</v>
      </c>
      <c r="T216" s="6">
        <v>31.351711958179799</v>
      </c>
    </row>
    <row r="217" spans="1:20" ht="13" x14ac:dyDescent="0.15">
      <c r="A217" s="6">
        <v>215</v>
      </c>
      <c r="B217" s="7">
        <v>43473</v>
      </c>
      <c r="C217" s="6">
        <v>18.7624192802461</v>
      </c>
      <c r="D217" s="6">
        <v>0.23532385682765999</v>
      </c>
      <c r="E217" s="6">
        <v>62.566950409658403</v>
      </c>
      <c r="F217" s="6">
        <v>18.7624192802461</v>
      </c>
      <c r="G217" s="6">
        <v>18.7624192802461</v>
      </c>
      <c r="H217" s="6">
        <v>12.346955603927601</v>
      </c>
      <c r="I217" s="6">
        <v>12.346955603927601</v>
      </c>
      <c r="J217" s="6">
        <v>12.346955603927601</v>
      </c>
      <c r="K217" s="6">
        <v>0.84522403106543598</v>
      </c>
      <c r="L217" s="6">
        <v>0.84522403106543598</v>
      </c>
      <c r="M217" s="6">
        <v>0.84522403106543598</v>
      </c>
      <c r="N217" s="6">
        <v>11.5017315728622</v>
      </c>
      <c r="O217" s="6">
        <v>11.5017315728622</v>
      </c>
      <c r="P217" s="6">
        <v>11.5017315728622</v>
      </c>
      <c r="Q217" s="6">
        <v>0</v>
      </c>
      <c r="R217" s="6">
        <v>0</v>
      </c>
      <c r="S217" s="6">
        <v>0</v>
      </c>
      <c r="T217" s="6">
        <v>31.1093748841738</v>
      </c>
    </row>
    <row r="218" spans="1:20" ht="13" x14ac:dyDescent="0.15">
      <c r="A218" s="6">
        <v>216</v>
      </c>
      <c r="B218" s="7">
        <v>43474</v>
      </c>
      <c r="C218" s="6">
        <v>18.747194295327599</v>
      </c>
      <c r="D218" s="6">
        <v>2.7536413286049E-2</v>
      </c>
      <c r="E218" s="6">
        <v>63.262265136966199</v>
      </c>
      <c r="F218" s="6">
        <v>18.747194295327599</v>
      </c>
      <c r="G218" s="6">
        <v>18.747194295327599</v>
      </c>
      <c r="H218" s="6">
        <v>13.095675158350801</v>
      </c>
      <c r="I218" s="6">
        <v>13.095675158350801</v>
      </c>
      <c r="J218" s="6">
        <v>13.095675158350801</v>
      </c>
      <c r="K218" s="6">
        <v>0.94874688043618605</v>
      </c>
      <c r="L218" s="6">
        <v>0.94874688043618605</v>
      </c>
      <c r="M218" s="6">
        <v>0.94874688043618605</v>
      </c>
      <c r="N218" s="6">
        <v>12.146928277914601</v>
      </c>
      <c r="O218" s="6">
        <v>12.146928277914601</v>
      </c>
      <c r="P218" s="6">
        <v>12.146928277914601</v>
      </c>
      <c r="Q218" s="6">
        <v>0</v>
      </c>
      <c r="R218" s="6">
        <v>0</v>
      </c>
      <c r="S218" s="6">
        <v>0</v>
      </c>
      <c r="T218" s="6">
        <v>31.8428694536785</v>
      </c>
    </row>
    <row r="219" spans="1:20" ht="13" x14ac:dyDescent="0.15">
      <c r="A219" s="6">
        <v>217</v>
      </c>
      <c r="B219" s="7">
        <v>43475</v>
      </c>
      <c r="C219" s="6">
        <v>18.731969310409099</v>
      </c>
      <c r="D219" s="6">
        <v>0.66302209446948701</v>
      </c>
      <c r="E219" s="6">
        <v>66.293906741532894</v>
      </c>
      <c r="F219" s="6">
        <v>18.731969310409099</v>
      </c>
      <c r="G219" s="6">
        <v>18.731969310409099</v>
      </c>
      <c r="H219" s="6">
        <v>13.1704958122183</v>
      </c>
      <c r="I219" s="6">
        <v>13.1704958122183</v>
      </c>
      <c r="J219" s="6">
        <v>13.1704958122183</v>
      </c>
      <c r="K219" s="6">
        <v>0.49015521355602498</v>
      </c>
      <c r="L219" s="6">
        <v>0.49015521355602498</v>
      </c>
      <c r="M219" s="6">
        <v>0.49015521355602498</v>
      </c>
      <c r="N219" s="6">
        <v>12.680340598662299</v>
      </c>
      <c r="O219" s="6">
        <v>12.680340598662299</v>
      </c>
      <c r="P219" s="6">
        <v>12.680340598662299</v>
      </c>
      <c r="Q219" s="6">
        <v>0</v>
      </c>
      <c r="R219" s="6">
        <v>0</v>
      </c>
      <c r="S219" s="6">
        <v>0</v>
      </c>
      <c r="T219" s="6">
        <v>31.9024651226275</v>
      </c>
    </row>
    <row r="220" spans="1:20" ht="13" x14ac:dyDescent="0.15">
      <c r="A220" s="6">
        <v>218</v>
      </c>
      <c r="B220" s="7">
        <v>43476</v>
      </c>
      <c r="C220" s="6">
        <v>18.716744325490598</v>
      </c>
      <c r="D220" s="6">
        <v>-1.2354442947665101</v>
      </c>
      <c r="E220" s="6">
        <v>63.025068012574202</v>
      </c>
      <c r="F220" s="6">
        <v>18.716744325490598</v>
      </c>
      <c r="G220" s="6">
        <v>18.716744325490598</v>
      </c>
      <c r="H220" s="6">
        <v>13.0762208752408</v>
      </c>
      <c r="I220" s="6">
        <v>13.0762208752408</v>
      </c>
      <c r="J220" s="6">
        <v>13.0762208752408</v>
      </c>
      <c r="K220" s="6">
        <v>-2.2976765062442998E-2</v>
      </c>
      <c r="L220" s="6">
        <v>-2.2976765062442998E-2</v>
      </c>
      <c r="M220" s="6">
        <v>-2.2976765062442998E-2</v>
      </c>
      <c r="N220" s="6">
        <v>13.099197640303201</v>
      </c>
      <c r="O220" s="6">
        <v>13.099197640303201</v>
      </c>
      <c r="P220" s="6">
        <v>13.099197640303201</v>
      </c>
      <c r="Q220" s="6">
        <v>0</v>
      </c>
      <c r="R220" s="6">
        <v>0</v>
      </c>
      <c r="S220" s="6">
        <v>0</v>
      </c>
      <c r="T220" s="6">
        <v>31.792965200731398</v>
      </c>
    </row>
    <row r="221" spans="1:20" ht="13" x14ac:dyDescent="0.15">
      <c r="A221" s="6">
        <v>219</v>
      </c>
      <c r="B221" s="7">
        <v>43479</v>
      </c>
      <c r="C221" s="6">
        <v>18.671069370735101</v>
      </c>
      <c r="D221" s="6">
        <v>2.1521858268851699</v>
      </c>
      <c r="E221" s="6">
        <v>64.440357763794296</v>
      </c>
      <c r="F221" s="6">
        <v>18.671069370735101</v>
      </c>
      <c r="G221" s="6">
        <v>18.671069370735101</v>
      </c>
      <c r="H221" s="6">
        <v>15.518393387084201</v>
      </c>
      <c r="I221" s="6">
        <v>15.518393387084201</v>
      </c>
      <c r="J221" s="6">
        <v>15.518393387084201</v>
      </c>
      <c r="K221" s="6">
        <v>1.82289060893818</v>
      </c>
      <c r="L221" s="6">
        <v>1.82289060893818</v>
      </c>
      <c r="M221" s="6">
        <v>1.82289060893818</v>
      </c>
      <c r="N221" s="6">
        <v>13.6955027781461</v>
      </c>
      <c r="O221" s="6">
        <v>13.6955027781461</v>
      </c>
      <c r="P221" s="6">
        <v>13.6955027781461</v>
      </c>
      <c r="Q221" s="6">
        <v>0</v>
      </c>
      <c r="R221" s="6">
        <v>0</v>
      </c>
      <c r="S221" s="6">
        <v>0</v>
      </c>
      <c r="T221" s="6">
        <v>34.189462757819399</v>
      </c>
    </row>
    <row r="222" spans="1:20" ht="13" x14ac:dyDescent="0.15">
      <c r="A222" s="6">
        <v>220</v>
      </c>
      <c r="B222" s="7">
        <v>43480</v>
      </c>
      <c r="C222" s="6">
        <v>18.6558443858166</v>
      </c>
      <c r="D222" s="6">
        <v>-0.195825090962089</v>
      </c>
      <c r="E222" s="6">
        <v>66.599284292377206</v>
      </c>
      <c r="F222" s="6">
        <v>18.6558443858166</v>
      </c>
      <c r="G222" s="6">
        <v>18.6558443858166</v>
      </c>
      <c r="H222" s="6">
        <v>14.5456537123918</v>
      </c>
      <c r="I222" s="6">
        <v>14.5456537123918</v>
      </c>
      <c r="J222" s="6">
        <v>14.5456537123918</v>
      </c>
      <c r="K222" s="6">
        <v>0.84522403106626398</v>
      </c>
      <c r="L222" s="6">
        <v>0.84522403106626398</v>
      </c>
      <c r="M222" s="6">
        <v>0.84522403106626398</v>
      </c>
      <c r="N222" s="6">
        <v>13.700429681325501</v>
      </c>
      <c r="O222" s="6">
        <v>13.700429681325501</v>
      </c>
      <c r="P222" s="6">
        <v>13.700429681325501</v>
      </c>
      <c r="Q222" s="6">
        <v>0</v>
      </c>
      <c r="R222" s="6">
        <v>0</v>
      </c>
      <c r="S222" s="6">
        <v>0</v>
      </c>
      <c r="T222" s="6">
        <v>33.201498098208397</v>
      </c>
    </row>
    <row r="223" spans="1:20" ht="13" x14ac:dyDescent="0.15">
      <c r="A223" s="6">
        <v>221</v>
      </c>
      <c r="B223" s="7">
        <v>43481</v>
      </c>
      <c r="C223" s="6">
        <v>18.640619400898</v>
      </c>
      <c r="D223" s="6">
        <v>0.92230646448132902</v>
      </c>
      <c r="E223" s="6">
        <v>65.722286029406106</v>
      </c>
      <c r="F223" s="6">
        <v>18.640619400898</v>
      </c>
      <c r="G223" s="6">
        <v>18.640619400898</v>
      </c>
      <c r="H223" s="6">
        <v>14.577923044381601</v>
      </c>
      <c r="I223" s="6">
        <v>14.577923044381601</v>
      </c>
      <c r="J223" s="6">
        <v>14.577923044381601</v>
      </c>
      <c r="K223" s="6">
        <v>0.94874688043864297</v>
      </c>
      <c r="L223" s="6">
        <v>0.94874688043864297</v>
      </c>
      <c r="M223" s="6">
        <v>0.94874688043864297</v>
      </c>
      <c r="N223" s="6">
        <v>13.629176163943001</v>
      </c>
      <c r="O223" s="6">
        <v>13.629176163943001</v>
      </c>
      <c r="P223" s="6">
        <v>13.629176163943001</v>
      </c>
      <c r="Q223" s="6">
        <v>0</v>
      </c>
      <c r="R223" s="6">
        <v>0</v>
      </c>
      <c r="S223" s="6">
        <v>0</v>
      </c>
      <c r="T223" s="6">
        <v>33.218542445279702</v>
      </c>
    </row>
    <row r="224" spans="1:20" ht="13" x14ac:dyDescent="0.15">
      <c r="A224" s="6">
        <v>222</v>
      </c>
      <c r="B224" s="7">
        <v>43482</v>
      </c>
      <c r="C224" s="6">
        <v>18.6253944159795</v>
      </c>
      <c r="D224" s="6">
        <v>0.499336962231754</v>
      </c>
      <c r="E224" s="6">
        <v>64.927809915764897</v>
      </c>
      <c r="F224" s="6">
        <v>18.6253944159795</v>
      </c>
      <c r="G224" s="6">
        <v>18.6253944159795</v>
      </c>
      <c r="H224" s="6">
        <v>13.9880559723186</v>
      </c>
      <c r="I224" s="6">
        <v>13.9880559723186</v>
      </c>
      <c r="J224" s="6">
        <v>13.9880559723186</v>
      </c>
      <c r="K224" s="6">
        <v>0.49015521355720398</v>
      </c>
      <c r="L224" s="6">
        <v>0.49015521355720398</v>
      </c>
      <c r="M224" s="6">
        <v>0.49015521355720398</v>
      </c>
      <c r="N224" s="6">
        <v>13.4979007587614</v>
      </c>
      <c r="O224" s="6">
        <v>13.4979007587614</v>
      </c>
      <c r="P224" s="6">
        <v>13.4979007587614</v>
      </c>
      <c r="Q224" s="6">
        <v>0</v>
      </c>
      <c r="R224" s="6">
        <v>0</v>
      </c>
      <c r="S224" s="6">
        <v>0</v>
      </c>
      <c r="T224" s="6">
        <v>32.613450388298098</v>
      </c>
    </row>
    <row r="225" spans="1:20" ht="13" x14ac:dyDescent="0.15">
      <c r="A225" s="6">
        <v>223</v>
      </c>
      <c r="B225" s="7">
        <v>43483</v>
      </c>
      <c r="C225" s="6">
        <v>18.610169431060999</v>
      </c>
      <c r="D225" s="6">
        <v>-1.46868099102529</v>
      </c>
      <c r="E225" s="6">
        <v>66.112314406982307</v>
      </c>
      <c r="F225" s="6">
        <v>18.610169431060999</v>
      </c>
      <c r="G225" s="6">
        <v>18.610169431060999</v>
      </c>
      <c r="H225" s="6">
        <v>13.3015467005908</v>
      </c>
      <c r="I225" s="6">
        <v>13.3015467005908</v>
      </c>
      <c r="J225" s="6">
        <v>13.3015467005908</v>
      </c>
      <c r="K225" s="6">
        <v>-2.29767650650552E-2</v>
      </c>
      <c r="L225" s="6">
        <v>-2.29767650650552E-2</v>
      </c>
      <c r="M225" s="6">
        <v>-2.29767650650552E-2</v>
      </c>
      <c r="N225" s="6">
        <v>13.324523465655799</v>
      </c>
      <c r="O225" s="6">
        <v>13.324523465655799</v>
      </c>
      <c r="P225" s="6">
        <v>13.324523465655799</v>
      </c>
      <c r="Q225" s="6">
        <v>0</v>
      </c>
      <c r="R225" s="6">
        <v>0</v>
      </c>
      <c r="S225" s="6">
        <v>0</v>
      </c>
      <c r="T225" s="6">
        <v>31.911716131651801</v>
      </c>
    </row>
    <row r="226" spans="1:20" ht="13" x14ac:dyDescent="0.15">
      <c r="A226" s="6">
        <v>224</v>
      </c>
      <c r="B226" s="7">
        <v>43487</v>
      </c>
      <c r="C226" s="6">
        <v>18.549269491387001</v>
      </c>
      <c r="D226" s="6">
        <v>-1.36079562710376</v>
      </c>
      <c r="E226" s="6">
        <v>64.508753058574598</v>
      </c>
      <c r="F226" s="6">
        <v>18.549269491387001</v>
      </c>
      <c r="G226" s="6">
        <v>18.549269491387001</v>
      </c>
      <c r="H226" s="6">
        <v>13.4414008440882</v>
      </c>
      <c r="I226" s="6">
        <v>13.4414008440882</v>
      </c>
      <c r="J226" s="6">
        <v>13.4414008440882</v>
      </c>
      <c r="K226" s="6">
        <v>0.84522403106561905</v>
      </c>
      <c r="L226" s="6">
        <v>0.84522403106561905</v>
      </c>
      <c r="M226" s="6">
        <v>0.84522403106561905</v>
      </c>
      <c r="N226" s="6">
        <v>12.5961768130226</v>
      </c>
      <c r="O226" s="6">
        <v>12.5961768130226</v>
      </c>
      <c r="P226" s="6">
        <v>12.5961768130226</v>
      </c>
      <c r="Q226" s="6">
        <v>0</v>
      </c>
      <c r="R226" s="6">
        <v>0</v>
      </c>
      <c r="S226" s="6">
        <v>0</v>
      </c>
      <c r="T226" s="6">
        <v>31.990670335475201</v>
      </c>
    </row>
    <row r="227" spans="1:20" ht="13" x14ac:dyDescent="0.15">
      <c r="A227" s="6">
        <v>225</v>
      </c>
      <c r="B227" s="7">
        <v>43488</v>
      </c>
      <c r="C227" s="6">
        <v>18.534044506468401</v>
      </c>
      <c r="D227" s="6">
        <v>-1.42104261448457</v>
      </c>
      <c r="E227" s="6">
        <v>65.446835796430904</v>
      </c>
      <c r="F227" s="6">
        <v>18.534044506468401</v>
      </c>
      <c r="G227" s="6">
        <v>18.534044506468401</v>
      </c>
      <c r="H227" s="6">
        <v>13.448701275765499</v>
      </c>
      <c r="I227" s="6">
        <v>13.448701275765499</v>
      </c>
      <c r="J227" s="6">
        <v>13.448701275765499</v>
      </c>
      <c r="K227" s="6">
        <v>0.94874688044049205</v>
      </c>
      <c r="L227" s="6">
        <v>0.94874688044049205</v>
      </c>
      <c r="M227" s="6">
        <v>0.94874688044049205</v>
      </c>
      <c r="N227" s="6">
        <v>12.499954395325</v>
      </c>
      <c r="O227" s="6">
        <v>12.499954395325</v>
      </c>
      <c r="P227" s="6">
        <v>12.499954395325</v>
      </c>
      <c r="Q227" s="6">
        <v>0</v>
      </c>
      <c r="R227" s="6">
        <v>0</v>
      </c>
      <c r="S227" s="6">
        <v>0</v>
      </c>
      <c r="T227" s="6">
        <v>31.982745782234002</v>
      </c>
    </row>
    <row r="228" spans="1:20" ht="13" x14ac:dyDescent="0.15">
      <c r="A228" s="6">
        <v>226</v>
      </c>
      <c r="B228" s="7">
        <v>43489</v>
      </c>
      <c r="C228" s="6">
        <v>18.518819521549901</v>
      </c>
      <c r="D228" s="6">
        <v>-0.64968466954656501</v>
      </c>
      <c r="E228" s="6">
        <v>63.558171057952698</v>
      </c>
      <c r="F228" s="6">
        <v>18.518819521549901</v>
      </c>
      <c r="G228" s="6">
        <v>18.518819521549901</v>
      </c>
      <c r="H228" s="6">
        <v>12.9617508394933</v>
      </c>
      <c r="I228" s="6">
        <v>12.9617508394933</v>
      </c>
      <c r="J228" s="6">
        <v>12.9617508394933</v>
      </c>
      <c r="K228" s="6">
        <v>0.49015521355436598</v>
      </c>
      <c r="L228" s="6">
        <v>0.49015521355436598</v>
      </c>
      <c r="M228" s="6">
        <v>0.49015521355436598</v>
      </c>
      <c r="N228" s="6">
        <v>12.4715956259389</v>
      </c>
      <c r="O228" s="6">
        <v>12.4715956259389</v>
      </c>
      <c r="P228" s="6">
        <v>12.4715956259389</v>
      </c>
      <c r="Q228" s="6">
        <v>0</v>
      </c>
      <c r="R228" s="6">
        <v>0</v>
      </c>
      <c r="S228" s="6">
        <v>0</v>
      </c>
      <c r="T228" s="6">
        <v>31.480570361043299</v>
      </c>
    </row>
    <row r="229" spans="1:20" ht="13" x14ac:dyDescent="0.15">
      <c r="A229" s="6">
        <v>227</v>
      </c>
      <c r="B229" s="7">
        <v>43490</v>
      </c>
      <c r="C229" s="6">
        <v>18.5035945366314</v>
      </c>
      <c r="D229" s="6">
        <v>0.484934624511551</v>
      </c>
      <c r="E229" s="6">
        <v>63.063525138007499</v>
      </c>
      <c r="F229" s="6">
        <v>18.5035945366314</v>
      </c>
      <c r="G229" s="6">
        <v>18.5035945366314</v>
      </c>
      <c r="H229" s="6">
        <v>12.501098509064001</v>
      </c>
      <c r="I229" s="6">
        <v>12.501098509064001</v>
      </c>
      <c r="J229" s="6">
        <v>12.501098509064001</v>
      </c>
      <c r="K229" s="6">
        <v>-2.2976765067667399E-2</v>
      </c>
      <c r="L229" s="6">
        <v>-2.2976765067667399E-2</v>
      </c>
      <c r="M229" s="6">
        <v>-2.2976765067667399E-2</v>
      </c>
      <c r="N229" s="6">
        <v>12.524075274131601</v>
      </c>
      <c r="O229" s="6">
        <v>12.524075274131601</v>
      </c>
      <c r="P229" s="6">
        <v>12.524075274131601</v>
      </c>
      <c r="Q229" s="6">
        <v>0</v>
      </c>
      <c r="R229" s="6">
        <v>0</v>
      </c>
      <c r="S229" s="6">
        <v>0</v>
      </c>
      <c r="T229" s="6">
        <v>31.004693045695401</v>
      </c>
    </row>
    <row r="230" spans="1:20" ht="13" x14ac:dyDescent="0.15">
      <c r="A230" s="6">
        <v>228</v>
      </c>
      <c r="B230" s="7">
        <v>43493</v>
      </c>
      <c r="C230" s="6">
        <v>18.457919581875899</v>
      </c>
      <c r="D230" s="6">
        <v>1.0711920891220299</v>
      </c>
      <c r="E230" s="6">
        <v>63.859452946793603</v>
      </c>
      <c r="F230" s="6">
        <v>18.457919581875899</v>
      </c>
      <c r="G230" s="6">
        <v>18.457919581875899</v>
      </c>
      <c r="H230" s="6">
        <v>15.072639055734999</v>
      </c>
      <c r="I230" s="6">
        <v>15.072639055734999</v>
      </c>
      <c r="J230" s="6">
        <v>15.072639055734999</v>
      </c>
      <c r="K230" s="6">
        <v>1.8228906089364401</v>
      </c>
      <c r="L230" s="6">
        <v>1.8228906089364401</v>
      </c>
      <c r="M230" s="6">
        <v>1.8228906089364401</v>
      </c>
      <c r="N230" s="6">
        <v>13.2497484467986</v>
      </c>
      <c r="O230" s="6">
        <v>13.2497484467986</v>
      </c>
      <c r="P230" s="6">
        <v>13.2497484467986</v>
      </c>
      <c r="Q230" s="6">
        <v>0</v>
      </c>
      <c r="R230" s="6">
        <v>0</v>
      </c>
      <c r="S230" s="6">
        <v>0</v>
      </c>
      <c r="T230" s="6">
        <v>33.530558637610902</v>
      </c>
    </row>
    <row r="231" spans="1:20" ht="13" x14ac:dyDescent="0.15">
      <c r="A231" s="6">
        <v>229</v>
      </c>
      <c r="B231" s="7">
        <v>43494</v>
      </c>
      <c r="C231" s="6">
        <v>18.442694596957399</v>
      </c>
      <c r="D231" s="6">
        <v>0.53693987175121805</v>
      </c>
      <c r="E231" s="6">
        <v>63.243184572817903</v>
      </c>
      <c r="F231" s="6">
        <v>18.442694596957399</v>
      </c>
      <c r="G231" s="6">
        <v>18.442694596957399</v>
      </c>
      <c r="H231" s="6">
        <v>14.536294789878101</v>
      </c>
      <c r="I231" s="6">
        <v>14.536294789878101</v>
      </c>
      <c r="J231" s="6">
        <v>14.536294789878101</v>
      </c>
      <c r="K231" s="6">
        <v>0.84522403106497401</v>
      </c>
      <c r="L231" s="6">
        <v>0.84522403106497401</v>
      </c>
      <c r="M231" s="6">
        <v>0.84522403106497401</v>
      </c>
      <c r="N231" s="6">
        <v>13.691070758813099</v>
      </c>
      <c r="O231" s="6">
        <v>13.691070758813099</v>
      </c>
      <c r="P231" s="6">
        <v>13.691070758813099</v>
      </c>
      <c r="Q231" s="6">
        <v>0</v>
      </c>
      <c r="R231" s="6">
        <v>0</v>
      </c>
      <c r="S231" s="6">
        <v>0</v>
      </c>
      <c r="T231" s="6">
        <v>32.978989386835501</v>
      </c>
    </row>
    <row r="232" spans="1:20" ht="13" x14ac:dyDescent="0.15">
      <c r="A232" s="6">
        <v>230</v>
      </c>
      <c r="B232" s="7">
        <v>43495</v>
      </c>
      <c r="C232" s="6">
        <v>18.427469612038902</v>
      </c>
      <c r="D232" s="6">
        <v>2.80213068401385</v>
      </c>
      <c r="E232" s="6">
        <v>67.9140358808977</v>
      </c>
      <c r="F232" s="6">
        <v>18.427469612038902</v>
      </c>
      <c r="G232" s="6">
        <v>18.427469612038902</v>
      </c>
      <c r="H232" s="6">
        <v>15.1763883652016</v>
      </c>
      <c r="I232" s="6">
        <v>15.1763883652016</v>
      </c>
      <c r="J232" s="6">
        <v>15.1763883652016</v>
      </c>
      <c r="K232" s="6">
        <v>0.94874688043490896</v>
      </c>
      <c r="L232" s="6">
        <v>0.94874688043490896</v>
      </c>
      <c r="M232" s="6">
        <v>0.94874688043490896</v>
      </c>
      <c r="N232" s="6">
        <v>14.2276414847667</v>
      </c>
      <c r="O232" s="6">
        <v>14.2276414847667</v>
      </c>
      <c r="P232" s="6">
        <v>14.2276414847667</v>
      </c>
      <c r="Q232" s="6">
        <v>0</v>
      </c>
      <c r="R232" s="6">
        <v>0</v>
      </c>
      <c r="S232" s="6">
        <v>0</v>
      </c>
      <c r="T232" s="6">
        <v>33.603857977240501</v>
      </c>
    </row>
    <row r="233" spans="1:20" ht="13" x14ac:dyDescent="0.15">
      <c r="A233" s="6">
        <v>231</v>
      </c>
      <c r="B233" s="7">
        <v>43496</v>
      </c>
      <c r="C233" s="6">
        <v>18.412244627120302</v>
      </c>
      <c r="D233" s="6">
        <v>-2.9066226517597701E-2</v>
      </c>
      <c r="E233" s="6">
        <v>66.464921952144095</v>
      </c>
      <c r="F233" s="6">
        <v>18.412244627120302</v>
      </c>
      <c r="G233" s="6">
        <v>18.412244627120302</v>
      </c>
      <c r="H233" s="6">
        <v>15.341186464084901</v>
      </c>
      <c r="I233" s="6">
        <v>15.341186464084901</v>
      </c>
      <c r="J233" s="6">
        <v>15.341186464084901</v>
      </c>
      <c r="K233" s="6">
        <v>0.49015521355883301</v>
      </c>
      <c r="L233" s="6">
        <v>0.49015521355883301</v>
      </c>
      <c r="M233" s="6">
        <v>0.49015521355883301</v>
      </c>
      <c r="N233" s="6">
        <v>14.8510312505261</v>
      </c>
      <c r="O233" s="6">
        <v>14.8510312505261</v>
      </c>
      <c r="P233" s="6">
        <v>14.8510312505261</v>
      </c>
      <c r="Q233" s="6">
        <v>0</v>
      </c>
      <c r="R233" s="6">
        <v>0</v>
      </c>
      <c r="S233" s="6">
        <v>0</v>
      </c>
      <c r="T233" s="6">
        <v>33.7534310912053</v>
      </c>
    </row>
    <row r="234" spans="1:20" ht="13" x14ac:dyDescent="0.15">
      <c r="A234" s="6">
        <v>232</v>
      </c>
      <c r="B234" s="7">
        <v>43497</v>
      </c>
      <c r="C234" s="6">
        <v>18.397019642201801</v>
      </c>
      <c r="D234" s="6">
        <v>1.3519435092129299</v>
      </c>
      <c r="E234" s="6">
        <v>65.871182581361595</v>
      </c>
      <c r="F234" s="6">
        <v>18.397019642201801</v>
      </c>
      <c r="G234" s="6">
        <v>18.397019642201801</v>
      </c>
      <c r="H234" s="6">
        <v>15.526170012964</v>
      </c>
      <c r="I234" s="6">
        <v>15.526170012964</v>
      </c>
      <c r="J234" s="6">
        <v>15.526170012964</v>
      </c>
      <c r="K234" s="6">
        <v>-2.29767650613854E-2</v>
      </c>
      <c r="L234" s="6">
        <v>-2.29767650613854E-2</v>
      </c>
      <c r="M234" s="6">
        <v>-2.29767650613854E-2</v>
      </c>
      <c r="N234" s="6">
        <v>15.549146778025399</v>
      </c>
      <c r="O234" s="6">
        <v>15.549146778025399</v>
      </c>
      <c r="P234" s="6">
        <v>15.549146778025399</v>
      </c>
      <c r="Q234" s="6">
        <v>0</v>
      </c>
      <c r="R234" s="6">
        <v>0</v>
      </c>
      <c r="S234" s="6">
        <v>0</v>
      </c>
      <c r="T234" s="6">
        <v>33.923189655165899</v>
      </c>
    </row>
    <row r="235" spans="1:20" ht="13" x14ac:dyDescent="0.15">
      <c r="A235" s="6">
        <v>233</v>
      </c>
      <c r="B235" s="7">
        <v>43500</v>
      </c>
      <c r="C235" s="6">
        <v>18.3513446874463</v>
      </c>
      <c r="D235" s="6">
        <v>5.34789858922551</v>
      </c>
      <c r="E235" s="6">
        <v>70.092140731009394</v>
      </c>
      <c r="F235" s="6">
        <v>18.3513446874463</v>
      </c>
      <c r="G235" s="6">
        <v>18.3513446874463</v>
      </c>
      <c r="H235" s="6">
        <v>19.745169643281798</v>
      </c>
      <c r="I235" s="6">
        <v>19.745169643281798</v>
      </c>
      <c r="J235" s="6">
        <v>19.745169643281798</v>
      </c>
      <c r="K235" s="6">
        <v>1.8228906089369401</v>
      </c>
      <c r="L235" s="6">
        <v>1.8228906089369401</v>
      </c>
      <c r="M235" s="6">
        <v>1.8228906089369401</v>
      </c>
      <c r="N235" s="6">
        <v>17.9222790343448</v>
      </c>
      <c r="O235" s="6">
        <v>17.9222790343448</v>
      </c>
      <c r="P235" s="6">
        <v>17.9222790343448</v>
      </c>
      <c r="Q235" s="6">
        <v>0</v>
      </c>
      <c r="R235" s="6">
        <v>0</v>
      </c>
      <c r="S235" s="6">
        <v>0</v>
      </c>
      <c r="T235" s="6">
        <v>38.096514330728098</v>
      </c>
    </row>
    <row r="236" spans="1:20" ht="13" x14ac:dyDescent="0.15">
      <c r="A236" s="6">
        <v>234</v>
      </c>
      <c r="B236" s="7">
        <v>43501</v>
      </c>
      <c r="C236" s="6">
        <v>18.3361197025278</v>
      </c>
      <c r="D236" s="6">
        <v>5.9995832765810801</v>
      </c>
      <c r="E236" s="6">
        <v>70.045563926194703</v>
      </c>
      <c r="F236" s="6">
        <v>18.3361197025278</v>
      </c>
      <c r="G236" s="6">
        <v>18.3361197025278</v>
      </c>
      <c r="H236" s="6">
        <v>19.581748897677599</v>
      </c>
      <c r="I236" s="6">
        <v>19.581748897677599</v>
      </c>
      <c r="J236" s="6">
        <v>19.581748897677599</v>
      </c>
      <c r="K236" s="6">
        <v>0.84522403106432897</v>
      </c>
      <c r="L236" s="6">
        <v>0.84522403106432897</v>
      </c>
      <c r="M236" s="6">
        <v>0.84522403106432897</v>
      </c>
      <c r="N236" s="6">
        <v>18.736524866613198</v>
      </c>
      <c r="O236" s="6">
        <v>18.736524866613198</v>
      </c>
      <c r="P236" s="6">
        <v>18.736524866613198</v>
      </c>
      <c r="Q236" s="6">
        <v>0</v>
      </c>
      <c r="R236" s="6">
        <v>0</v>
      </c>
      <c r="S236" s="6">
        <v>0</v>
      </c>
      <c r="T236" s="6">
        <v>37.917868600205402</v>
      </c>
    </row>
    <row r="237" spans="1:20" ht="13" x14ac:dyDescent="0.15">
      <c r="A237" s="6">
        <v>235</v>
      </c>
      <c r="B237" s="7">
        <v>43502</v>
      </c>
      <c r="C237" s="6">
        <v>18.320894717609299</v>
      </c>
      <c r="D237" s="6">
        <v>6.6825710222319898</v>
      </c>
      <c r="E237" s="6">
        <v>70.019799747258702</v>
      </c>
      <c r="F237" s="6">
        <v>18.320894717609299</v>
      </c>
      <c r="G237" s="6">
        <v>18.320894717609299</v>
      </c>
      <c r="H237" s="6">
        <v>20.471537478341599</v>
      </c>
      <c r="I237" s="6">
        <v>20.471537478341599</v>
      </c>
      <c r="J237" s="6">
        <v>20.471537478341599</v>
      </c>
      <c r="K237" s="6">
        <v>0.94874688043468602</v>
      </c>
      <c r="L237" s="6">
        <v>0.94874688043468602</v>
      </c>
      <c r="M237" s="6">
        <v>0.94874688043468602</v>
      </c>
      <c r="N237" s="6">
        <v>19.522790597906901</v>
      </c>
      <c r="O237" s="6">
        <v>19.522790597906901</v>
      </c>
      <c r="P237" s="6">
        <v>19.522790597906901</v>
      </c>
      <c r="Q237" s="6">
        <v>0</v>
      </c>
      <c r="R237" s="6">
        <v>0</v>
      </c>
      <c r="S237" s="6">
        <v>0</v>
      </c>
      <c r="T237" s="6">
        <v>38.792432195950902</v>
      </c>
    </row>
    <row r="238" spans="1:20" ht="13" x14ac:dyDescent="0.15">
      <c r="A238" s="6">
        <v>236</v>
      </c>
      <c r="B238" s="7">
        <v>43503</v>
      </c>
      <c r="C238" s="6">
        <v>18.305669732690699</v>
      </c>
      <c r="D238" s="6">
        <v>5.7196785890672599</v>
      </c>
      <c r="E238" s="6">
        <v>71.091008890097697</v>
      </c>
      <c r="F238" s="6">
        <v>18.305669732690699</v>
      </c>
      <c r="G238" s="6">
        <v>18.305669732690699</v>
      </c>
      <c r="H238" s="6">
        <v>20.745958543116899</v>
      </c>
      <c r="I238" s="6">
        <v>20.745958543116899</v>
      </c>
      <c r="J238" s="6">
        <v>20.745958543116899</v>
      </c>
      <c r="K238" s="6">
        <v>0.49015521355599601</v>
      </c>
      <c r="L238" s="6">
        <v>0.49015521355599601</v>
      </c>
      <c r="M238" s="6">
        <v>0.49015521355599601</v>
      </c>
      <c r="N238" s="6">
        <v>20.255803329560901</v>
      </c>
      <c r="O238" s="6">
        <v>20.255803329560901</v>
      </c>
      <c r="P238" s="6">
        <v>20.255803329560901</v>
      </c>
      <c r="Q238" s="6">
        <v>0</v>
      </c>
      <c r="R238" s="6">
        <v>0</v>
      </c>
      <c r="S238" s="6">
        <v>0</v>
      </c>
      <c r="T238" s="6">
        <v>39.051628275807602</v>
      </c>
    </row>
    <row r="239" spans="1:20" ht="13" x14ac:dyDescent="0.15">
      <c r="A239" s="6">
        <v>237</v>
      </c>
      <c r="B239" s="7">
        <v>43504</v>
      </c>
      <c r="C239" s="6">
        <v>18.290444747772199</v>
      </c>
      <c r="D239" s="6">
        <v>5.2408337271786296</v>
      </c>
      <c r="E239" s="6">
        <v>69.133750773704094</v>
      </c>
      <c r="F239" s="6">
        <v>18.290444747772199</v>
      </c>
      <c r="G239" s="6">
        <v>18.290444747772199</v>
      </c>
      <c r="H239" s="6">
        <v>20.887244572468301</v>
      </c>
      <c r="I239" s="6">
        <v>20.887244572468301</v>
      </c>
      <c r="J239" s="6">
        <v>20.887244572468301</v>
      </c>
      <c r="K239" s="6">
        <v>-2.2976765063997501E-2</v>
      </c>
      <c r="L239" s="6">
        <v>-2.2976765063997501E-2</v>
      </c>
      <c r="M239" s="6">
        <v>-2.2976765063997501E-2</v>
      </c>
      <c r="N239" s="6">
        <v>20.910221337532299</v>
      </c>
      <c r="O239" s="6">
        <v>20.910221337532299</v>
      </c>
      <c r="P239" s="6">
        <v>20.910221337532299</v>
      </c>
      <c r="Q239" s="6">
        <v>0</v>
      </c>
      <c r="R239" s="6">
        <v>0</v>
      </c>
      <c r="S239" s="6">
        <v>0</v>
      </c>
      <c r="T239" s="6">
        <v>39.177689320240603</v>
      </c>
    </row>
    <row r="240" spans="1:20" ht="13" x14ac:dyDescent="0.15">
      <c r="A240" s="6">
        <v>238</v>
      </c>
      <c r="B240" s="7">
        <v>43507</v>
      </c>
      <c r="C240" s="6">
        <v>18.244769793016701</v>
      </c>
      <c r="D240" s="6">
        <v>7.3023890359754997</v>
      </c>
      <c r="E240" s="6">
        <v>72.790315068665393</v>
      </c>
      <c r="F240" s="6">
        <v>18.244769793016701</v>
      </c>
      <c r="G240" s="6">
        <v>18.244769793016701</v>
      </c>
      <c r="H240" s="6">
        <v>23.984972280646701</v>
      </c>
      <c r="I240" s="6">
        <v>23.984972280646701</v>
      </c>
      <c r="J240" s="6">
        <v>23.984972280646701</v>
      </c>
      <c r="K240" s="6">
        <v>1.82289060893591</v>
      </c>
      <c r="L240" s="6">
        <v>1.82289060893591</v>
      </c>
      <c r="M240" s="6">
        <v>1.82289060893591</v>
      </c>
      <c r="N240" s="6">
        <v>22.162081671710801</v>
      </c>
      <c r="O240" s="6">
        <v>22.162081671710801</v>
      </c>
      <c r="P240" s="6">
        <v>22.162081671710801</v>
      </c>
      <c r="Q240" s="6">
        <v>0</v>
      </c>
      <c r="R240" s="6">
        <v>0</v>
      </c>
      <c r="S240" s="6">
        <v>0</v>
      </c>
      <c r="T240" s="6">
        <v>42.229742073663402</v>
      </c>
    </row>
    <row r="241" spans="1:20" ht="13" x14ac:dyDescent="0.15">
      <c r="A241" s="6">
        <v>239</v>
      </c>
      <c r="B241" s="7">
        <v>43508</v>
      </c>
      <c r="C241" s="6">
        <v>18.229544808098201</v>
      </c>
      <c r="D241" s="6">
        <v>8.4834189572173599</v>
      </c>
      <c r="E241" s="6">
        <v>72.381895591101795</v>
      </c>
      <c r="F241" s="6">
        <v>18.229544808098201</v>
      </c>
      <c r="G241" s="6">
        <v>18.229544808098201</v>
      </c>
      <c r="H241" s="6">
        <v>23.1167541686535</v>
      </c>
      <c r="I241" s="6">
        <v>23.1167541686535</v>
      </c>
      <c r="J241" s="6">
        <v>23.1167541686535</v>
      </c>
      <c r="K241" s="6">
        <v>0.84522403106515698</v>
      </c>
      <c r="L241" s="6">
        <v>0.84522403106515698</v>
      </c>
      <c r="M241" s="6">
        <v>0.84522403106515698</v>
      </c>
      <c r="N241" s="6">
        <v>22.2715301375883</v>
      </c>
      <c r="O241" s="6">
        <v>22.2715301375883</v>
      </c>
      <c r="P241" s="6">
        <v>22.2715301375883</v>
      </c>
      <c r="Q241" s="6">
        <v>0</v>
      </c>
      <c r="R241" s="6">
        <v>0</v>
      </c>
      <c r="S241" s="6">
        <v>0</v>
      </c>
      <c r="T241" s="6">
        <v>41.346298976751697</v>
      </c>
    </row>
    <row r="242" spans="1:20" ht="13" x14ac:dyDescent="0.15">
      <c r="A242" s="6">
        <v>240</v>
      </c>
      <c r="B242" s="7">
        <v>43509</v>
      </c>
      <c r="C242" s="6">
        <v>18.2143198231797</v>
      </c>
      <c r="D242" s="6">
        <v>9.6626036977244691</v>
      </c>
      <c r="E242" s="6">
        <v>73.298713628568805</v>
      </c>
      <c r="F242" s="6">
        <v>18.2143198231797</v>
      </c>
      <c r="G242" s="6">
        <v>18.2143198231797</v>
      </c>
      <c r="H242" s="6">
        <v>23.147225430685602</v>
      </c>
      <c r="I242" s="6">
        <v>23.147225430685602</v>
      </c>
      <c r="J242" s="6">
        <v>23.147225430685602</v>
      </c>
      <c r="K242" s="6">
        <v>0.94874688043653499</v>
      </c>
      <c r="L242" s="6">
        <v>0.94874688043653499</v>
      </c>
      <c r="M242" s="6">
        <v>0.94874688043653499</v>
      </c>
      <c r="N242" s="6">
        <v>22.198478550249099</v>
      </c>
      <c r="O242" s="6">
        <v>22.198478550249099</v>
      </c>
      <c r="P242" s="6">
        <v>22.198478550249099</v>
      </c>
      <c r="Q242" s="6">
        <v>0</v>
      </c>
      <c r="R242" s="6">
        <v>0</v>
      </c>
      <c r="S242" s="6">
        <v>0</v>
      </c>
      <c r="T242" s="6">
        <v>41.361545253865302</v>
      </c>
    </row>
    <row r="243" spans="1:20" ht="13" x14ac:dyDescent="0.15">
      <c r="A243" s="6">
        <v>241</v>
      </c>
      <c r="B243" s="7">
        <v>43510</v>
      </c>
      <c r="C243" s="6">
        <v>18.1990948382612</v>
      </c>
      <c r="D243" s="6">
        <v>6.7224568470234196</v>
      </c>
      <c r="E243" s="6">
        <v>73.871565309467897</v>
      </c>
      <c r="F243" s="6">
        <v>18.1990948382612</v>
      </c>
      <c r="G243" s="6">
        <v>18.1990948382612</v>
      </c>
      <c r="H243" s="6">
        <v>22.421110629683199</v>
      </c>
      <c r="I243" s="6">
        <v>22.421110629683199</v>
      </c>
      <c r="J243" s="6">
        <v>22.421110629683199</v>
      </c>
      <c r="K243" s="6">
        <v>0.49015521355717501</v>
      </c>
      <c r="L243" s="6">
        <v>0.49015521355717501</v>
      </c>
      <c r="M243" s="6">
        <v>0.49015521355717501</v>
      </c>
      <c r="N243" s="6">
        <v>21.930955416126</v>
      </c>
      <c r="O243" s="6">
        <v>21.930955416126</v>
      </c>
      <c r="P243" s="6">
        <v>21.930955416126</v>
      </c>
      <c r="Q243" s="6">
        <v>0</v>
      </c>
      <c r="R243" s="6">
        <v>0</v>
      </c>
      <c r="S243" s="6">
        <v>0</v>
      </c>
      <c r="T243" s="6">
        <v>40.620205467944402</v>
      </c>
    </row>
    <row r="244" spans="1:20" ht="13" x14ac:dyDescent="0.15">
      <c r="A244" s="6">
        <v>242</v>
      </c>
      <c r="B244" s="7">
        <v>43511</v>
      </c>
      <c r="C244" s="6">
        <v>18.194689287398599</v>
      </c>
      <c r="D244" s="6">
        <v>9.1098789653530901</v>
      </c>
      <c r="E244" s="6">
        <v>70.297669735316802</v>
      </c>
      <c r="F244" s="6">
        <v>18.194689287398599</v>
      </c>
      <c r="G244" s="6">
        <v>18.194689287398599</v>
      </c>
      <c r="H244" s="6">
        <v>21.438050417581302</v>
      </c>
      <c r="I244" s="6">
        <v>21.438050417581302</v>
      </c>
      <c r="J244" s="6">
        <v>21.438050417581302</v>
      </c>
      <c r="K244" s="6">
        <v>-2.29767650620511E-2</v>
      </c>
      <c r="L244" s="6">
        <v>-2.29767650620511E-2</v>
      </c>
      <c r="M244" s="6">
        <v>-2.29767650620511E-2</v>
      </c>
      <c r="N244" s="6">
        <v>21.461027182643299</v>
      </c>
      <c r="O244" s="6">
        <v>21.461027182643299</v>
      </c>
      <c r="P244" s="6">
        <v>21.461027182643299</v>
      </c>
      <c r="Q244" s="6">
        <v>0</v>
      </c>
      <c r="R244" s="6">
        <v>0</v>
      </c>
      <c r="S244" s="6">
        <v>0</v>
      </c>
      <c r="T244" s="6">
        <v>39.632739704979997</v>
      </c>
    </row>
    <row r="245" spans="1:20" ht="13" x14ac:dyDescent="0.15">
      <c r="A245" s="6">
        <v>243</v>
      </c>
      <c r="B245" s="7">
        <v>43515</v>
      </c>
      <c r="C245" s="6">
        <v>18.177067083948501</v>
      </c>
      <c r="D245" s="6">
        <v>2.1532426827680999</v>
      </c>
      <c r="E245" s="6">
        <v>66.309742879509699</v>
      </c>
      <c r="F245" s="6">
        <v>18.177067083948501</v>
      </c>
      <c r="G245" s="6">
        <v>18.177067083948501</v>
      </c>
      <c r="H245" s="6">
        <v>18.398082308830901</v>
      </c>
      <c r="I245" s="6">
        <v>18.398082308830901</v>
      </c>
      <c r="J245" s="6">
        <v>18.398082308830901</v>
      </c>
      <c r="K245" s="6">
        <v>0.84522403106451205</v>
      </c>
      <c r="L245" s="6">
        <v>0.84522403106451205</v>
      </c>
      <c r="M245" s="6">
        <v>0.84522403106451205</v>
      </c>
      <c r="N245" s="6">
        <v>17.552858277766301</v>
      </c>
      <c r="O245" s="6">
        <v>17.552858277766301</v>
      </c>
      <c r="P245" s="6">
        <v>17.552858277766301</v>
      </c>
      <c r="Q245" s="6">
        <v>0</v>
      </c>
      <c r="R245" s="6">
        <v>0</v>
      </c>
      <c r="S245" s="6">
        <v>0</v>
      </c>
      <c r="T245" s="6">
        <v>36.575149392779402</v>
      </c>
    </row>
    <row r="246" spans="1:20" ht="13" x14ac:dyDescent="0.15">
      <c r="A246" s="6">
        <v>244</v>
      </c>
      <c r="B246" s="7">
        <v>43516</v>
      </c>
      <c r="C246" s="6">
        <v>18.172661533086</v>
      </c>
      <c r="D246" s="6">
        <v>1.76104050847174</v>
      </c>
      <c r="E246" s="6">
        <v>67.816455281462197</v>
      </c>
      <c r="F246" s="6">
        <v>18.172661533086</v>
      </c>
      <c r="G246" s="6">
        <v>18.172661533086</v>
      </c>
      <c r="H246" s="6">
        <v>17.055759944363899</v>
      </c>
      <c r="I246" s="6">
        <v>17.055759944363899</v>
      </c>
      <c r="J246" s="6">
        <v>17.055759944363899</v>
      </c>
      <c r="K246" s="6">
        <v>0.94874688043838395</v>
      </c>
      <c r="L246" s="6">
        <v>0.94874688043838395</v>
      </c>
      <c r="M246" s="6">
        <v>0.94874688043838395</v>
      </c>
      <c r="N246" s="6">
        <v>16.1070130639255</v>
      </c>
      <c r="O246" s="6">
        <v>16.1070130639255</v>
      </c>
      <c r="P246" s="6">
        <v>16.1070130639255</v>
      </c>
      <c r="Q246" s="6">
        <v>0</v>
      </c>
      <c r="R246" s="6">
        <v>0</v>
      </c>
      <c r="S246" s="6">
        <v>0</v>
      </c>
      <c r="T246" s="6">
        <v>35.228421477449899</v>
      </c>
    </row>
    <row r="247" spans="1:20" ht="13" x14ac:dyDescent="0.15">
      <c r="A247" s="6">
        <v>245</v>
      </c>
      <c r="B247" s="7">
        <v>43517</v>
      </c>
      <c r="C247" s="6">
        <v>18.1682559822234</v>
      </c>
      <c r="D247" s="6">
        <v>3.1954262235375901</v>
      </c>
      <c r="E247" s="6">
        <v>66.457424505751206</v>
      </c>
      <c r="F247" s="6">
        <v>18.1682559822234</v>
      </c>
      <c r="G247" s="6">
        <v>18.1682559822234</v>
      </c>
      <c r="H247" s="6">
        <v>14.9942556448944</v>
      </c>
      <c r="I247" s="6">
        <v>14.9942556448944</v>
      </c>
      <c r="J247" s="6">
        <v>14.9942556448944</v>
      </c>
      <c r="K247" s="6">
        <v>0.49015521355835401</v>
      </c>
      <c r="L247" s="6">
        <v>0.49015521355835401</v>
      </c>
      <c r="M247" s="6">
        <v>0.49015521355835401</v>
      </c>
      <c r="N247" s="6">
        <v>14.504100431335999</v>
      </c>
      <c r="O247" s="6">
        <v>14.504100431335999</v>
      </c>
      <c r="P247" s="6">
        <v>14.504100431335999</v>
      </c>
      <c r="Q247" s="6">
        <v>0</v>
      </c>
      <c r="R247" s="6">
        <v>0</v>
      </c>
      <c r="S247" s="6">
        <v>0</v>
      </c>
      <c r="T247" s="6">
        <v>33.162511627117901</v>
      </c>
    </row>
    <row r="248" spans="1:20" ht="13" x14ac:dyDescent="0.15">
      <c r="A248" s="6">
        <v>246</v>
      </c>
      <c r="B248" s="7">
        <v>43518</v>
      </c>
      <c r="C248" s="6">
        <v>18.163850431360899</v>
      </c>
      <c r="D248" s="6">
        <v>0.92260122521533205</v>
      </c>
      <c r="E248" s="6">
        <v>65.042564618924402</v>
      </c>
      <c r="F248" s="6">
        <v>18.163850431360899</v>
      </c>
      <c r="G248" s="6">
        <v>18.163850431360899</v>
      </c>
      <c r="H248" s="6">
        <v>12.743147506300399</v>
      </c>
      <c r="I248" s="6">
        <v>12.743147506300399</v>
      </c>
      <c r="J248" s="6">
        <v>12.743147506300399</v>
      </c>
      <c r="K248" s="6">
        <v>-2.2976765064886301E-2</v>
      </c>
      <c r="L248" s="6">
        <v>-2.2976765064886301E-2</v>
      </c>
      <c r="M248" s="6">
        <v>-2.2976765064886301E-2</v>
      </c>
      <c r="N248" s="6">
        <v>12.7661242713653</v>
      </c>
      <c r="O248" s="6">
        <v>12.7661242713653</v>
      </c>
      <c r="P248" s="6">
        <v>12.7661242713653</v>
      </c>
      <c r="Q248" s="6">
        <v>0</v>
      </c>
      <c r="R248" s="6">
        <v>0</v>
      </c>
      <c r="S248" s="6">
        <v>0</v>
      </c>
      <c r="T248" s="6">
        <v>30.906997937661298</v>
      </c>
    </row>
    <row r="249" spans="1:20" ht="13" x14ac:dyDescent="0.15">
      <c r="A249" s="6">
        <v>247</v>
      </c>
      <c r="B249" s="7">
        <v>43521</v>
      </c>
      <c r="C249" s="6">
        <v>18.150633778773301</v>
      </c>
      <c r="D249" s="6">
        <v>-4.9930830423536996</v>
      </c>
      <c r="E249" s="6">
        <v>60.071683628888799</v>
      </c>
      <c r="F249" s="6">
        <v>18.150633778773301</v>
      </c>
      <c r="G249" s="6">
        <v>18.150633778773301</v>
      </c>
      <c r="H249" s="6">
        <v>8.8289671256458906</v>
      </c>
      <c r="I249" s="6">
        <v>8.8289671256458906</v>
      </c>
      <c r="J249" s="6">
        <v>8.8289671256458906</v>
      </c>
      <c r="K249" s="6">
        <v>1.82289060893812</v>
      </c>
      <c r="L249" s="6">
        <v>1.82289060893812</v>
      </c>
      <c r="M249" s="6">
        <v>1.82289060893812</v>
      </c>
      <c r="N249" s="6">
        <v>7.0060765167077701</v>
      </c>
      <c r="O249" s="6">
        <v>7.0060765167077701</v>
      </c>
      <c r="P249" s="6">
        <v>7.0060765167077701</v>
      </c>
      <c r="Q249" s="6">
        <v>0</v>
      </c>
      <c r="R249" s="6">
        <v>0</v>
      </c>
      <c r="S249" s="6">
        <v>0</v>
      </c>
      <c r="T249" s="6">
        <v>26.9796009044192</v>
      </c>
    </row>
    <row r="250" spans="1:20" ht="13" x14ac:dyDescent="0.15">
      <c r="A250" s="6">
        <v>248</v>
      </c>
      <c r="B250" s="7">
        <v>43522</v>
      </c>
      <c r="C250" s="6">
        <v>18.1462282279108</v>
      </c>
      <c r="D250" s="6">
        <v>-7.1118565660222002</v>
      </c>
      <c r="E250" s="6">
        <v>54.135703866046697</v>
      </c>
      <c r="F250" s="6">
        <v>18.1462282279108</v>
      </c>
      <c r="G250" s="6">
        <v>18.1462282279108</v>
      </c>
      <c r="H250" s="6">
        <v>5.8478362597497497</v>
      </c>
      <c r="I250" s="6">
        <v>5.8478362597497497</v>
      </c>
      <c r="J250" s="6">
        <v>5.8478362597497497</v>
      </c>
      <c r="K250" s="6">
        <v>0.84522403106305499</v>
      </c>
      <c r="L250" s="6">
        <v>0.84522403106305499</v>
      </c>
      <c r="M250" s="6">
        <v>0.84522403106305499</v>
      </c>
      <c r="N250" s="6">
        <v>5.0026122286866901</v>
      </c>
      <c r="O250" s="6">
        <v>5.0026122286866901</v>
      </c>
      <c r="P250" s="6">
        <v>5.0026122286866901</v>
      </c>
      <c r="Q250" s="6">
        <v>0</v>
      </c>
      <c r="R250" s="6">
        <v>0</v>
      </c>
      <c r="S250" s="6">
        <v>0</v>
      </c>
      <c r="T250" s="6">
        <v>23.994064487660498</v>
      </c>
    </row>
    <row r="251" spans="1:20" ht="13" x14ac:dyDescent="0.15">
      <c r="A251" s="6">
        <v>249</v>
      </c>
      <c r="B251" s="7">
        <v>43523</v>
      </c>
      <c r="C251" s="6">
        <v>18.1418226770482</v>
      </c>
      <c r="D251" s="6">
        <v>-9.16297003247848</v>
      </c>
      <c r="E251" s="6">
        <v>55.551533098171902</v>
      </c>
      <c r="F251" s="6">
        <v>18.1418226770482</v>
      </c>
      <c r="G251" s="6">
        <v>18.1418226770482</v>
      </c>
      <c r="H251" s="6">
        <v>3.9583594971319198</v>
      </c>
      <c r="I251" s="6">
        <v>3.9583594971319198</v>
      </c>
      <c r="J251" s="6">
        <v>3.9583594971319198</v>
      </c>
      <c r="K251" s="6">
        <v>0.94874688043816102</v>
      </c>
      <c r="L251" s="6">
        <v>0.94874688043816102</v>
      </c>
      <c r="M251" s="6">
        <v>0.94874688043816102</v>
      </c>
      <c r="N251" s="6">
        <v>3.0096126166937598</v>
      </c>
      <c r="O251" s="6">
        <v>3.0096126166937598</v>
      </c>
      <c r="P251" s="6">
        <v>3.0096126166937598</v>
      </c>
      <c r="Q251" s="6">
        <v>0</v>
      </c>
      <c r="R251" s="6">
        <v>0</v>
      </c>
      <c r="S251" s="6">
        <v>0</v>
      </c>
      <c r="T251" s="6">
        <v>22.100182174180102</v>
      </c>
    </row>
    <row r="252" spans="1:20" ht="13" x14ac:dyDescent="0.15">
      <c r="A252" s="6">
        <v>250</v>
      </c>
      <c r="B252" s="7">
        <v>43524</v>
      </c>
      <c r="C252" s="6">
        <v>18.137417126185699</v>
      </c>
      <c r="D252" s="6">
        <v>-13.857813727746199</v>
      </c>
      <c r="E252" s="6">
        <v>50.596879471986398</v>
      </c>
      <c r="F252" s="6">
        <v>18.137417126185699</v>
      </c>
      <c r="G252" s="6">
        <v>18.137417126185699</v>
      </c>
      <c r="H252" s="6">
        <v>1.5487867568476099</v>
      </c>
      <c r="I252" s="6">
        <v>1.5487867568476099</v>
      </c>
      <c r="J252" s="6">
        <v>1.5487867568476099</v>
      </c>
      <c r="K252" s="6">
        <v>0.49015521355880398</v>
      </c>
      <c r="L252" s="6">
        <v>0.49015521355880398</v>
      </c>
      <c r="M252" s="6">
        <v>0.49015521355880398</v>
      </c>
      <c r="N252" s="6">
        <v>1.05863154328881</v>
      </c>
      <c r="O252" s="6">
        <v>1.05863154328881</v>
      </c>
      <c r="P252" s="6">
        <v>1.05863154328881</v>
      </c>
      <c r="Q252" s="6">
        <v>0</v>
      </c>
      <c r="R252" s="6">
        <v>0</v>
      </c>
      <c r="S252" s="6">
        <v>0</v>
      </c>
      <c r="T252" s="6">
        <v>19.686203883033301</v>
      </c>
    </row>
    <row r="253" spans="1:20" ht="13" x14ac:dyDescent="0.15">
      <c r="A253" s="6">
        <v>251</v>
      </c>
      <c r="B253" s="7">
        <v>43525</v>
      </c>
      <c r="C253" s="6">
        <v>18.133011575323199</v>
      </c>
      <c r="D253" s="6">
        <v>-13.7177869122548</v>
      </c>
      <c r="E253" s="6">
        <v>50.193363464119599</v>
      </c>
      <c r="F253" s="6">
        <v>18.133011575323199</v>
      </c>
      <c r="G253" s="6">
        <v>18.133011575323199</v>
      </c>
      <c r="H253" s="6">
        <v>-0.84259887408129996</v>
      </c>
      <c r="I253" s="6">
        <v>-0.84259887408129996</v>
      </c>
      <c r="J253" s="6">
        <v>-0.84259887408129996</v>
      </c>
      <c r="K253" s="6">
        <v>-2.29767650629399E-2</v>
      </c>
      <c r="L253" s="6">
        <v>-2.29767650629399E-2</v>
      </c>
      <c r="M253" s="6">
        <v>-2.29767650629399E-2</v>
      </c>
      <c r="N253" s="6">
        <v>-0.81962210901835997</v>
      </c>
      <c r="O253" s="6">
        <v>-0.81962210901835997</v>
      </c>
      <c r="P253" s="6">
        <v>-0.81962210901835997</v>
      </c>
      <c r="Q253" s="6">
        <v>0</v>
      </c>
      <c r="R253" s="6">
        <v>0</v>
      </c>
      <c r="S253" s="6">
        <v>0</v>
      </c>
      <c r="T253" s="6">
        <v>17.290412701241902</v>
      </c>
    </row>
    <row r="254" spans="1:20" ht="13" x14ac:dyDescent="0.15">
      <c r="A254" s="6">
        <v>252</v>
      </c>
      <c r="B254" s="7">
        <v>43528</v>
      </c>
      <c r="C254" s="6">
        <v>18.119794922735601</v>
      </c>
      <c r="D254" s="6">
        <v>-15.314552974881201</v>
      </c>
      <c r="E254" s="6">
        <v>44.903392125237097</v>
      </c>
      <c r="F254" s="6">
        <v>18.119794922735601</v>
      </c>
      <c r="G254" s="6">
        <v>18.119794922735601</v>
      </c>
      <c r="H254" s="6">
        <v>-3.9149276981795502</v>
      </c>
      <c r="I254" s="6">
        <v>-3.9149276981795502</v>
      </c>
      <c r="J254" s="6">
        <v>-3.9149276981795502</v>
      </c>
      <c r="K254" s="6">
        <v>1.82289060893984</v>
      </c>
      <c r="L254" s="6">
        <v>1.82289060893984</v>
      </c>
      <c r="M254" s="6">
        <v>1.82289060893984</v>
      </c>
      <c r="N254" s="6">
        <v>-5.7378183071193902</v>
      </c>
      <c r="O254" s="6">
        <v>-5.7378183071193902</v>
      </c>
      <c r="P254" s="6">
        <v>-5.7378183071193902</v>
      </c>
      <c r="Q254" s="6">
        <v>0</v>
      </c>
      <c r="R254" s="6">
        <v>0</v>
      </c>
      <c r="S254" s="6">
        <v>0</v>
      </c>
      <c r="T254" s="6">
        <v>14.204867224556001</v>
      </c>
    </row>
    <row r="255" spans="1:20" ht="13" x14ac:dyDescent="0.15">
      <c r="A255" s="6">
        <v>253</v>
      </c>
      <c r="B255" s="7">
        <v>43529</v>
      </c>
      <c r="C255" s="6">
        <v>18.115389371873</v>
      </c>
      <c r="D255" s="6">
        <v>-20.896269662773602</v>
      </c>
      <c r="E255" s="6">
        <v>45.466819560092297</v>
      </c>
      <c r="F255" s="6">
        <v>18.115389371873</v>
      </c>
      <c r="G255" s="6">
        <v>18.115389371873</v>
      </c>
      <c r="H255" s="6">
        <v>-6.2129521571981599</v>
      </c>
      <c r="I255" s="6">
        <v>-6.2129521571981599</v>
      </c>
      <c r="J255" s="6">
        <v>-6.2129521571981599</v>
      </c>
      <c r="K255" s="6">
        <v>0.845224031068604</v>
      </c>
      <c r="L255" s="6">
        <v>0.845224031068604</v>
      </c>
      <c r="M255" s="6">
        <v>0.845224031068604</v>
      </c>
      <c r="N255" s="6">
        <v>-7.05817618826676</v>
      </c>
      <c r="O255" s="6">
        <v>-7.05817618826676</v>
      </c>
      <c r="P255" s="6">
        <v>-7.05817618826676</v>
      </c>
      <c r="Q255" s="6">
        <v>0</v>
      </c>
      <c r="R255" s="6">
        <v>0</v>
      </c>
      <c r="S255" s="6">
        <v>0</v>
      </c>
      <c r="T255" s="6">
        <v>11.902437214674899</v>
      </c>
    </row>
    <row r="256" spans="1:20" ht="13" x14ac:dyDescent="0.15">
      <c r="A256" s="6">
        <v>254</v>
      </c>
      <c r="B256" s="7">
        <v>43530</v>
      </c>
      <c r="C256" s="6">
        <v>18.1109838210105</v>
      </c>
      <c r="D256" s="6">
        <v>-18.8411090057172</v>
      </c>
      <c r="E256" s="6">
        <v>41.361443785144203</v>
      </c>
      <c r="F256" s="6">
        <v>18.1109838210105</v>
      </c>
      <c r="G256" s="6">
        <v>18.1109838210105</v>
      </c>
      <c r="H256" s="6">
        <v>-7.2385719519074598</v>
      </c>
      <c r="I256" s="6">
        <v>-7.2385719519074598</v>
      </c>
      <c r="J256" s="6">
        <v>-7.2385719519074598</v>
      </c>
      <c r="K256" s="6">
        <v>0.94874688043733002</v>
      </c>
      <c r="L256" s="6">
        <v>0.94874688043733002</v>
      </c>
      <c r="M256" s="6">
        <v>0.94874688043733002</v>
      </c>
      <c r="N256" s="6">
        <v>-8.1873188323447899</v>
      </c>
      <c r="O256" s="6">
        <v>-8.1873188323447899</v>
      </c>
      <c r="P256" s="6">
        <v>-8.1873188323447899</v>
      </c>
      <c r="Q256" s="6">
        <v>0</v>
      </c>
      <c r="R256" s="6">
        <v>0</v>
      </c>
      <c r="S256" s="6">
        <v>0</v>
      </c>
      <c r="T256" s="6">
        <v>10.872411869103001</v>
      </c>
    </row>
    <row r="257" spans="1:20" ht="13" x14ac:dyDescent="0.15">
      <c r="A257" s="6">
        <v>255</v>
      </c>
      <c r="B257" s="7">
        <v>43531</v>
      </c>
      <c r="C257" s="6">
        <v>18.106578270147999</v>
      </c>
      <c r="D257" s="6">
        <v>-24.157448432625699</v>
      </c>
      <c r="E257" s="6">
        <v>41.960917436852803</v>
      </c>
      <c r="F257" s="6">
        <v>18.106578270147999</v>
      </c>
      <c r="G257" s="6">
        <v>18.106578270147999</v>
      </c>
      <c r="H257" s="6">
        <v>-8.6219416082345806</v>
      </c>
      <c r="I257" s="6">
        <v>-8.6219416082345806</v>
      </c>
      <c r="J257" s="6">
        <v>-8.6219416082345806</v>
      </c>
      <c r="K257" s="6">
        <v>0.49015521355596597</v>
      </c>
      <c r="L257" s="6">
        <v>0.49015521355596597</v>
      </c>
      <c r="M257" s="6">
        <v>0.49015521355596597</v>
      </c>
      <c r="N257" s="6">
        <v>-9.1120968217905496</v>
      </c>
      <c r="O257" s="6">
        <v>-9.1120968217905496</v>
      </c>
      <c r="P257" s="6">
        <v>-9.1120968217905496</v>
      </c>
      <c r="Q257" s="6">
        <v>0</v>
      </c>
      <c r="R257" s="6">
        <v>0</v>
      </c>
      <c r="S257" s="6">
        <v>0</v>
      </c>
      <c r="T257" s="6">
        <v>9.4846366619134095</v>
      </c>
    </row>
    <row r="258" spans="1:20" ht="13" x14ac:dyDescent="0.15">
      <c r="A258" s="6">
        <v>256</v>
      </c>
      <c r="B258" s="7">
        <v>43532</v>
      </c>
      <c r="C258" s="6">
        <v>18.102172719285399</v>
      </c>
      <c r="D258" s="6">
        <v>-24.901634073775799</v>
      </c>
      <c r="E258" s="6">
        <v>39.858908969201998</v>
      </c>
      <c r="F258" s="6">
        <v>18.102172719285399</v>
      </c>
      <c r="G258" s="6">
        <v>18.102172719285399</v>
      </c>
      <c r="H258" s="6">
        <v>-9.8466147413817993</v>
      </c>
      <c r="I258" s="6">
        <v>-9.8466147413817993</v>
      </c>
      <c r="J258" s="6">
        <v>-9.8466147413817993</v>
      </c>
      <c r="K258" s="6">
        <v>-2.2976765065552102E-2</v>
      </c>
      <c r="L258" s="6">
        <v>-2.2976765065552102E-2</v>
      </c>
      <c r="M258" s="6">
        <v>-2.2976765065552102E-2</v>
      </c>
      <c r="N258" s="6">
        <v>-9.82363797631624</v>
      </c>
      <c r="O258" s="6">
        <v>-9.82363797631624</v>
      </c>
      <c r="P258" s="6">
        <v>-9.82363797631624</v>
      </c>
      <c r="Q258" s="6">
        <v>0</v>
      </c>
      <c r="R258" s="6">
        <v>0</v>
      </c>
      <c r="S258" s="6">
        <v>0</v>
      </c>
      <c r="T258" s="6">
        <v>8.2555579779036599</v>
      </c>
    </row>
    <row r="259" spans="1:20" ht="13" x14ac:dyDescent="0.15">
      <c r="A259" s="6">
        <v>257</v>
      </c>
      <c r="B259" s="7">
        <v>43535</v>
      </c>
      <c r="C259" s="6">
        <v>18.088956066697801</v>
      </c>
      <c r="D259" s="6">
        <v>-23.2965327746391</v>
      </c>
      <c r="E259" s="6">
        <v>40.522371526409202</v>
      </c>
      <c r="F259" s="6">
        <v>18.088956066697801</v>
      </c>
      <c r="G259" s="6">
        <v>18.088956066697801</v>
      </c>
      <c r="H259" s="6">
        <v>-8.8330798564764308</v>
      </c>
      <c r="I259" s="6">
        <v>-8.8330798564764308</v>
      </c>
      <c r="J259" s="6">
        <v>-8.8330798564764308</v>
      </c>
      <c r="K259" s="6">
        <v>1.82289060893759</v>
      </c>
      <c r="L259" s="6">
        <v>1.82289060893759</v>
      </c>
      <c r="M259" s="6">
        <v>1.82289060893759</v>
      </c>
      <c r="N259" s="6">
        <v>-10.655970465414001</v>
      </c>
      <c r="O259" s="6">
        <v>-10.655970465414001</v>
      </c>
      <c r="P259" s="6">
        <v>-10.655970465414001</v>
      </c>
      <c r="Q259" s="6">
        <v>0</v>
      </c>
      <c r="R259" s="6">
        <v>0</v>
      </c>
      <c r="S259" s="6">
        <v>0</v>
      </c>
      <c r="T259" s="6">
        <v>9.2558762102214303</v>
      </c>
    </row>
    <row r="260" spans="1:20" ht="13" x14ac:dyDescent="0.15">
      <c r="A260" s="6">
        <v>258</v>
      </c>
      <c r="B260" s="7">
        <v>43536</v>
      </c>
      <c r="C260" s="6">
        <v>18.0845505158353</v>
      </c>
      <c r="D260" s="6">
        <v>-23.6110358354094</v>
      </c>
      <c r="E260" s="6">
        <v>40.641642489244902</v>
      </c>
      <c r="F260" s="6">
        <v>18.0845505158353</v>
      </c>
      <c r="G260" s="6">
        <v>18.0845505158353</v>
      </c>
      <c r="H260" s="6">
        <v>-9.6679634276570905</v>
      </c>
      <c r="I260" s="6">
        <v>-9.6679634276570905</v>
      </c>
      <c r="J260" s="6">
        <v>-9.6679634276570905</v>
      </c>
      <c r="K260" s="6">
        <v>0.84522403106714705</v>
      </c>
      <c r="L260" s="6">
        <v>0.84522403106714705</v>
      </c>
      <c r="M260" s="6">
        <v>0.84522403106714705</v>
      </c>
      <c r="N260" s="6">
        <v>-10.5131874587242</v>
      </c>
      <c r="O260" s="6">
        <v>-10.5131874587242</v>
      </c>
      <c r="P260" s="6">
        <v>-10.5131874587242</v>
      </c>
      <c r="Q260" s="6">
        <v>0</v>
      </c>
      <c r="R260" s="6">
        <v>0</v>
      </c>
      <c r="S260" s="6">
        <v>0</v>
      </c>
      <c r="T260" s="6">
        <v>8.4165870881782396</v>
      </c>
    </row>
    <row r="261" spans="1:20" ht="13" x14ac:dyDescent="0.15">
      <c r="A261" s="6">
        <v>259</v>
      </c>
      <c r="B261" s="7">
        <v>43537</v>
      </c>
      <c r="C261" s="6">
        <v>18.080144964972799</v>
      </c>
      <c r="D261" s="6">
        <v>-24.858145258948198</v>
      </c>
      <c r="E261" s="6">
        <v>38.834414120578302</v>
      </c>
      <c r="F261" s="6">
        <v>18.080144964972799</v>
      </c>
      <c r="G261" s="6">
        <v>18.080144964972799</v>
      </c>
      <c r="H261" s="6">
        <v>-9.2285081110988205</v>
      </c>
      <c r="I261" s="6">
        <v>-9.2285081110988205</v>
      </c>
      <c r="J261" s="6">
        <v>-9.2285081110988205</v>
      </c>
      <c r="K261" s="6">
        <v>0.94874688043650002</v>
      </c>
      <c r="L261" s="6">
        <v>0.94874688043650002</v>
      </c>
      <c r="M261" s="6">
        <v>0.94874688043650002</v>
      </c>
      <c r="N261" s="6">
        <v>-10.1772549915353</v>
      </c>
      <c r="O261" s="6">
        <v>-10.1772549915353</v>
      </c>
      <c r="P261" s="6">
        <v>-10.1772549915353</v>
      </c>
      <c r="Q261" s="6">
        <v>0</v>
      </c>
      <c r="R261" s="6">
        <v>0</v>
      </c>
      <c r="S261" s="6">
        <v>0</v>
      </c>
      <c r="T261" s="6">
        <v>8.8516368538739698</v>
      </c>
    </row>
    <row r="262" spans="1:20" ht="13" x14ac:dyDescent="0.15">
      <c r="A262" s="6">
        <v>260</v>
      </c>
      <c r="B262" s="7">
        <v>43538</v>
      </c>
      <c r="C262" s="6">
        <v>18.075739414110199</v>
      </c>
      <c r="D262" s="6">
        <v>-23.318073645258899</v>
      </c>
      <c r="E262" s="6">
        <v>42.315292606006601</v>
      </c>
      <c r="F262" s="6">
        <v>18.075739414110199</v>
      </c>
      <c r="G262" s="6">
        <v>18.075739414110199</v>
      </c>
      <c r="H262" s="6">
        <v>-9.1735162877987104</v>
      </c>
      <c r="I262" s="6">
        <v>-9.1735162877987104</v>
      </c>
      <c r="J262" s="6">
        <v>-9.1735162877987104</v>
      </c>
      <c r="K262" s="6">
        <v>0.49015521355312802</v>
      </c>
      <c r="L262" s="6">
        <v>0.49015521355312802</v>
      </c>
      <c r="M262" s="6">
        <v>0.49015521355312802</v>
      </c>
      <c r="N262" s="6">
        <v>-9.6636715013518302</v>
      </c>
      <c r="O262" s="6">
        <v>-9.6636715013518302</v>
      </c>
      <c r="P262" s="6">
        <v>-9.6636715013518302</v>
      </c>
      <c r="Q262" s="6">
        <v>0</v>
      </c>
      <c r="R262" s="6">
        <v>0</v>
      </c>
      <c r="S262" s="6">
        <v>0</v>
      </c>
      <c r="T262" s="6">
        <v>8.9022231263115508</v>
      </c>
    </row>
    <row r="263" spans="1:20" ht="13" x14ac:dyDescent="0.15">
      <c r="A263" s="6">
        <v>261</v>
      </c>
      <c r="B263" s="7">
        <v>43539</v>
      </c>
      <c r="C263" s="6">
        <v>18.071333863247698</v>
      </c>
      <c r="D263" s="6">
        <v>-22.495938376641899</v>
      </c>
      <c r="E263" s="6">
        <v>40.433684303416598</v>
      </c>
      <c r="F263" s="6">
        <v>18.071333863247698</v>
      </c>
      <c r="G263" s="6">
        <v>18.071333863247698</v>
      </c>
      <c r="H263" s="6">
        <v>-9.0138406023608493</v>
      </c>
      <c r="I263" s="6">
        <v>-9.0138406023608493</v>
      </c>
      <c r="J263" s="6">
        <v>-9.0138406023608493</v>
      </c>
      <c r="K263" s="6">
        <v>-2.2976765059493E-2</v>
      </c>
      <c r="L263" s="6">
        <v>-2.2976765059493E-2</v>
      </c>
      <c r="M263" s="6">
        <v>-2.2976765059493E-2</v>
      </c>
      <c r="N263" s="6">
        <v>-8.9908638373013492</v>
      </c>
      <c r="O263" s="6">
        <v>-8.9908638373013492</v>
      </c>
      <c r="P263" s="6">
        <v>-8.9908638373013492</v>
      </c>
      <c r="Q263" s="6">
        <v>0</v>
      </c>
      <c r="R263" s="6">
        <v>0</v>
      </c>
      <c r="S263" s="6">
        <v>0</v>
      </c>
      <c r="T263" s="6">
        <v>9.0574932608868792</v>
      </c>
    </row>
    <row r="264" spans="1:20" ht="13" x14ac:dyDescent="0.15">
      <c r="A264" s="6">
        <v>262</v>
      </c>
      <c r="B264" s="7">
        <v>43542</v>
      </c>
      <c r="C264" s="6">
        <v>18.0581172106601</v>
      </c>
      <c r="D264" s="6">
        <v>-17.7192345252951</v>
      </c>
      <c r="E264" s="6">
        <v>42.631062712724301</v>
      </c>
      <c r="F264" s="6">
        <v>18.0581172106601</v>
      </c>
      <c r="G264" s="6">
        <v>18.0581172106601</v>
      </c>
      <c r="H264" s="6">
        <v>-4.4109939467519803</v>
      </c>
      <c r="I264" s="6">
        <v>-4.4109939467519803</v>
      </c>
      <c r="J264" s="6">
        <v>-4.4109939467519803</v>
      </c>
      <c r="K264" s="6">
        <v>1.8228906089380901</v>
      </c>
      <c r="L264" s="6">
        <v>1.8228906089380901</v>
      </c>
      <c r="M264" s="6">
        <v>1.8228906089380901</v>
      </c>
      <c r="N264" s="6">
        <v>-6.2338845556900697</v>
      </c>
      <c r="O264" s="6">
        <v>-6.2338845556900697</v>
      </c>
      <c r="P264" s="6">
        <v>-6.2338845556900697</v>
      </c>
      <c r="Q264" s="6">
        <v>0</v>
      </c>
      <c r="R264" s="6">
        <v>0</v>
      </c>
      <c r="S264" s="6">
        <v>0</v>
      </c>
      <c r="T264" s="6">
        <v>13.647123263908099</v>
      </c>
    </row>
    <row r="265" spans="1:20" ht="13" x14ac:dyDescent="0.15">
      <c r="A265" s="6">
        <v>263</v>
      </c>
      <c r="B265" s="7">
        <v>43543</v>
      </c>
      <c r="C265" s="6">
        <v>18.0537116597976</v>
      </c>
      <c r="D265" s="6">
        <v>-19.999578947994099</v>
      </c>
      <c r="E265" s="6">
        <v>44.640829653079699</v>
      </c>
      <c r="F265" s="6">
        <v>18.0537116597976</v>
      </c>
      <c r="G265" s="6">
        <v>18.0537116597976</v>
      </c>
      <c r="H265" s="6">
        <v>-4.3024438457460699</v>
      </c>
      <c r="I265" s="6">
        <v>-4.3024438457460699</v>
      </c>
      <c r="J265" s="6">
        <v>-4.3024438457460699</v>
      </c>
      <c r="K265" s="6">
        <v>0.84522403106650201</v>
      </c>
      <c r="L265" s="6">
        <v>0.84522403106650201</v>
      </c>
      <c r="M265" s="6">
        <v>0.84522403106650201</v>
      </c>
      <c r="N265" s="6">
        <v>-5.1476678768125703</v>
      </c>
      <c r="O265" s="6">
        <v>-5.1476678768125703</v>
      </c>
      <c r="P265" s="6">
        <v>-5.1476678768125703</v>
      </c>
      <c r="Q265" s="6">
        <v>0</v>
      </c>
      <c r="R265" s="6">
        <v>0</v>
      </c>
      <c r="S265" s="6">
        <v>0</v>
      </c>
      <c r="T265" s="6">
        <v>13.7512678140515</v>
      </c>
    </row>
    <row r="266" spans="1:20" ht="13" x14ac:dyDescent="0.15">
      <c r="A266" s="6">
        <v>264</v>
      </c>
      <c r="B266" s="7">
        <v>43544</v>
      </c>
      <c r="C266" s="6">
        <v>18.049306108934999</v>
      </c>
      <c r="D266" s="6">
        <v>-16.336572931568401</v>
      </c>
      <c r="E266" s="6">
        <v>45.8425171858323</v>
      </c>
      <c r="F266" s="6">
        <v>18.049306108934999</v>
      </c>
      <c r="G266" s="6">
        <v>18.049306108934999</v>
      </c>
      <c r="H266" s="6">
        <v>-3.0697838328990401</v>
      </c>
      <c r="I266" s="6">
        <v>-3.0697838328990401</v>
      </c>
      <c r="J266" s="6">
        <v>-3.0697838328990401</v>
      </c>
      <c r="K266" s="6">
        <v>0.94874688043834998</v>
      </c>
      <c r="L266" s="6">
        <v>0.94874688043834998</v>
      </c>
      <c r="M266" s="6">
        <v>0.94874688043834998</v>
      </c>
      <c r="N266" s="6">
        <v>-4.0185307133373902</v>
      </c>
      <c r="O266" s="6">
        <v>-4.0185307133373902</v>
      </c>
      <c r="P266" s="6">
        <v>-4.0185307133373902</v>
      </c>
      <c r="Q266" s="6">
        <v>0</v>
      </c>
      <c r="R266" s="6">
        <v>0</v>
      </c>
      <c r="S266" s="6">
        <v>0</v>
      </c>
      <c r="T266" s="6">
        <v>14.979522276036001</v>
      </c>
    </row>
    <row r="267" spans="1:20" ht="13" x14ac:dyDescent="0.15">
      <c r="A267" s="6">
        <v>265</v>
      </c>
      <c r="B267" s="7">
        <v>43545</v>
      </c>
      <c r="C267" s="6">
        <v>18.044900558072499</v>
      </c>
      <c r="D267" s="6">
        <v>-16.521838146085202</v>
      </c>
      <c r="E267" s="6">
        <v>49.787135882583797</v>
      </c>
      <c r="F267" s="6">
        <v>18.044900558072499</v>
      </c>
      <c r="G267" s="6">
        <v>18.044900558072499</v>
      </c>
      <c r="H267" s="6">
        <v>-2.38019544663655</v>
      </c>
      <c r="I267" s="6">
        <v>-2.38019544663655</v>
      </c>
      <c r="J267" s="6">
        <v>-2.38019544663655</v>
      </c>
      <c r="K267" s="6">
        <v>0.49015521355357899</v>
      </c>
      <c r="L267" s="6">
        <v>0.49015521355357899</v>
      </c>
      <c r="M267" s="6">
        <v>0.49015521355357899</v>
      </c>
      <c r="N267" s="6">
        <v>-2.8703506601901201</v>
      </c>
      <c r="O267" s="6">
        <v>-2.8703506601901201</v>
      </c>
      <c r="P267" s="6">
        <v>-2.8703506601901201</v>
      </c>
      <c r="Q267" s="6">
        <v>0</v>
      </c>
      <c r="R267" s="6">
        <v>0</v>
      </c>
      <c r="S267" s="6">
        <v>0</v>
      </c>
      <c r="T267" s="6">
        <v>15.6647051114359</v>
      </c>
    </row>
    <row r="268" spans="1:20" ht="13" x14ac:dyDescent="0.15">
      <c r="A268" s="6">
        <v>266</v>
      </c>
      <c r="B268" s="7">
        <v>43546</v>
      </c>
      <c r="C268" s="6">
        <v>18.040495007210001</v>
      </c>
      <c r="D268" s="6">
        <v>-16.705140245963101</v>
      </c>
      <c r="E268" s="6">
        <v>48.521368336795497</v>
      </c>
      <c r="F268" s="6">
        <v>18.040495007210001</v>
      </c>
      <c r="G268" s="6">
        <v>18.040495007210001</v>
      </c>
      <c r="H268" s="6">
        <v>-1.74883430396817</v>
      </c>
      <c r="I268" s="6">
        <v>-1.74883430396817</v>
      </c>
      <c r="J268" s="6">
        <v>-1.74883430396817</v>
      </c>
      <c r="K268" s="6">
        <v>-2.2976765062105199E-2</v>
      </c>
      <c r="L268" s="6">
        <v>-2.2976765062105199E-2</v>
      </c>
      <c r="M268" s="6">
        <v>-2.2976765062105199E-2</v>
      </c>
      <c r="N268" s="6">
        <v>-1.72585753890607</v>
      </c>
      <c r="O268" s="6">
        <v>-1.72585753890607</v>
      </c>
      <c r="P268" s="6">
        <v>-1.72585753890607</v>
      </c>
      <c r="Q268" s="6">
        <v>0</v>
      </c>
      <c r="R268" s="6">
        <v>0</v>
      </c>
      <c r="S268" s="6">
        <v>0</v>
      </c>
      <c r="T268" s="6">
        <v>16.291660703241799</v>
      </c>
    </row>
    <row r="269" spans="1:20" ht="13" x14ac:dyDescent="0.15">
      <c r="A269" s="6">
        <v>267</v>
      </c>
      <c r="B269" s="7">
        <v>43549</v>
      </c>
      <c r="C269" s="6">
        <v>18.0272783546224</v>
      </c>
      <c r="D269" s="6">
        <v>-8.5716492117980803</v>
      </c>
      <c r="E269" s="6">
        <v>54.571150227667303</v>
      </c>
      <c r="F269" s="6">
        <v>18.0272783546224</v>
      </c>
      <c r="G269" s="6">
        <v>18.0272783546224</v>
      </c>
      <c r="H269" s="6">
        <v>3.3083612958530599</v>
      </c>
      <c r="I269" s="6">
        <v>3.3083612958530599</v>
      </c>
      <c r="J269" s="6">
        <v>3.3083612958530599</v>
      </c>
      <c r="K269" s="6">
        <v>1.8228906089385899</v>
      </c>
      <c r="L269" s="6">
        <v>1.8228906089385899</v>
      </c>
      <c r="M269" s="6">
        <v>1.8228906089385899</v>
      </c>
      <c r="N269" s="6">
        <v>1.48547068691446</v>
      </c>
      <c r="O269" s="6">
        <v>1.48547068691446</v>
      </c>
      <c r="P269" s="6">
        <v>1.48547068691446</v>
      </c>
      <c r="Q269" s="6">
        <v>0</v>
      </c>
      <c r="R269" s="6">
        <v>0</v>
      </c>
      <c r="S269" s="6">
        <v>0</v>
      </c>
      <c r="T269" s="6">
        <v>21.3356396504754</v>
      </c>
    </row>
    <row r="270" spans="1:20" ht="13" x14ac:dyDescent="0.15">
      <c r="A270" s="6">
        <v>268</v>
      </c>
      <c r="B270" s="7">
        <v>43550</v>
      </c>
      <c r="C270" s="6">
        <v>18.0228728037598</v>
      </c>
      <c r="D270" s="6">
        <v>-11.677513874684401</v>
      </c>
      <c r="E270" s="6">
        <v>53.806582059031797</v>
      </c>
      <c r="F270" s="6">
        <v>18.0228728037598</v>
      </c>
      <c r="G270" s="6">
        <v>18.0228728037598</v>
      </c>
      <c r="H270" s="6">
        <v>3.2721958301503</v>
      </c>
      <c r="I270" s="6">
        <v>3.2721958301503</v>
      </c>
      <c r="J270" s="6">
        <v>3.2721958301503</v>
      </c>
      <c r="K270" s="6">
        <v>0.84522403106733102</v>
      </c>
      <c r="L270" s="6">
        <v>0.84522403106733102</v>
      </c>
      <c r="M270" s="6">
        <v>0.84522403106733102</v>
      </c>
      <c r="N270" s="6">
        <v>2.42697179908297</v>
      </c>
      <c r="O270" s="6">
        <v>2.42697179908297</v>
      </c>
      <c r="P270" s="6">
        <v>2.42697179908297</v>
      </c>
      <c r="Q270" s="6">
        <v>0</v>
      </c>
      <c r="R270" s="6">
        <v>0</v>
      </c>
      <c r="S270" s="6">
        <v>0</v>
      </c>
      <c r="T270" s="6">
        <v>21.295068633910098</v>
      </c>
    </row>
    <row r="271" spans="1:20" ht="13" x14ac:dyDescent="0.15">
      <c r="A271" s="6">
        <v>269</v>
      </c>
      <c r="B271" s="7">
        <v>43551</v>
      </c>
      <c r="C271" s="6">
        <v>18.018467252897299</v>
      </c>
      <c r="D271" s="6">
        <v>-10.1783961476706</v>
      </c>
      <c r="E271" s="6">
        <v>52.8993985781457</v>
      </c>
      <c r="F271" s="6">
        <v>18.018467252897299</v>
      </c>
      <c r="G271" s="6">
        <v>18.018467252897299</v>
      </c>
      <c r="H271" s="6">
        <v>4.2321636962377802</v>
      </c>
      <c r="I271" s="6">
        <v>4.2321636962377802</v>
      </c>
      <c r="J271" s="6">
        <v>4.2321636962377802</v>
      </c>
      <c r="K271" s="6">
        <v>0.94874688043544597</v>
      </c>
      <c r="L271" s="6">
        <v>0.94874688043544597</v>
      </c>
      <c r="M271" s="6">
        <v>0.94874688043544597</v>
      </c>
      <c r="N271" s="6">
        <v>3.28341681580233</v>
      </c>
      <c r="O271" s="6">
        <v>3.28341681580233</v>
      </c>
      <c r="P271" s="6">
        <v>3.28341681580233</v>
      </c>
      <c r="Q271" s="6">
        <v>0</v>
      </c>
      <c r="R271" s="6">
        <v>0</v>
      </c>
      <c r="S271" s="6">
        <v>0</v>
      </c>
      <c r="T271" s="6">
        <v>22.2506309491351</v>
      </c>
    </row>
    <row r="272" spans="1:20" ht="13" x14ac:dyDescent="0.15">
      <c r="A272" s="6">
        <v>270</v>
      </c>
      <c r="B272" s="7">
        <v>43552</v>
      </c>
      <c r="C272" s="6">
        <v>18.014061702034802</v>
      </c>
      <c r="D272" s="6">
        <v>-7.7213561645219704</v>
      </c>
      <c r="E272" s="6">
        <v>56.9434849314299</v>
      </c>
      <c r="F272" s="6">
        <v>18.014061702034802</v>
      </c>
      <c r="G272" s="6">
        <v>18.014061702034802</v>
      </c>
      <c r="H272" s="6">
        <v>4.5370583124871802</v>
      </c>
      <c r="I272" s="6">
        <v>4.5370583124871802</v>
      </c>
      <c r="J272" s="6">
        <v>4.5370583124871802</v>
      </c>
      <c r="K272" s="6">
        <v>0.490155213554758</v>
      </c>
      <c r="L272" s="6">
        <v>0.490155213554758</v>
      </c>
      <c r="M272" s="6">
        <v>0.490155213554758</v>
      </c>
      <c r="N272" s="6">
        <v>4.04690309893242</v>
      </c>
      <c r="O272" s="6">
        <v>4.04690309893242</v>
      </c>
      <c r="P272" s="6">
        <v>4.04690309893242</v>
      </c>
      <c r="Q272" s="6">
        <v>0</v>
      </c>
      <c r="R272" s="6">
        <v>0</v>
      </c>
      <c r="S272" s="6">
        <v>0</v>
      </c>
      <c r="T272" s="6">
        <v>22.551120014521899</v>
      </c>
    </row>
    <row r="273" spans="1:20" ht="13" x14ac:dyDescent="0.15">
      <c r="A273" s="6">
        <v>271</v>
      </c>
      <c r="B273" s="7">
        <v>43553</v>
      </c>
      <c r="C273" s="6">
        <v>18.009656151172202</v>
      </c>
      <c r="D273" s="6">
        <v>-8.5813233239335993</v>
      </c>
      <c r="E273" s="6">
        <v>52.839134810053203</v>
      </c>
      <c r="F273" s="6">
        <v>18.009656151172202</v>
      </c>
      <c r="G273" s="6">
        <v>18.009656151172202</v>
      </c>
      <c r="H273" s="6">
        <v>4.6895675128472698</v>
      </c>
      <c r="I273" s="6">
        <v>4.6895675128472698</v>
      </c>
      <c r="J273" s="6">
        <v>4.6895675128472698</v>
      </c>
      <c r="K273" s="6">
        <v>-2.2976765064717301E-2</v>
      </c>
      <c r="L273" s="6">
        <v>-2.2976765064717301E-2</v>
      </c>
      <c r="M273" s="6">
        <v>-2.2976765064717301E-2</v>
      </c>
      <c r="N273" s="6">
        <v>4.7125442779119897</v>
      </c>
      <c r="O273" s="6">
        <v>4.7125442779119897</v>
      </c>
      <c r="P273" s="6">
        <v>4.7125442779119897</v>
      </c>
      <c r="Q273" s="6">
        <v>0</v>
      </c>
      <c r="R273" s="6">
        <v>0</v>
      </c>
      <c r="S273" s="6">
        <v>0</v>
      </c>
      <c r="T273" s="6">
        <v>22.699223664019499</v>
      </c>
    </row>
    <row r="274" spans="1:20" ht="13" x14ac:dyDescent="0.15">
      <c r="A274" s="6">
        <v>272</v>
      </c>
      <c r="B274" s="7">
        <v>43556</v>
      </c>
      <c r="C274" s="6">
        <v>17.9964394985846</v>
      </c>
      <c r="D274" s="6">
        <v>-5.7195947148955302</v>
      </c>
      <c r="E274" s="6">
        <v>57.671969990074999</v>
      </c>
      <c r="F274" s="6">
        <v>17.9964394985846</v>
      </c>
      <c r="G274" s="6">
        <v>17.9964394985846</v>
      </c>
      <c r="H274" s="6">
        <v>7.93931976006892</v>
      </c>
      <c r="I274" s="6">
        <v>7.93931976006892</v>
      </c>
      <c r="J274" s="6">
        <v>7.93931976006892</v>
      </c>
      <c r="K274" s="6">
        <v>1.8228906089336001</v>
      </c>
      <c r="L274" s="6">
        <v>1.8228906089336001</v>
      </c>
      <c r="M274" s="6">
        <v>1.8228906089336001</v>
      </c>
      <c r="N274" s="6">
        <v>6.1164291511353204</v>
      </c>
      <c r="O274" s="6">
        <v>6.1164291511353204</v>
      </c>
      <c r="P274" s="6">
        <v>6.1164291511353204</v>
      </c>
      <c r="Q274" s="6">
        <v>0</v>
      </c>
      <c r="R274" s="6">
        <v>0</v>
      </c>
      <c r="S274" s="6">
        <v>0</v>
      </c>
      <c r="T274" s="6">
        <v>25.935759258653501</v>
      </c>
    </row>
    <row r="275" spans="1:20" ht="13" x14ac:dyDescent="0.15">
      <c r="A275" s="6">
        <v>273</v>
      </c>
      <c r="B275" s="7">
        <v>43557</v>
      </c>
      <c r="C275" s="6">
        <v>17.992033947722099</v>
      </c>
      <c r="D275" s="6">
        <v>-7.7948247143127203</v>
      </c>
      <c r="E275" s="6">
        <v>57.933177356243299</v>
      </c>
      <c r="F275" s="6">
        <v>17.992033947722099</v>
      </c>
      <c r="G275" s="6">
        <v>17.992033947722099</v>
      </c>
      <c r="H275" s="6">
        <v>7.2427158782027599</v>
      </c>
      <c r="I275" s="6">
        <v>7.2427158782027599</v>
      </c>
      <c r="J275" s="6">
        <v>7.2427158782027599</v>
      </c>
      <c r="K275" s="6">
        <v>0.84522403106668598</v>
      </c>
      <c r="L275" s="6">
        <v>0.84522403106668598</v>
      </c>
      <c r="M275" s="6">
        <v>0.84522403106668598</v>
      </c>
      <c r="N275" s="6">
        <v>6.3974918471360702</v>
      </c>
      <c r="O275" s="6">
        <v>6.3974918471360702</v>
      </c>
      <c r="P275" s="6">
        <v>6.3974918471360702</v>
      </c>
      <c r="Q275" s="6">
        <v>0</v>
      </c>
      <c r="R275" s="6">
        <v>0</v>
      </c>
      <c r="S275" s="6">
        <v>0</v>
      </c>
      <c r="T275" s="6">
        <v>25.234749825924901</v>
      </c>
    </row>
    <row r="276" spans="1:20" ht="13" x14ac:dyDescent="0.15">
      <c r="A276" s="6">
        <v>274</v>
      </c>
      <c r="B276" s="7">
        <v>43558</v>
      </c>
      <c r="C276" s="6">
        <v>17.987628396859598</v>
      </c>
      <c r="D276" s="6">
        <v>-7.6871682042229699</v>
      </c>
      <c r="E276" s="6">
        <v>58.124716406365401</v>
      </c>
      <c r="F276" s="6">
        <v>17.987628396859598</v>
      </c>
      <c r="G276" s="6">
        <v>17.987628396859598</v>
      </c>
      <c r="H276" s="6">
        <v>7.5445444243775404</v>
      </c>
      <c r="I276" s="6">
        <v>7.5445444243775404</v>
      </c>
      <c r="J276" s="6">
        <v>7.5445444243775404</v>
      </c>
      <c r="K276" s="6">
        <v>0.94874688043729605</v>
      </c>
      <c r="L276" s="6">
        <v>0.94874688043729605</v>
      </c>
      <c r="M276" s="6">
        <v>0.94874688043729605</v>
      </c>
      <c r="N276" s="6">
        <v>6.5957975439402396</v>
      </c>
      <c r="O276" s="6">
        <v>6.5957975439402396</v>
      </c>
      <c r="P276" s="6">
        <v>6.5957975439402396</v>
      </c>
      <c r="Q276" s="6">
        <v>0</v>
      </c>
      <c r="R276" s="6">
        <v>0</v>
      </c>
      <c r="S276" s="6">
        <v>0</v>
      </c>
      <c r="T276" s="6">
        <v>25.532172821237101</v>
      </c>
    </row>
    <row r="277" spans="1:20" ht="13" x14ac:dyDescent="0.15">
      <c r="A277" s="6">
        <v>275</v>
      </c>
      <c r="B277" s="7">
        <v>43559</v>
      </c>
      <c r="C277" s="6">
        <v>17.983222845996998</v>
      </c>
      <c r="D277" s="6">
        <v>-7.5300108548665703</v>
      </c>
      <c r="E277" s="6">
        <v>56.425373271793397</v>
      </c>
      <c r="F277" s="6">
        <v>17.983222845996998</v>
      </c>
      <c r="G277" s="6">
        <v>17.983222845996998</v>
      </c>
      <c r="H277" s="6">
        <v>7.2102983775466098</v>
      </c>
      <c r="I277" s="6">
        <v>7.2102983775466098</v>
      </c>
      <c r="J277" s="6">
        <v>7.2102983775466098</v>
      </c>
      <c r="K277" s="6">
        <v>0.490155213555937</v>
      </c>
      <c r="L277" s="6">
        <v>0.490155213555937</v>
      </c>
      <c r="M277" s="6">
        <v>0.490155213555937</v>
      </c>
      <c r="N277" s="6">
        <v>6.7201431639906701</v>
      </c>
      <c r="O277" s="6">
        <v>6.7201431639906701</v>
      </c>
      <c r="P277" s="6">
        <v>6.7201431639906701</v>
      </c>
      <c r="Q277" s="6">
        <v>0</v>
      </c>
      <c r="R277" s="6">
        <v>0</v>
      </c>
      <c r="S277" s="6">
        <v>0</v>
      </c>
      <c r="T277" s="6">
        <v>25.193521223543598</v>
      </c>
    </row>
    <row r="278" spans="1:20" ht="13" x14ac:dyDescent="0.15">
      <c r="A278" s="6">
        <v>276</v>
      </c>
      <c r="B278" s="7">
        <v>43560</v>
      </c>
      <c r="C278" s="6">
        <v>17.978817295134501</v>
      </c>
      <c r="D278" s="6">
        <v>-8.7951418307208495</v>
      </c>
      <c r="E278" s="6">
        <v>58.004144646681901</v>
      </c>
      <c r="F278" s="6">
        <v>17.978817295134501</v>
      </c>
      <c r="G278" s="6">
        <v>17.978817295134501</v>
      </c>
      <c r="H278" s="6">
        <v>6.7573347201672602</v>
      </c>
      <c r="I278" s="6">
        <v>6.7573347201672602</v>
      </c>
      <c r="J278" s="6">
        <v>6.7573347201672602</v>
      </c>
      <c r="K278" s="6">
        <v>-2.2976765067329499E-2</v>
      </c>
      <c r="L278" s="6">
        <v>-2.2976765067329499E-2</v>
      </c>
      <c r="M278" s="6">
        <v>-2.2976765067329499E-2</v>
      </c>
      <c r="N278" s="6">
        <v>6.7803114852345896</v>
      </c>
      <c r="O278" s="6">
        <v>6.7803114852345896</v>
      </c>
      <c r="P278" s="6">
        <v>6.7803114852345896</v>
      </c>
      <c r="Q278" s="6">
        <v>0</v>
      </c>
      <c r="R278" s="6">
        <v>0</v>
      </c>
      <c r="S278" s="6">
        <v>0</v>
      </c>
      <c r="T278" s="6">
        <v>24.736152015301801</v>
      </c>
    </row>
    <row r="279" spans="1:20" ht="13" x14ac:dyDescent="0.15">
      <c r="A279" s="6">
        <v>277</v>
      </c>
      <c r="B279" s="7">
        <v>43563</v>
      </c>
      <c r="C279" s="6">
        <v>17.965600642546899</v>
      </c>
      <c r="D279" s="6">
        <v>-3.8778434847205401</v>
      </c>
      <c r="E279" s="6">
        <v>57.861669902180203</v>
      </c>
      <c r="F279" s="6">
        <v>17.965600642546899</v>
      </c>
      <c r="G279" s="6">
        <v>17.965600642546899</v>
      </c>
      <c r="H279" s="6">
        <v>8.5017373374888603</v>
      </c>
      <c r="I279" s="6">
        <v>8.5017373374888603</v>
      </c>
      <c r="J279" s="6">
        <v>8.5017373374888603</v>
      </c>
      <c r="K279" s="6">
        <v>1.82289060893653</v>
      </c>
      <c r="L279" s="6">
        <v>1.82289060893653</v>
      </c>
      <c r="M279" s="6">
        <v>1.82289060893653</v>
      </c>
      <c r="N279" s="6">
        <v>6.6788467285523199</v>
      </c>
      <c r="O279" s="6">
        <v>6.6788467285523199</v>
      </c>
      <c r="P279" s="6">
        <v>6.6788467285523199</v>
      </c>
      <c r="Q279" s="6">
        <v>0</v>
      </c>
      <c r="R279" s="6">
        <v>0</v>
      </c>
      <c r="S279" s="6">
        <v>0</v>
      </c>
      <c r="T279" s="6">
        <v>26.467337980035701</v>
      </c>
    </row>
    <row r="280" spans="1:20" ht="13" x14ac:dyDescent="0.15">
      <c r="A280" s="6">
        <v>278</v>
      </c>
      <c r="B280" s="7">
        <v>43564</v>
      </c>
      <c r="C280" s="6">
        <v>17.961195091684399</v>
      </c>
      <c r="D280" s="6">
        <v>-6.4791441828840899</v>
      </c>
      <c r="E280" s="6">
        <v>58.917248854060297</v>
      </c>
      <c r="F280" s="6">
        <v>17.961195091684399</v>
      </c>
      <c r="G280" s="6">
        <v>17.961195091684399</v>
      </c>
      <c r="H280" s="6">
        <v>7.4292881391960703</v>
      </c>
      <c r="I280" s="6">
        <v>7.4292881391960703</v>
      </c>
      <c r="J280" s="6">
        <v>7.4292881391960703</v>
      </c>
      <c r="K280" s="6">
        <v>0.84522403106604005</v>
      </c>
      <c r="L280" s="6">
        <v>0.84522403106604005</v>
      </c>
      <c r="M280" s="6">
        <v>0.84522403106604005</v>
      </c>
      <c r="N280" s="6">
        <v>6.5840641081300202</v>
      </c>
      <c r="O280" s="6">
        <v>6.5840641081300202</v>
      </c>
      <c r="P280" s="6">
        <v>6.5840641081300202</v>
      </c>
      <c r="Q280" s="6">
        <v>0</v>
      </c>
      <c r="R280" s="6">
        <v>0</v>
      </c>
      <c r="S280" s="6">
        <v>0</v>
      </c>
      <c r="T280" s="6">
        <v>25.390483230880399</v>
      </c>
    </row>
    <row r="281" spans="1:20" ht="13" x14ac:dyDescent="0.15">
      <c r="A281" s="6">
        <v>279</v>
      </c>
      <c r="B281" s="7">
        <v>43565</v>
      </c>
      <c r="C281" s="6">
        <v>17.956789540821799</v>
      </c>
      <c r="D281" s="6">
        <v>-4.4850330890282804</v>
      </c>
      <c r="E281" s="6">
        <v>57.118229024001302</v>
      </c>
      <c r="F281" s="6">
        <v>17.956789540821799</v>
      </c>
      <c r="G281" s="6">
        <v>17.956789540821799</v>
      </c>
      <c r="H281" s="6">
        <v>7.4219736631011202</v>
      </c>
      <c r="I281" s="6">
        <v>7.4219736631011202</v>
      </c>
      <c r="J281" s="6">
        <v>7.4219736631011202</v>
      </c>
      <c r="K281" s="6">
        <v>0.94874688043646505</v>
      </c>
      <c r="L281" s="6">
        <v>0.94874688043646505</v>
      </c>
      <c r="M281" s="6">
        <v>0.94874688043646505</v>
      </c>
      <c r="N281" s="6">
        <v>6.4732267826646499</v>
      </c>
      <c r="O281" s="6">
        <v>6.4732267826646499</v>
      </c>
      <c r="P281" s="6">
        <v>6.4732267826646499</v>
      </c>
      <c r="Q281" s="6">
        <v>0</v>
      </c>
      <c r="R281" s="6">
        <v>0</v>
      </c>
      <c r="S281" s="6">
        <v>0</v>
      </c>
      <c r="T281" s="6">
        <v>25.378763203922901</v>
      </c>
    </row>
    <row r="282" spans="1:20" ht="13" x14ac:dyDescent="0.15">
      <c r="A282" s="6">
        <v>280</v>
      </c>
      <c r="B282" s="7">
        <v>43566</v>
      </c>
      <c r="C282" s="6">
        <v>17.952383989959301</v>
      </c>
      <c r="D282" s="6">
        <v>-8.2810044950850408</v>
      </c>
      <c r="E282" s="6">
        <v>55.067768293394103</v>
      </c>
      <c r="F282" s="6">
        <v>17.952383989959301</v>
      </c>
      <c r="G282" s="6">
        <v>17.952383989959301</v>
      </c>
      <c r="H282" s="6">
        <v>6.8431601627159102</v>
      </c>
      <c r="I282" s="6">
        <v>6.8431601627159102</v>
      </c>
      <c r="J282" s="6">
        <v>6.8431601627159102</v>
      </c>
      <c r="K282" s="6">
        <v>0.49015521355309899</v>
      </c>
      <c r="L282" s="6">
        <v>0.49015521355309899</v>
      </c>
      <c r="M282" s="6">
        <v>0.49015521355309899</v>
      </c>
      <c r="N282" s="6">
        <v>6.35300494916281</v>
      </c>
      <c r="O282" s="6">
        <v>6.35300494916281</v>
      </c>
      <c r="P282" s="6">
        <v>6.35300494916281</v>
      </c>
      <c r="Q282" s="6">
        <v>0</v>
      </c>
      <c r="R282" s="6">
        <v>0</v>
      </c>
      <c r="S282" s="6">
        <v>0</v>
      </c>
      <c r="T282" s="6">
        <v>24.795544152675198</v>
      </c>
    </row>
    <row r="283" spans="1:20" ht="13" x14ac:dyDescent="0.15">
      <c r="A283" s="6">
        <v>281</v>
      </c>
      <c r="B283" s="7">
        <v>43567</v>
      </c>
      <c r="C283" s="6">
        <v>17.947978439096801</v>
      </c>
      <c r="D283" s="6">
        <v>-9.8722475087066908</v>
      </c>
      <c r="E283" s="6">
        <v>57.184054598183998</v>
      </c>
      <c r="F283" s="6">
        <v>17.947978439096801</v>
      </c>
      <c r="G283" s="6">
        <v>17.947978439096801</v>
      </c>
      <c r="H283" s="6">
        <v>6.2053863288595004</v>
      </c>
      <c r="I283" s="6">
        <v>6.2053863288595004</v>
      </c>
      <c r="J283" s="6">
        <v>6.2053863288595004</v>
      </c>
      <c r="K283" s="6">
        <v>-2.2976765061047601E-2</v>
      </c>
      <c r="L283" s="6">
        <v>-2.2976765061047601E-2</v>
      </c>
      <c r="M283" s="6">
        <v>-2.2976765061047601E-2</v>
      </c>
      <c r="N283" s="6">
        <v>6.2283630939205503</v>
      </c>
      <c r="O283" s="6">
        <v>6.2283630939205503</v>
      </c>
      <c r="P283" s="6">
        <v>6.2283630939205503</v>
      </c>
      <c r="Q283" s="6">
        <v>0</v>
      </c>
      <c r="R283" s="6">
        <v>0</v>
      </c>
      <c r="S283" s="6">
        <v>0</v>
      </c>
      <c r="T283" s="6">
        <v>24.153364767956301</v>
      </c>
    </row>
    <row r="284" spans="1:20" ht="13" x14ac:dyDescent="0.15">
      <c r="A284" s="6">
        <v>282</v>
      </c>
      <c r="B284" s="7">
        <v>43570</v>
      </c>
      <c r="C284" s="6">
        <v>17.9347620879483</v>
      </c>
      <c r="D284" s="6">
        <v>-6.2147526097793699</v>
      </c>
      <c r="E284" s="6">
        <v>58.384013429712503</v>
      </c>
      <c r="F284" s="6">
        <v>17.9347620879483</v>
      </c>
      <c r="G284" s="6">
        <v>17.9347620879483</v>
      </c>
      <c r="H284" s="6">
        <v>7.6715475786302196</v>
      </c>
      <c r="I284" s="6">
        <v>7.6715475786302196</v>
      </c>
      <c r="J284" s="6">
        <v>7.6715475786302196</v>
      </c>
      <c r="K284" s="6">
        <v>1.82289060893703</v>
      </c>
      <c r="L284" s="6">
        <v>1.82289060893703</v>
      </c>
      <c r="M284" s="6">
        <v>1.82289060893703</v>
      </c>
      <c r="N284" s="6">
        <v>5.8486569696931898</v>
      </c>
      <c r="O284" s="6">
        <v>5.8486569696931898</v>
      </c>
      <c r="P284" s="6">
        <v>5.8486569696931898</v>
      </c>
      <c r="Q284" s="6">
        <v>0</v>
      </c>
      <c r="R284" s="6">
        <v>0</v>
      </c>
      <c r="S284" s="6">
        <v>0</v>
      </c>
      <c r="T284" s="6">
        <v>25.6063096665785</v>
      </c>
    </row>
    <row r="285" spans="1:20" ht="13" x14ac:dyDescent="0.15">
      <c r="A285" s="6">
        <v>283</v>
      </c>
      <c r="B285" s="7">
        <v>43571</v>
      </c>
      <c r="C285" s="6">
        <v>17.930356637565499</v>
      </c>
      <c r="D285" s="6">
        <v>-8.7004529385733704</v>
      </c>
      <c r="E285" s="6">
        <v>57.047533932172797</v>
      </c>
      <c r="F285" s="6">
        <v>17.930356637565499</v>
      </c>
      <c r="G285" s="6">
        <v>17.930356637565499</v>
      </c>
      <c r="H285" s="6">
        <v>6.5622648357550597</v>
      </c>
      <c r="I285" s="6">
        <v>6.5622648357550597</v>
      </c>
      <c r="J285" s="6">
        <v>6.5622648357550597</v>
      </c>
      <c r="K285" s="6">
        <v>0.84522403106539501</v>
      </c>
      <c r="L285" s="6">
        <v>0.84522403106539501</v>
      </c>
      <c r="M285" s="6">
        <v>0.84522403106539501</v>
      </c>
      <c r="N285" s="6">
        <v>5.7170408046896597</v>
      </c>
      <c r="O285" s="6">
        <v>5.7170408046896597</v>
      </c>
      <c r="P285" s="6">
        <v>5.7170408046896597</v>
      </c>
      <c r="Q285" s="6">
        <v>0</v>
      </c>
      <c r="R285" s="6">
        <v>0</v>
      </c>
      <c r="S285" s="6">
        <v>0</v>
      </c>
      <c r="T285" s="6">
        <v>24.492621473320501</v>
      </c>
    </row>
    <row r="286" spans="1:20" ht="13" x14ac:dyDescent="0.15">
      <c r="A286" s="6">
        <v>284</v>
      </c>
      <c r="B286" s="7">
        <v>43572</v>
      </c>
      <c r="C286" s="6">
        <v>17.925951187182701</v>
      </c>
      <c r="D286" s="6">
        <v>-7.1611624029443703</v>
      </c>
      <c r="E286" s="6">
        <v>54.355435451398101</v>
      </c>
      <c r="F286" s="6">
        <v>17.925951187182701</v>
      </c>
      <c r="G286" s="6">
        <v>17.925951187182701</v>
      </c>
      <c r="H286" s="6">
        <v>6.5252296741058604</v>
      </c>
      <c r="I286" s="6">
        <v>6.5252296741058604</v>
      </c>
      <c r="J286" s="6">
        <v>6.5252296741058604</v>
      </c>
      <c r="K286" s="6">
        <v>0.94874688043892097</v>
      </c>
      <c r="L286" s="6">
        <v>0.94874688043892097</v>
      </c>
      <c r="M286" s="6">
        <v>0.94874688043892097</v>
      </c>
      <c r="N286" s="6">
        <v>5.5764827936669397</v>
      </c>
      <c r="O286" s="6">
        <v>5.5764827936669397</v>
      </c>
      <c r="P286" s="6">
        <v>5.5764827936669397</v>
      </c>
      <c r="Q286" s="6">
        <v>0</v>
      </c>
      <c r="R286" s="6">
        <v>0</v>
      </c>
      <c r="S286" s="6">
        <v>0</v>
      </c>
      <c r="T286" s="6">
        <v>24.451180861288499</v>
      </c>
    </row>
    <row r="287" spans="1:20" ht="13" x14ac:dyDescent="0.15">
      <c r="A287" s="6">
        <v>285</v>
      </c>
      <c r="B287" s="7">
        <v>43573</v>
      </c>
      <c r="C287" s="6">
        <v>17.921545736799899</v>
      </c>
      <c r="D287" s="6">
        <v>-9.8652171314376798</v>
      </c>
      <c r="E287" s="6">
        <v>53.877746029183797</v>
      </c>
      <c r="F287" s="6">
        <v>17.921545736799899</v>
      </c>
      <c r="G287" s="6">
        <v>17.921545736799899</v>
      </c>
      <c r="H287" s="6">
        <v>5.9106748235381099</v>
      </c>
      <c r="I287" s="6">
        <v>5.9106748235381099</v>
      </c>
      <c r="J287" s="6">
        <v>5.9106748235381099</v>
      </c>
      <c r="K287" s="6">
        <v>0.490155213556837</v>
      </c>
      <c r="L287" s="6">
        <v>0.490155213556837</v>
      </c>
      <c r="M287" s="6">
        <v>0.490155213556837</v>
      </c>
      <c r="N287" s="6">
        <v>5.4205196099812696</v>
      </c>
      <c r="O287" s="6">
        <v>5.4205196099812696</v>
      </c>
      <c r="P287" s="6">
        <v>5.4205196099812696</v>
      </c>
      <c r="Q287" s="6">
        <v>0</v>
      </c>
      <c r="R287" s="6">
        <v>0</v>
      </c>
      <c r="S287" s="6">
        <v>0</v>
      </c>
      <c r="T287" s="6">
        <v>23.832220560338001</v>
      </c>
    </row>
    <row r="288" spans="1:20" ht="13" x14ac:dyDescent="0.15">
      <c r="A288" s="6">
        <v>286</v>
      </c>
      <c r="B288" s="7">
        <v>43577</v>
      </c>
      <c r="C288" s="6">
        <v>17.903923935268601</v>
      </c>
      <c r="D288" s="6">
        <v>-8.3942080759000302</v>
      </c>
      <c r="E288" s="6">
        <v>54.0435090304684</v>
      </c>
      <c r="F288" s="6">
        <v>17.903923935268601</v>
      </c>
      <c r="G288" s="6">
        <v>17.903923935268601</v>
      </c>
      <c r="H288" s="6">
        <v>6.2935190326316199</v>
      </c>
      <c r="I288" s="6">
        <v>6.2935190326316199</v>
      </c>
      <c r="J288" s="6">
        <v>6.2935190326316199</v>
      </c>
      <c r="K288" s="6">
        <v>1.8228906089335599</v>
      </c>
      <c r="L288" s="6">
        <v>1.8228906089335599</v>
      </c>
      <c r="M288" s="6">
        <v>1.8228906089335599</v>
      </c>
      <c r="N288" s="6">
        <v>4.4706284236980496</v>
      </c>
      <c r="O288" s="6">
        <v>4.4706284236980496</v>
      </c>
      <c r="P288" s="6">
        <v>4.4706284236980496</v>
      </c>
      <c r="Q288" s="6">
        <v>0</v>
      </c>
      <c r="R288" s="6">
        <v>0</v>
      </c>
      <c r="S288" s="6">
        <v>0</v>
      </c>
      <c r="T288" s="6">
        <v>24.197442967900201</v>
      </c>
    </row>
    <row r="289" spans="1:20" ht="13" x14ac:dyDescent="0.15">
      <c r="A289" s="6">
        <v>287</v>
      </c>
      <c r="B289" s="7">
        <v>43578</v>
      </c>
      <c r="C289" s="6">
        <v>17.8995184848858</v>
      </c>
      <c r="D289" s="6">
        <v>-11.643425095786601</v>
      </c>
      <c r="E289" s="6">
        <v>55.589240052371999</v>
      </c>
      <c r="F289" s="6">
        <v>17.8995184848858</v>
      </c>
      <c r="G289" s="6">
        <v>17.8995184848858</v>
      </c>
      <c r="H289" s="6">
        <v>4.9480721370840399</v>
      </c>
      <c r="I289" s="6">
        <v>4.9480721370840399</v>
      </c>
      <c r="J289" s="6">
        <v>4.9480721370840399</v>
      </c>
      <c r="K289" s="6">
        <v>0.84522403106622301</v>
      </c>
      <c r="L289" s="6">
        <v>0.84522403106622301</v>
      </c>
      <c r="M289" s="6">
        <v>0.84522403106622301</v>
      </c>
      <c r="N289" s="6">
        <v>4.1028481060178104</v>
      </c>
      <c r="O289" s="6">
        <v>4.1028481060178104</v>
      </c>
      <c r="P289" s="6">
        <v>4.1028481060178104</v>
      </c>
      <c r="Q289" s="6">
        <v>0</v>
      </c>
      <c r="R289" s="6">
        <v>0</v>
      </c>
      <c r="S289" s="6">
        <v>0</v>
      </c>
      <c r="T289" s="6">
        <v>22.8475906219698</v>
      </c>
    </row>
    <row r="290" spans="1:20" ht="13" x14ac:dyDescent="0.15">
      <c r="A290" s="6">
        <v>288</v>
      </c>
      <c r="B290" s="7">
        <v>43579</v>
      </c>
      <c r="C290" s="6">
        <v>17.895113034502899</v>
      </c>
      <c r="D290" s="6">
        <v>-9.9291400338704392</v>
      </c>
      <c r="E290" s="6">
        <v>54.360540886087399</v>
      </c>
      <c r="F290" s="6">
        <v>17.895113034502899</v>
      </c>
      <c r="G290" s="6">
        <v>17.895113034502899</v>
      </c>
      <c r="H290" s="6">
        <v>4.6120408728564</v>
      </c>
      <c r="I290" s="6">
        <v>4.6120408728564</v>
      </c>
      <c r="J290" s="6">
        <v>4.6120408728564</v>
      </c>
      <c r="K290" s="6">
        <v>0.94874688043809097</v>
      </c>
      <c r="L290" s="6">
        <v>0.94874688043809097</v>
      </c>
      <c r="M290" s="6">
        <v>0.94874688043809097</v>
      </c>
      <c r="N290" s="6">
        <v>3.6632939924183101</v>
      </c>
      <c r="O290" s="6">
        <v>3.6632939924183101</v>
      </c>
      <c r="P290" s="6">
        <v>3.6632939924183101</v>
      </c>
      <c r="Q290" s="6">
        <v>0</v>
      </c>
      <c r="R290" s="6">
        <v>0</v>
      </c>
      <c r="S290" s="6">
        <v>0</v>
      </c>
      <c r="T290" s="6">
        <v>22.507153907359399</v>
      </c>
    </row>
    <row r="291" spans="1:20" ht="13" x14ac:dyDescent="0.15">
      <c r="A291" s="6">
        <v>289</v>
      </c>
      <c r="B291" s="7">
        <v>43580</v>
      </c>
      <c r="C291" s="6">
        <v>17.890707584120101</v>
      </c>
      <c r="D291" s="6">
        <v>-10.2528343076958</v>
      </c>
      <c r="E291" s="6">
        <v>54.562226855606902</v>
      </c>
      <c r="F291" s="6">
        <v>17.890707584120101</v>
      </c>
      <c r="G291" s="6">
        <v>17.890707584120101</v>
      </c>
      <c r="H291" s="6">
        <v>3.6333653235792802</v>
      </c>
      <c r="I291" s="6">
        <v>3.6333653235792802</v>
      </c>
      <c r="J291" s="6">
        <v>3.6333653235792802</v>
      </c>
      <c r="K291" s="6">
        <v>0.49015521355399999</v>
      </c>
      <c r="L291" s="6">
        <v>0.49015521355399999</v>
      </c>
      <c r="M291" s="6">
        <v>0.49015521355399999</v>
      </c>
      <c r="N291" s="6">
        <v>3.1432101100252798</v>
      </c>
      <c r="O291" s="6">
        <v>3.1432101100252798</v>
      </c>
      <c r="P291" s="6">
        <v>3.1432101100252798</v>
      </c>
      <c r="Q291" s="6">
        <v>0</v>
      </c>
      <c r="R291" s="6">
        <v>0</v>
      </c>
      <c r="S291" s="6">
        <v>0</v>
      </c>
      <c r="T291" s="6">
        <v>21.524072907699399</v>
      </c>
    </row>
    <row r="292" spans="1:20" ht="13" x14ac:dyDescent="0.15">
      <c r="A292" s="6">
        <v>290</v>
      </c>
      <c r="B292" s="7">
        <v>43581</v>
      </c>
      <c r="C292" s="6">
        <v>17.886302133737299</v>
      </c>
      <c r="D292" s="6">
        <v>-12.312128581445</v>
      </c>
      <c r="E292" s="6">
        <v>53.295625201581402</v>
      </c>
      <c r="F292" s="6">
        <v>17.886302133737299</v>
      </c>
      <c r="G292" s="6">
        <v>17.886302133737299</v>
      </c>
      <c r="H292" s="6">
        <v>2.5121010079974599</v>
      </c>
      <c r="I292" s="6">
        <v>2.5121010079974599</v>
      </c>
      <c r="J292" s="6">
        <v>2.5121010079974599</v>
      </c>
      <c r="K292" s="6">
        <v>-2.2976765066272001E-2</v>
      </c>
      <c r="L292" s="6">
        <v>-2.2976765066272001E-2</v>
      </c>
      <c r="M292" s="6">
        <v>-2.2976765066272001E-2</v>
      </c>
      <c r="N292" s="6">
        <v>2.5350777730637302</v>
      </c>
      <c r="O292" s="6">
        <v>2.5350777730637302</v>
      </c>
      <c r="P292" s="6">
        <v>2.5350777730637302</v>
      </c>
      <c r="Q292" s="6">
        <v>0</v>
      </c>
      <c r="R292" s="6">
        <v>0</v>
      </c>
      <c r="S292" s="6">
        <v>0</v>
      </c>
      <c r="T292" s="6">
        <v>20.3984031417348</v>
      </c>
    </row>
    <row r="293" spans="1:20" ht="13" x14ac:dyDescent="0.15">
      <c r="A293" s="6">
        <v>291</v>
      </c>
      <c r="B293" s="7">
        <v>43584</v>
      </c>
      <c r="C293" s="6">
        <v>17.873085782588898</v>
      </c>
      <c r="D293" s="6">
        <v>-11.5532230306135</v>
      </c>
      <c r="E293" s="6">
        <v>48.623012089629398</v>
      </c>
      <c r="F293" s="6">
        <v>17.873085782588898</v>
      </c>
      <c r="G293" s="6">
        <v>17.873085782588898</v>
      </c>
      <c r="H293" s="6">
        <v>1.95566694198298</v>
      </c>
      <c r="I293" s="6">
        <v>1.95566694198298</v>
      </c>
      <c r="J293" s="6">
        <v>1.95566694198298</v>
      </c>
      <c r="K293" s="6">
        <v>1.8228906089352801</v>
      </c>
      <c r="L293" s="6">
        <v>1.8228906089352801</v>
      </c>
      <c r="M293" s="6">
        <v>1.8228906089352801</v>
      </c>
      <c r="N293" s="6">
        <v>0.13277633304769601</v>
      </c>
      <c r="O293" s="6">
        <v>0.13277633304769601</v>
      </c>
      <c r="P293" s="6">
        <v>0.13277633304769601</v>
      </c>
      <c r="Q293" s="6">
        <v>0</v>
      </c>
      <c r="R293" s="6">
        <v>0</v>
      </c>
      <c r="S293" s="6">
        <v>0</v>
      </c>
      <c r="T293" s="6">
        <v>19.8287527245718</v>
      </c>
    </row>
    <row r="294" spans="1:20" ht="13" x14ac:dyDescent="0.15">
      <c r="A294" s="6">
        <v>292</v>
      </c>
      <c r="B294" s="7">
        <v>43585</v>
      </c>
      <c r="C294" s="6">
        <v>17.868680332206001</v>
      </c>
      <c r="D294" s="6">
        <v>-14.467476298016001</v>
      </c>
      <c r="E294" s="6">
        <v>49.934797629319597</v>
      </c>
      <c r="F294" s="6">
        <v>17.868680332206001</v>
      </c>
      <c r="G294" s="6">
        <v>17.868680332206001</v>
      </c>
      <c r="H294" s="6">
        <v>-2.1548608724480198E-2</v>
      </c>
      <c r="I294" s="6">
        <v>-2.1548608724480198E-2</v>
      </c>
      <c r="J294" s="6">
        <v>-2.1548608724480198E-2</v>
      </c>
      <c r="K294" s="6">
        <v>0.84522403106638999</v>
      </c>
      <c r="L294" s="6">
        <v>0.84522403106638999</v>
      </c>
      <c r="M294" s="6">
        <v>0.84522403106638999</v>
      </c>
      <c r="N294" s="6">
        <v>-0.86677263979087005</v>
      </c>
      <c r="O294" s="6">
        <v>-0.86677263979087005</v>
      </c>
      <c r="P294" s="6">
        <v>-0.86677263979087005</v>
      </c>
      <c r="Q294" s="6">
        <v>0</v>
      </c>
      <c r="R294" s="6">
        <v>0</v>
      </c>
      <c r="S294" s="6">
        <v>0</v>
      </c>
      <c r="T294" s="6">
        <v>17.847131723481599</v>
      </c>
    </row>
    <row r="295" spans="1:20" ht="13" x14ac:dyDescent="0.15">
      <c r="A295" s="6">
        <v>293</v>
      </c>
      <c r="B295" s="7">
        <v>43586</v>
      </c>
      <c r="C295" s="6">
        <v>17.864274881823199</v>
      </c>
      <c r="D295" s="6">
        <v>-16.423007559590602</v>
      </c>
      <c r="E295" s="6">
        <v>51.360479324260901</v>
      </c>
      <c r="F295" s="6">
        <v>17.864274881823199</v>
      </c>
      <c r="G295" s="6">
        <v>17.864274881823199</v>
      </c>
      <c r="H295" s="6">
        <v>-1.0141987653234199</v>
      </c>
      <c r="I295" s="6">
        <v>-1.0141987653234199</v>
      </c>
      <c r="J295" s="6">
        <v>-1.0141987653234199</v>
      </c>
      <c r="K295" s="6">
        <v>0.94874688043725997</v>
      </c>
      <c r="L295" s="6">
        <v>0.94874688043725997</v>
      </c>
      <c r="M295" s="6">
        <v>0.94874688043725997</v>
      </c>
      <c r="N295" s="6">
        <v>-1.96294564576068</v>
      </c>
      <c r="O295" s="6">
        <v>-1.96294564576068</v>
      </c>
      <c r="P295" s="6">
        <v>-1.96294564576068</v>
      </c>
      <c r="Q295" s="6">
        <v>0</v>
      </c>
      <c r="R295" s="6">
        <v>0</v>
      </c>
      <c r="S295" s="6">
        <v>0</v>
      </c>
      <c r="T295" s="6">
        <v>16.8500761164998</v>
      </c>
    </row>
    <row r="296" spans="1:20" ht="13" x14ac:dyDescent="0.15">
      <c r="A296" s="6">
        <v>294</v>
      </c>
      <c r="B296" s="7">
        <v>43587</v>
      </c>
      <c r="C296" s="6">
        <v>17.859869431440401</v>
      </c>
      <c r="D296" s="6">
        <v>-16.577675678090401</v>
      </c>
      <c r="E296" s="6">
        <v>46.525050842389703</v>
      </c>
      <c r="F296" s="6">
        <v>17.859869431440401</v>
      </c>
      <c r="G296" s="6">
        <v>17.859869431440401</v>
      </c>
      <c r="H296" s="6">
        <v>-2.66023195985189</v>
      </c>
      <c r="I296" s="6">
        <v>-2.66023195985189</v>
      </c>
      <c r="J296" s="6">
        <v>-2.66023195985189</v>
      </c>
      <c r="K296" s="6">
        <v>0.490155213559195</v>
      </c>
      <c r="L296" s="6">
        <v>0.490155213559195</v>
      </c>
      <c r="M296" s="6">
        <v>0.490155213559195</v>
      </c>
      <c r="N296" s="6">
        <v>-3.1503871734110902</v>
      </c>
      <c r="O296" s="6">
        <v>-3.1503871734110902</v>
      </c>
      <c r="P296" s="6">
        <v>-3.1503871734110902</v>
      </c>
      <c r="Q296" s="6">
        <v>0</v>
      </c>
      <c r="R296" s="6">
        <v>0</v>
      </c>
      <c r="S296" s="6">
        <v>0</v>
      </c>
      <c r="T296" s="6">
        <v>15.199637471588501</v>
      </c>
    </row>
    <row r="297" spans="1:20" ht="13" x14ac:dyDescent="0.15">
      <c r="A297" s="6">
        <v>295</v>
      </c>
      <c r="B297" s="7">
        <v>43588</v>
      </c>
      <c r="C297" s="6">
        <v>17.8554639810576</v>
      </c>
      <c r="D297" s="6">
        <v>-19.762838819717999</v>
      </c>
      <c r="E297" s="6">
        <v>46.556591323555203</v>
      </c>
      <c r="F297" s="6">
        <v>17.8554639810576</v>
      </c>
      <c r="G297" s="6">
        <v>17.8554639810576</v>
      </c>
      <c r="H297" s="6">
        <v>-4.4442667198273504</v>
      </c>
      <c r="I297" s="6">
        <v>-4.4442667198273504</v>
      </c>
      <c r="J297" s="6">
        <v>-4.4442667198273504</v>
      </c>
      <c r="K297" s="6">
        <v>-2.2976765059989999E-2</v>
      </c>
      <c r="L297" s="6">
        <v>-2.2976765059989999E-2</v>
      </c>
      <c r="M297" s="6">
        <v>-2.2976765059989999E-2</v>
      </c>
      <c r="N297" s="6">
        <v>-4.4212899547673601</v>
      </c>
      <c r="O297" s="6">
        <v>-4.4212899547673601</v>
      </c>
      <c r="P297" s="6">
        <v>-4.4212899547673601</v>
      </c>
      <c r="Q297" s="6">
        <v>0</v>
      </c>
      <c r="R297" s="6">
        <v>0</v>
      </c>
      <c r="S297" s="6">
        <v>0</v>
      </c>
      <c r="T297" s="6">
        <v>13.4111972612302</v>
      </c>
    </row>
    <row r="298" spans="1:20" ht="13" x14ac:dyDescent="0.15">
      <c r="A298" s="6">
        <v>296</v>
      </c>
      <c r="B298" s="7">
        <v>43591</v>
      </c>
      <c r="C298" s="6">
        <v>17.8422476299091</v>
      </c>
      <c r="D298" s="6">
        <v>-22.5216087993313</v>
      </c>
      <c r="E298" s="6">
        <v>41.382321993772798</v>
      </c>
      <c r="F298" s="6">
        <v>17.8422476299091</v>
      </c>
      <c r="G298" s="6">
        <v>17.8422476299091</v>
      </c>
      <c r="H298" s="6">
        <v>-6.7998246239644704</v>
      </c>
      <c r="I298" s="6">
        <v>-6.7998246239644704</v>
      </c>
      <c r="J298" s="6">
        <v>-6.7998246239644704</v>
      </c>
      <c r="K298" s="6">
        <v>1.8228906089357799</v>
      </c>
      <c r="L298" s="6">
        <v>1.8228906089357799</v>
      </c>
      <c r="M298" s="6">
        <v>1.8228906089357799</v>
      </c>
      <c r="N298" s="6">
        <v>-8.6227152329002603</v>
      </c>
      <c r="O298" s="6">
        <v>-8.6227152329002603</v>
      </c>
      <c r="P298" s="6">
        <v>-8.6227152329002603</v>
      </c>
      <c r="Q298" s="6">
        <v>0</v>
      </c>
      <c r="R298" s="6">
        <v>0</v>
      </c>
      <c r="S298" s="6">
        <v>0</v>
      </c>
      <c r="T298" s="6">
        <v>11.0424230059447</v>
      </c>
    </row>
    <row r="299" spans="1:20" ht="13" x14ac:dyDescent="0.15">
      <c r="A299" s="6">
        <v>297</v>
      </c>
      <c r="B299" s="7">
        <v>43592</v>
      </c>
      <c r="C299" s="6">
        <v>17.837842179526302</v>
      </c>
      <c r="D299" s="6">
        <v>-23.835214931665998</v>
      </c>
      <c r="E299" s="6">
        <v>38.404769294113599</v>
      </c>
      <c r="F299" s="6">
        <v>17.837842179526302</v>
      </c>
      <c r="G299" s="6">
        <v>17.837842179526302</v>
      </c>
      <c r="H299" s="6">
        <v>-9.2604461638382993</v>
      </c>
      <c r="I299" s="6">
        <v>-9.2604461638382993</v>
      </c>
      <c r="J299" s="6">
        <v>-9.2604461638382993</v>
      </c>
      <c r="K299" s="6">
        <v>0.84522403106493305</v>
      </c>
      <c r="L299" s="6">
        <v>0.84522403106493305</v>
      </c>
      <c r="M299" s="6">
        <v>0.84522403106493305</v>
      </c>
      <c r="N299" s="6">
        <v>-10.105670194903199</v>
      </c>
      <c r="O299" s="6">
        <v>-10.105670194903199</v>
      </c>
      <c r="P299" s="6">
        <v>-10.105670194903199</v>
      </c>
      <c r="Q299" s="6">
        <v>0</v>
      </c>
      <c r="R299" s="6">
        <v>0</v>
      </c>
      <c r="S299" s="6">
        <v>0</v>
      </c>
      <c r="T299" s="6">
        <v>8.5773960156880609</v>
      </c>
    </row>
    <row r="300" spans="1:20" ht="13" x14ac:dyDescent="0.15">
      <c r="A300" s="6">
        <v>298</v>
      </c>
      <c r="B300" s="7">
        <v>43593</v>
      </c>
      <c r="C300" s="6">
        <v>17.8334367291435</v>
      </c>
      <c r="D300" s="6">
        <v>-24.632023927349501</v>
      </c>
      <c r="E300" s="6">
        <v>38.795066652221003</v>
      </c>
      <c r="F300" s="6">
        <v>17.8334367291435</v>
      </c>
      <c r="G300" s="6">
        <v>17.8334367291435</v>
      </c>
      <c r="H300" s="6">
        <v>-10.653779156733</v>
      </c>
      <c r="I300" s="6">
        <v>-10.653779156733</v>
      </c>
      <c r="J300" s="6">
        <v>-10.653779156733</v>
      </c>
      <c r="K300" s="6">
        <v>0.94874688043642996</v>
      </c>
      <c r="L300" s="6">
        <v>0.94874688043642996</v>
      </c>
      <c r="M300" s="6">
        <v>0.94874688043642996</v>
      </c>
      <c r="N300" s="6">
        <v>-11.602526037169399</v>
      </c>
      <c r="O300" s="6">
        <v>-11.602526037169399</v>
      </c>
      <c r="P300" s="6">
        <v>-11.602526037169399</v>
      </c>
      <c r="Q300" s="6">
        <v>0</v>
      </c>
      <c r="R300" s="6">
        <v>0</v>
      </c>
      <c r="S300" s="6">
        <v>0</v>
      </c>
      <c r="T300" s="6">
        <v>7.1796575724105196</v>
      </c>
    </row>
    <row r="301" spans="1:20" ht="13" x14ac:dyDescent="0.15">
      <c r="A301" s="6">
        <v>299</v>
      </c>
      <c r="B301" s="7">
        <v>43594</v>
      </c>
      <c r="C301" s="6">
        <v>17.829031278760699</v>
      </c>
      <c r="D301" s="6">
        <v>-25.911487048587301</v>
      </c>
      <c r="E301" s="6">
        <v>34.7309688982305</v>
      </c>
      <c r="F301" s="6">
        <v>17.829031278760699</v>
      </c>
      <c r="G301" s="6">
        <v>17.829031278760699</v>
      </c>
      <c r="H301" s="6">
        <v>-12.605235385781899</v>
      </c>
      <c r="I301" s="6">
        <v>-12.605235385781899</v>
      </c>
      <c r="J301" s="6">
        <v>-12.605235385781899</v>
      </c>
      <c r="K301" s="6">
        <v>0.49015521355562902</v>
      </c>
      <c r="L301" s="6">
        <v>0.49015521355562902</v>
      </c>
      <c r="M301" s="6">
        <v>0.49015521355562902</v>
      </c>
      <c r="N301" s="6">
        <v>-13.095390599337501</v>
      </c>
      <c r="O301" s="6">
        <v>-13.095390599337501</v>
      </c>
      <c r="P301" s="6">
        <v>-13.095390599337501</v>
      </c>
      <c r="Q301" s="6">
        <v>0</v>
      </c>
      <c r="R301" s="6">
        <v>0</v>
      </c>
      <c r="S301" s="6">
        <v>0</v>
      </c>
      <c r="T301" s="6">
        <v>5.22379589297881</v>
      </c>
    </row>
    <row r="302" spans="1:20" ht="13" x14ac:dyDescent="0.15">
      <c r="A302" s="6">
        <v>300</v>
      </c>
      <c r="B302" s="7">
        <v>43595</v>
      </c>
      <c r="C302" s="6">
        <v>17.824625828377901</v>
      </c>
      <c r="D302" s="6">
        <v>-29.9607371474602</v>
      </c>
      <c r="E302" s="6">
        <v>34.809690565422002</v>
      </c>
      <c r="F302" s="6">
        <v>17.824625828377901</v>
      </c>
      <c r="G302" s="6">
        <v>17.824625828377901</v>
      </c>
      <c r="H302" s="6">
        <v>-14.588948114417599</v>
      </c>
      <c r="I302" s="6">
        <v>-14.588948114417599</v>
      </c>
      <c r="J302" s="6">
        <v>-14.588948114417599</v>
      </c>
      <c r="K302" s="6">
        <v>-2.2976765062602201E-2</v>
      </c>
      <c r="L302" s="6">
        <v>-2.2976765062602201E-2</v>
      </c>
      <c r="M302" s="6">
        <v>-2.2976765062602201E-2</v>
      </c>
      <c r="N302" s="6">
        <v>-14.565971349354999</v>
      </c>
      <c r="O302" s="6">
        <v>-14.565971349354999</v>
      </c>
      <c r="P302" s="6">
        <v>-14.565971349354999</v>
      </c>
      <c r="Q302" s="6">
        <v>0</v>
      </c>
      <c r="R302" s="6">
        <v>0</v>
      </c>
      <c r="S302" s="6">
        <v>0</v>
      </c>
      <c r="T302" s="6">
        <v>3.2356777139602202</v>
      </c>
    </row>
    <row r="303" spans="1:20" ht="13" x14ac:dyDescent="0.15">
      <c r="A303" s="6">
        <v>301</v>
      </c>
      <c r="B303" s="7">
        <v>43598</v>
      </c>
      <c r="C303" s="6">
        <v>17.8114094772294</v>
      </c>
      <c r="D303" s="6">
        <v>-32.1907329678764</v>
      </c>
      <c r="E303" s="6">
        <v>35.439286331396602</v>
      </c>
      <c r="F303" s="6">
        <v>17.8114094772294</v>
      </c>
      <c r="G303" s="6">
        <v>17.8114094772294</v>
      </c>
      <c r="H303" s="6">
        <v>-16.841655711908398</v>
      </c>
      <c r="I303" s="6">
        <v>-16.841655711908398</v>
      </c>
      <c r="J303" s="6">
        <v>-16.841655711908398</v>
      </c>
      <c r="K303" s="6">
        <v>1.82289060893871</v>
      </c>
      <c r="L303" s="6">
        <v>1.82289060893871</v>
      </c>
      <c r="M303" s="6">
        <v>1.82289060893871</v>
      </c>
      <c r="N303" s="6">
        <v>-18.664546320847201</v>
      </c>
      <c r="O303" s="6">
        <v>-18.664546320847201</v>
      </c>
      <c r="P303" s="6">
        <v>-18.664546320847201</v>
      </c>
      <c r="Q303" s="6">
        <v>0</v>
      </c>
      <c r="R303" s="6">
        <v>0</v>
      </c>
      <c r="S303" s="6">
        <v>0</v>
      </c>
      <c r="T303" s="6">
        <v>0.96975376532097002</v>
      </c>
    </row>
    <row r="304" spans="1:20" ht="13" x14ac:dyDescent="0.15">
      <c r="A304" s="6">
        <v>302</v>
      </c>
      <c r="B304" s="7">
        <v>43599</v>
      </c>
      <c r="C304" s="6">
        <v>17.807004026846599</v>
      </c>
      <c r="D304" s="6">
        <v>-35.240215278792697</v>
      </c>
      <c r="E304" s="6">
        <v>30.9219595480347</v>
      </c>
      <c r="F304" s="6">
        <v>17.807004026846599</v>
      </c>
      <c r="G304" s="6">
        <v>17.807004026846599</v>
      </c>
      <c r="H304" s="6">
        <v>-19.025575749058898</v>
      </c>
      <c r="I304" s="6">
        <v>-19.025575749058898</v>
      </c>
      <c r="J304" s="6">
        <v>-19.025575749058898</v>
      </c>
      <c r="K304" s="6">
        <v>0.84522403106576105</v>
      </c>
      <c r="L304" s="6">
        <v>0.84522403106576105</v>
      </c>
      <c r="M304" s="6">
        <v>0.84522403106576105</v>
      </c>
      <c r="N304" s="6">
        <v>-19.870799780124599</v>
      </c>
      <c r="O304" s="6">
        <v>-19.870799780124599</v>
      </c>
      <c r="P304" s="6">
        <v>-19.870799780124599</v>
      </c>
      <c r="Q304" s="6">
        <v>0</v>
      </c>
      <c r="R304" s="6">
        <v>0</v>
      </c>
      <c r="S304" s="6">
        <v>0</v>
      </c>
      <c r="T304" s="6">
        <v>-1.2185717222122701</v>
      </c>
    </row>
    <row r="305" spans="1:20" ht="13" x14ac:dyDescent="0.15">
      <c r="A305" s="6">
        <v>303</v>
      </c>
      <c r="B305" s="7">
        <v>43600</v>
      </c>
      <c r="C305" s="6">
        <v>17.802598576463801</v>
      </c>
      <c r="D305" s="6">
        <v>-34.141777843894403</v>
      </c>
      <c r="E305" s="6">
        <v>30.0005281133229</v>
      </c>
      <c r="F305" s="6">
        <v>17.802598576463801</v>
      </c>
      <c r="G305" s="6">
        <v>17.802598576463801</v>
      </c>
      <c r="H305" s="6">
        <v>-20.0241615525028</v>
      </c>
      <c r="I305" s="6">
        <v>-20.0241615525028</v>
      </c>
      <c r="J305" s="6">
        <v>-20.0241615525028</v>
      </c>
      <c r="K305" s="6">
        <v>0.94874688043681299</v>
      </c>
      <c r="L305" s="6">
        <v>0.94874688043681299</v>
      </c>
      <c r="M305" s="6">
        <v>0.94874688043681299</v>
      </c>
      <c r="N305" s="6">
        <v>-20.972908432939601</v>
      </c>
      <c r="O305" s="6">
        <v>-20.972908432939601</v>
      </c>
      <c r="P305" s="6">
        <v>-20.972908432939601</v>
      </c>
      <c r="Q305" s="6">
        <v>0</v>
      </c>
      <c r="R305" s="6">
        <v>0</v>
      </c>
      <c r="S305" s="6">
        <v>0</v>
      </c>
      <c r="T305" s="6">
        <v>-2.2215629760390301</v>
      </c>
    </row>
    <row r="306" spans="1:20" ht="13" x14ac:dyDescent="0.15">
      <c r="A306" s="6">
        <v>304</v>
      </c>
      <c r="B306" s="7">
        <v>43601</v>
      </c>
      <c r="C306" s="6">
        <v>17.798193126080999</v>
      </c>
      <c r="D306" s="6">
        <v>-33.8682668538546</v>
      </c>
      <c r="E306" s="6">
        <v>29.869820188710499</v>
      </c>
      <c r="F306" s="6">
        <v>17.798193126080999</v>
      </c>
      <c r="G306" s="6">
        <v>17.798193126080999</v>
      </c>
      <c r="H306" s="6">
        <v>-21.469146362937899</v>
      </c>
      <c r="I306" s="6">
        <v>-21.469146362937899</v>
      </c>
      <c r="J306" s="6">
        <v>-21.469146362937899</v>
      </c>
      <c r="K306" s="6">
        <v>0.49015521355680802</v>
      </c>
      <c r="L306" s="6">
        <v>0.49015521355680802</v>
      </c>
      <c r="M306" s="6">
        <v>0.49015521355680802</v>
      </c>
      <c r="N306" s="6">
        <v>-21.959301576494699</v>
      </c>
      <c r="O306" s="6">
        <v>-21.959301576494699</v>
      </c>
      <c r="P306" s="6">
        <v>-21.959301576494699</v>
      </c>
      <c r="Q306" s="6">
        <v>0</v>
      </c>
      <c r="R306" s="6">
        <v>0</v>
      </c>
      <c r="S306" s="6">
        <v>0</v>
      </c>
      <c r="T306" s="6">
        <v>-3.6709532368569202</v>
      </c>
    </row>
    <row r="307" spans="1:20" ht="13" x14ac:dyDescent="0.15">
      <c r="A307" s="6">
        <v>305</v>
      </c>
      <c r="B307" s="7">
        <v>43602</v>
      </c>
      <c r="C307" s="6">
        <v>17.793787675698098</v>
      </c>
      <c r="D307" s="6">
        <v>-36.619498738533999</v>
      </c>
      <c r="E307" s="6">
        <v>28.707469818984102</v>
      </c>
      <c r="F307" s="6">
        <v>17.793787675698098</v>
      </c>
      <c r="G307" s="6">
        <v>17.793787675698098</v>
      </c>
      <c r="H307" s="6">
        <v>-22.843764367454401</v>
      </c>
      <c r="I307" s="6">
        <v>-22.843764367454401</v>
      </c>
      <c r="J307" s="6">
        <v>-22.843764367454401</v>
      </c>
      <c r="K307" s="6">
        <v>-2.29767650606558E-2</v>
      </c>
      <c r="L307" s="6">
        <v>-2.29767650606558E-2</v>
      </c>
      <c r="M307" s="6">
        <v>-2.29767650606558E-2</v>
      </c>
      <c r="N307" s="6">
        <v>-22.8207876023938</v>
      </c>
      <c r="O307" s="6">
        <v>-22.8207876023938</v>
      </c>
      <c r="P307" s="6">
        <v>-22.8207876023938</v>
      </c>
      <c r="Q307" s="6">
        <v>0</v>
      </c>
      <c r="R307" s="6">
        <v>0</v>
      </c>
      <c r="S307" s="6">
        <v>0</v>
      </c>
      <c r="T307" s="6">
        <v>-5.0499766917562701</v>
      </c>
    </row>
    <row r="308" spans="1:20" ht="13" x14ac:dyDescent="0.15">
      <c r="A308" s="6">
        <v>306</v>
      </c>
      <c r="B308" s="7">
        <v>43605</v>
      </c>
      <c r="C308" s="6">
        <v>17.780571324549701</v>
      </c>
      <c r="D308" s="6">
        <v>-36.363679026216701</v>
      </c>
      <c r="E308" s="6">
        <v>26.1183523176093</v>
      </c>
      <c r="F308" s="6">
        <v>17.780571324549701</v>
      </c>
      <c r="G308" s="6">
        <v>17.780571324549701</v>
      </c>
      <c r="H308" s="6">
        <v>-22.780779625899498</v>
      </c>
      <c r="I308" s="6">
        <v>-22.780779625899498</v>
      </c>
      <c r="J308" s="6">
        <v>-22.780779625899498</v>
      </c>
      <c r="K308" s="6">
        <v>1.8228906089352499</v>
      </c>
      <c r="L308" s="6">
        <v>1.8228906089352499</v>
      </c>
      <c r="M308" s="6">
        <v>1.8228906089352499</v>
      </c>
      <c r="N308" s="6">
        <v>-24.603670234834699</v>
      </c>
      <c r="O308" s="6">
        <v>-24.603670234834699</v>
      </c>
      <c r="P308" s="6">
        <v>-24.603670234834699</v>
      </c>
      <c r="Q308" s="6">
        <v>0</v>
      </c>
      <c r="R308" s="6">
        <v>0</v>
      </c>
      <c r="S308" s="6">
        <v>0</v>
      </c>
      <c r="T308" s="6">
        <v>-5.0002083013498</v>
      </c>
    </row>
    <row r="309" spans="1:20" ht="13" x14ac:dyDescent="0.15">
      <c r="A309" s="6">
        <v>307</v>
      </c>
      <c r="B309" s="7">
        <v>43606</v>
      </c>
      <c r="C309" s="6">
        <v>17.7761658741669</v>
      </c>
      <c r="D309" s="6">
        <v>-39.741637696549802</v>
      </c>
      <c r="E309" s="6">
        <v>24.938328315905402</v>
      </c>
      <c r="F309" s="6">
        <v>17.7761658741669</v>
      </c>
      <c r="G309" s="6">
        <v>17.7761658741669</v>
      </c>
      <c r="H309" s="6">
        <v>-24.082115427424998</v>
      </c>
      <c r="I309" s="6">
        <v>-24.082115427424998</v>
      </c>
      <c r="J309" s="6">
        <v>-24.082115427424998</v>
      </c>
      <c r="K309" s="6">
        <v>0.84522403106511701</v>
      </c>
      <c r="L309" s="6">
        <v>0.84522403106511701</v>
      </c>
      <c r="M309" s="6">
        <v>0.84522403106511701</v>
      </c>
      <c r="N309" s="6">
        <v>-24.927339458490099</v>
      </c>
      <c r="O309" s="6">
        <v>-24.927339458490099</v>
      </c>
      <c r="P309" s="6">
        <v>-24.927339458490099</v>
      </c>
      <c r="Q309" s="6">
        <v>0</v>
      </c>
      <c r="R309" s="6">
        <v>0</v>
      </c>
      <c r="S309" s="6">
        <v>0</v>
      </c>
      <c r="T309" s="6">
        <v>-6.3059495532581202</v>
      </c>
    </row>
    <row r="310" spans="1:20" ht="13" x14ac:dyDescent="0.15">
      <c r="A310" s="6">
        <v>308</v>
      </c>
      <c r="B310" s="7">
        <v>43607</v>
      </c>
      <c r="C310" s="6">
        <v>17.771760423784102</v>
      </c>
      <c r="D310" s="6">
        <v>-38.307578147252997</v>
      </c>
      <c r="E310" s="6">
        <v>27.183610928100801</v>
      </c>
      <c r="F310" s="6">
        <v>17.771760423784102</v>
      </c>
      <c r="G310" s="6">
        <v>17.771760423784102</v>
      </c>
      <c r="H310" s="6">
        <v>-24.172190216982699</v>
      </c>
      <c r="I310" s="6">
        <v>-24.172190216982699</v>
      </c>
      <c r="J310" s="6">
        <v>-24.172190216982699</v>
      </c>
      <c r="K310" s="6">
        <v>0.94874688043598299</v>
      </c>
      <c r="L310" s="6">
        <v>0.94874688043598299</v>
      </c>
      <c r="M310" s="6">
        <v>0.94874688043598299</v>
      </c>
      <c r="N310" s="6">
        <v>-25.1209370974187</v>
      </c>
      <c r="O310" s="6">
        <v>-25.1209370974187</v>
      </c>
      <c r="P310" s="6">
        <v>-25.1209370974187</v>
      </c>
      <c r="Q310" s="6">
        <v>0</v>
      </c>
      <c r="R310" s="6">
        <v>0</v>
      </c>
      <c r="S310" s="6">
        <v>0</v>
      </c>
      <c r="T310" s="6">
        <v>-6.4004297931986702</v>
      </c>
    </row>
    <row r="311" spans="1:20" ht="13" x14ac:dyDescent="0.15">
      <c r="A311" s="6">
        <v>309</v>
      </c>
      <c r="B311" s="7">
        <v>43608</v>
      </c>
      <c r="C311" s="6">
        <v>17.767354973401201</v>
      </c>
      <c r="D311" s="6">
        <v>-39.027403132947597</v>
      </c>
      <c r="E311" s="6">
        <v>22.8010019177778</v>
      </c>
      <c r="F311" s="6">
        <v>17.767354973401201</v>
      </c>
      <c r="G311" s="6">
        <v>17.767354973401201</v>
      </c>
      <c r="H311" s="6">
        <v>-24.701405427823499</v>
      </c>
      <c r="I311" s="6">
        <v>-24.701405427823499</v>
      </c>
      <c r="J311" s="6">
        <v>-24.701405427823499</v>
      </c>
      <c r="K311" s="6">
        <v>0.49015521355798702</v>
      </c>
      <c r="L311" s="6">
        <v>0.49015521355798702</v>
      </c>
      <c r="M311" s="6">
        <v>0.49015521355798702</v>
      </c>
      <c r="N311" s="6">
        <v>-25.1915606413815</v>
      </c>
      <c r="O311" s="6">
        <v>-25.1915606413815</v>
      </c>
      <c r="P311" s="6">
        <v>-25.1915606413815</v>
      </c>
      <c r="Q311" s="6">
        <v>0</v>
      </c>
      <c r="R311" s="6">
        <v>0</v>
      </c>
      <c r="S311" s="6">
        <v>0</v>
      </c>
      <c r="T311" s="6">
        <v>-6.9340504544222901</v>
      </c>
    </row>
    <row r="312" spans="1:20" ht="13" x14ac:dyDescent="0.15">
      <c r="A312" s="6">
        <v>310</v>
      </c>
      <c r="B312" s="7">
        <v>43609</v>
      </c>
      <c r="C312" s="6">
        <v>17.762949523018399</v>
      </c>
      <c r="D312" s="6">
        <v>-37.897526810994599</v>
      </c>
      <c r="E312" s="6">
        <v>24.306026073610798</v>
      </c>
      <c r="F312" s="6">
        <v>17.762949523018399</v>
      </c>
      <c r="G312" s="6">
        <v>17.762949523018399</v>
      </c>
      <c r="H312" s="6">
        <v>-25.171637584547</v>
      </c>
      <c r="I312" s="6">
        <v>-25.171637584547</v>
      </c>
      <c r="J312" s="6">
        <v>-25.171637584547</v>
      </c>
      <c r="K312" s="6">
        <v>-2.29767650678263E-2</v>
      </c>
      <c r="L312" s="6">
        <v>-2.29767650678263E-2</v>
      </c>
      <c r="M312" s="6">
        <v>-2.29767650678263E-2</v>
      </c>
      <c r="N312" s="6">
        <v>-25.148660819479201</v>
      </c>
      <c r="O312" s="6">
        <v>-25.148660819479201</v>
      </c>
      <c r="P312" s="6">
        <v>-25.148660819479201</v>
      </c>
      <c r="Q312" s="6">
        <v>0</v>
      </c>
      <c r="R312" s="6">
        <v>0</v>
      </c>
      <c r="S312" s="6">
        <v>0</v>
      </c>
      <c r="T312" s="6">
        <v>-7.4086880615285704</v>
      </c>
    </row>
    <row r="313" spans="1:20" ht="13" x14ac:dyDescent="0.15">
      <c r="A313" s="6">
        <v>311</v>
      </c>
      <c r="B313" s="7">
        <v>43613</v>
      </c>
      <c r="C313" s="6">
        <v>17.7453277214872</v>
      </c>
      <c r="D313" s="6">
        <v>-37.334593484945003</v>
      </c>
      <c r="E313" s="6">
        <v>26.7761928655354</v>
      </c>
      <c r="F313" s="6">
        <v>17.7453277214872</v>
      </c>
      <c r="G313" s="6">
        <v>17.7453277214872</v>
      </c>
      <c r="H313" s="6">
        <v>-23.250448127833199</v>
      </c>
      <c r="I313" s="6">
        <v>-23.250448127833199</v>
      </c>
      <c r="J313" s="6">
        <v>-23.250448127833199</v>
      </c>
      <c r="K313" s="6">
        <v>0.84522403106365895</v>
      </c>
      <c r="L313" s="6">
        <v>0.84522403106365895</v>
      </c>
      <c r="M313" s="6">
        <v>0.84522403106365895</v>
      </c>
      <c r="N313" s="6">
        <v>-24.0956721588969</v>
      </c>
      <c r="O313" s="6">
        <v>-24.0956721588969</v>
      </c>
      <c r="P313" s="6">
        <v>-24.0956721588969</v>
      </c>
      <c r="Q313" s="6">
        <v>0</v>
      </c>
      <c r="R313" s="6">
        <v>0</v>
      </c>
      <c r="S313" s="6">
        <v>0</v>
      </c>
      <c r="T313" s="6">
        <v>-5.5051204063460801</v>
      </c>
    </row>
    <row r="314" spans="1:20" ht="13" x14ac:dyDescent="0.15">
      <c r="A314" s="6">
        <v>312</v>
      </c>
      <c r="B314" s="7">
        <v>43614</v>
      </c>
      <c r="C314" s="6">
        <v>17.740922271104299</v>
      </c>
      <c r="D314" s="6">
        <v>-36.644313413626897</v>
      </c>
      <c r="E314" s="6">
        <v>27.0832611668033</v>
      </c>
      <c r="F314" s="6">
        <v>17.740922271104299</v>
      </c>
      <c r="G314" s="6">
        <v>17.740922271104299</v>
      </c>
      <c r="H314" s="6">
        <v>-22.737671960900101</v>
      </c>
      <c r="I314" s="6">
        <v>-22.737671960900101</v>
      </c>
      <c r="J314" s="6">
        <v>-22.737671960900101</v>
      </c>
      <c r="K314" s="6">
        <v>0.94874688043783195</v>
      </c>
      <c r="L314" s="6">
        <v>0.94874688043783195</v>
      </c>
      <c r="M314" s="6">
        <v>0.94874688043783195</v>
      </c>
      <c r="N314" s="6">
        <v>-23.686418841338</v>
      </c>
      <c r="O314" s="6">
        <v>-23.686418841338</v>
      </c>
      <c r="P314" s="6">
        <v>-23.686418841338</v>
      </c>
      <c r="Q314" s="6">
        <v>0</v>
      </c>
      <c r="R314" s="6">
        <v>0</v>
      </c>
      <c r="S314" s="6">
        <v>0</v>
      </c>
      <c r="T314" s="6">
        <v>-4.9967496897958004</v>
      </c>
    </row>
    <row r="315" spans="1:20" ht="13" x14ac:dyDescent="0.15">
      <c r="A315" s="6">
        <v>313</v>
      </c>
      <c r="B315" s="7">
        <v>43615</v>
      </c>
      <c r="C315" s="6">
        <v>17.736516820721501</v>
      </c>
      <c r="D315" s="6">
        <v>-35.392734913350999</v>
      </c>
      <c r="E315" s="6">
        <v>28.9802667378361</v>
      </c>
      <c r="F315" s="6">
        <v>17.736516820721501</v>
      </c>
      <c r="G315" s="6">
        <v>17.736516820721501</v>
      </c>
      <c r="H315" s="6">
        <v>-22.760324877863599</v>
      </c>
      <c r="I315" s="6">
        <v>-22.760324877863599</v>
      </c>
      <c r="J315" s="6">
        <v>-22.760324877863599</v>
      </c>
      <c r="K315" s="6">
        <v>0.490155213558437</v>
      </c>
      <c r="L315" s="6">
        <v>0.490155213558437</v>
      </c>
      <c r="M315" s="6">
        <v>0.490155213558437</v>
      </c>
      <c r="N315" s="6">
        <v>-23.250480091422101</v>
      </c>
      <c r="O315" s="6">
        <v>-23.250480091422101</v>
      </c>
      <c r="P315" s="6">
        <v>-23.250480091422101</v>
      </c>
      <c r="Q315" s="6">
        <v>0</v>
      </c>
      <c r="R315" s="6">
        <v>0</v>
      </c>
      <c r="S315" s="6">
        <v>0</v>
      </c>
      <c r="T315" s="6">
        <v>-5.0238080571421104</v>
      </c>
    </row>
    <row r="316" spans="1:20" ht="13" x14ac:dyDescent="0.15">
      <c r="A316" s="6">
        <v>314</v>
      </c>
      <c r="B316" s="7">
        <v>43616</v>
      </c>
      <c r="C316" s="6">
        <v>17.7321113703387</v>
      </c>
      <c r="D316" s="6">
        <v>-38.309263614280901</v>
      </c>
      <c r="E316" s="6">
        <v>26.0332368512274</v>
      </c>
      <c r="F316" s="6">
        <v>17.7321113703387</v>
      </c>
      <c r="G316" s="6">
        <v>17.7321113703387</v>
      </c>
      <c r="H316" s="6">
        <v>-22.8264502694526</v>
      </c>
      <c r="I316" s="6">
        <v>-22.8264502694526</v>
      </c>
      <c r="J316" s="6">
        <v>-22.8264502694526</v>
      </c>
      <c r="K316" s="6">
        <v>-2.2976765061544401E-2</v>
      </c>
      <c r="L316" s="6">
        <v>-2.2976765061544401E-2</v>
      </c>
      <c r="M316" s="6">
        <v>-2.2976765061544401E-2</v>
      </c>
      <c r="N316" s="6">
        <v>-22.803473504391</v>
      </c>
      <c r="O316" s="6">
        <v>-22.803473504391</v>
      </c>
      <c r="P316" s="6">
        <v>-22.803473504391</v>
      </c>
      <c r="Q316" s="6">
        <v>0</v>
      </c>
      <c r="R316" s="6">
        <v>0</v>
      </c>
      <c r="S316" s="6">
        <v>0</v>
      </c>
      <c r="T316" s="6">
        <v>-5.0943388991138701</v>
      </c>
    </row>
    <row r="317" spans="1:20" ht="13" x14ac:dyDescent="0.15">
      <c r="A317" s="6">
        <v>315</v>
      </c>
      <c r="B317" s="7">
        <v>43619</v>
      </c>
      <c r="C317" s="6">
        <v>17.718895019190299</v>
      </c>
      <c r="D317" s="6">
        <v>-32.450715341359398</v>
      </c>
      <c r="E317" s="6">
        <v>32.676131414770303</v>
      </c>
      <c r="F317" s="6">
        <v>17.718895019190299</v>
      </c>
      <c r="G317" s="6">
        <v>17.718895019190299</v>
      </c>
      <c r="H317" s="6">
        <v>-19.714684239155499</v>
      </c>
      <c r="I317" s="6">
        <v>-19.714684239155499</v>
      </c>
      <c r="J317" s="6">
        <v>-19.714684239155499</v>
      </c>
      <c r="K317" s="6">
        <v>1.82289060893868</v>
      </c>
      <c r="L317" s="6">
        <v>1.82289060893868</v>
      </c>
      <c r="M317" s="6">
        <v>1.82289060893868</v>
      </c>
      <c r="N317" s="6">
        <v>-21.537574848094199</v>
      </c>
      <c r="O317" s="6">
        <v>-21.537574848094199</v>
      </c>
      <c r="P317" s="6">
        <v>-21.537574848094199</v>
      </c>
      <c r="Q317" s="6">
        <v>0</v>
      </c>
      <c r="R317" s="6">
        <v>0</v>
      </c>
      <c r="S317" s="6">
        <v>0</v>
      </c>
      <c r="T317" s="6">
        <v>-1.9957892199652201</v>
      </c>
    </row>
    <row r="318" spans="1:20" ht="13" x14ac:dyDescent="0.15">
      <c r="A318" s="6">
        <v>316</v>
      </c>
      <c r="B318" s="7">
        <v>43620</v>
      </c>
      <c r="C318" s="6">
        <v>17.714489568807402</v>
      </c>
      <c r="D318" s="6">
        <v>-35.987772600515001</v>
      </c>
      <c r="E318" s="6">
        <v>26.669214080567698</v>
      </c>
      <c r="F318" s="6">
        <v>17.714489568807402</v>
      </c>
      <c r="G318" s="6">
        <v>17.714489568807402</v>
      </c>
      <c r="H318" s="6">
        <v>-20.3351904655105</v>
      </c>
      <c r="I318" s="6">
        <v>-20.3351904655105</v>
      </c>
      <c r="J318" s="6">
        <v>-20.3351904655105</v>
      </c>
      <c r="K318" s="6">
        <v>0.84522403106382604</v>
      </c>
      <c r="L318" s="6">
        <v>0.84522403106382604</v>
      </c>
      <c r="M318" s="6">
        <v>0.84522403106382604</v>
      </c>
      <c r="N318" s="6">
        <v>-21.180414496574301</v>
      </c>
      <c r="O318" s="6">
        <v>-21.180414496574301</v>
      </c>
      <c r="P318" s="6">
        <v>-21.180414496574301</v>
      </c>
      <c r="Q318" s="6">
        <v>0</v>
      </c>
      <c r="R318" s="6">
        <v>0</v>
      </c>
      <c r="S318" s="6">
        <v>0</v>
      </c>
      <c r="T318" s="6">
        <v>-2.6207008967030299</v>
      </c>
    </row>
    <row r="319" spans="1:20" ht="13" x14ac:dyDescent="0.15">
      <c r="A319" s="6">
        <v>317</v>
      </c>
      <c r="B319" s="7">
        <v>43621</v>
      </c>
      <c r="C319" s="6">
        <v>17.7100841184246</v>
      </c>
      <c r="D319" s="6">
        <v>-37.051719884200502</v>
      </c>
      <c r="E319" s="6">
        <v>28.099884725044902</v>
      </c>
      <c r="F319" s="6">
        <v>17.7100841184246</v>
      </c>
      <c r="G319" s="6">
        <v>17.7100841184246</v>
      </c>
      <c r="H319" s="6">
        <v>-19.922056142798599</v>
      </c>
      <c r="I319" s="6">
        <v>-19.922056142798599</v>
      </c>
      <c r="J319" s="6">
        <v>-19.922056142798599</v>
      </c>
      <c r="K319" s="6">
        <v>0.94874688043492905</v>
      </c>
      <c r="L319" s="6">
        <v>0.94874688043492905</v>
      </c>
      <c r="M319" s="6">
        <v>0.94874688043492905</v>
      </c>
      <c r="N319" s="6">
        <v>-20.870803023233599</v>
      </c>
      <c r="O319" s="6">
        <v>-20.870803023233599</v>
      </c>
      <c r="P319" s="6">
        <v>-20.870803023233599</v>
      </c>
      <c r="Q319" s="6">
        <v>0</v>
      </c>
      <c r="R319" s="6">
        <v>0</v>
      </c>
      <c r="S319" s="6">
        <v>0</v>
      </c>
      <c r="T319" s="6">
        <v>-2.211972024374</v>
      </c>
    </row>
    <row r="320" spans="1:20" ht="13" x14ac:dyDescent="0.15">
      <c r="A320" s="6">
        <v>318</v>
      </c>
      <c r="B320" s="7">
        <v>43622</v>
      </c>
      <c r="C320" s="6">
        <v>17.705678668041799</v>
      </c>
      <c r="D320" s="6">
        <v>-34.500012332457501</v>
      </c>
      <c r="E320" s="6">
        <v>29.2221665381119</v>
      </c>
      <c r="F320" s="6">
        <v>17.705678668041799</v>
      </c>
      <c r="G320" s="6">
        <v>17.705678668041799</v>
      </c>
      <c r="H320" s="6">
        <v>-20.124380470976998</v>
      </c>
      <c r="I320" s="6">
        <v>-20.124380470976998</v>
      </c>
      <c r="J320" s="6">
        <v>-20.124380470976998</v>
      </c>
      <c r="K320" s="6">
        <v>0.49015521355559899</v>
      </c>
      <c r="L320" s="6">
        <v>0.49015521355559899</v>
      </c>
      <c r="M320" s="6">
        <v>0.49015521355559899</v>
      </c>
      <c r="N320" s="6">
        <v>-20.614535684532498</v>
      </c>
      <c r="O320" s="6">
        <v>-20.614535684532498</v>
      </c>
      <c r="P320" s="6">
        <v>-20.614535684532498</v>
      </c>
      <c r="Q320" s="6">
        <v>0</v>
      </c>
      <c r="R320" s="6">
        <v>0</v>
      </c>
      <c r="S320" s="6">
        <v>0</v>
      </c>
      <c r="T320" s="6">
        <v>-2.4187018029351499</v>
      </c>
    </row>
    <row r="321" spans="1:20" ht="13" x14ac:dyDescent="0.15">
      <c r="A321" s="6">
        <v>319</v>
      </c>
      <c r="B321" s="7">
        <v>43623</v>
      </c>
      <c r="C321" s="6">
        <v>17.701273217659001</v>
      </c>
      <c r="D321" s="6">
        <v>-37.418069240150601</v>
      </c>
      <c r="E321" s="6">
        <v>30.894908853946401</v>
      </c>
      <c r="F321" s="6">
        <v>17.701273217659001</v>
      </c>
      <c r="G321" s="6">
        <v>17.701273217659001</v>
      </c>
      <c r="H321" s="6">
        <v>-20.438015852225199</v>
      </c>
      <c r="I321" s="6">
        <v>-20.438015852225199</v>
      </c>
      <c r="J321" s="6">
        <v>-20.438015852225199</v>
      </c>
      <c r="K321" s="6">
        <v>-2.29767650641566E-2</v>
      </c>
      <c r="L321" s="6">
        <v>-2.29767650641566E-2</v>
      </c>
      <c r="M321" s="6">
        <v>-2.29767650641566E-2</v>
      </c>
      <c r="N321" s="6">
        <v>-20.415039087161102</v>
      </c>
      <c r="O321" s="6">
        <v>-20.415039087161102</v>
      </c>
      <c r="P321" s="6">
        <v>-20.415039087161102</v>
      </c>
      <c r="Q321" s="6">
        <v>0</v>
      </c>
      <c r="R321" s="6">
        <v>0</v>
      </c>
      <c r="S321" s="6">
        <v>0</v>
      </c>
      <c r="T321" s="6">
        <v>-2.73674263456624</v>
      </c>
    </row>
    <row r="322" spans="1:20" ht="13" x14ac:dyDescent="0.15">
      <c r="A322" s="6">
        <v>320</v>
      </c>
      <c r="B322" s="7">
        <v>43626</v>
      </c>
      <c r="C322" s="6">
        <v>17.6880568665105</v>
      </c>
      <c r="D322" s="6">
        <v>-31.2981380216156</v>
      </c>
      <c r="E322" s="6">
        <v>31.813618596414599</v>
      </c>
      <c r="F322" s="6">
        <v>17.6880568665105</v>
      </c>
      <c r="G322" s="6">
        <v>17.6880568665105</v>
      </c>
      <c r="H322" s="6">
        <v>-18.332929436024301</v>
      </c>
      <c r="I322" s="6">
        <v>-18.332929436024301</v>
      </c>
      <c r="J322" s="6">
        <v>-18.332929436024301</v>
      </c>
      <c r="K322" s="6">
        <v>1.8228906089364401</v>
      </c>
      <c r="L322" s="6">
        <v>1.8228906089364401</v>
      </c>
      <c r="M322" s="6">
        <v>1.8228906089364401</v>
      </c>
      <c r="N322" s="6">
        <v>-20.155820044960699</v>
      </c>
      <c r="O322" s="6">
        <v>-20.155820044960699</v>
      </c>
      <c r="P322" s="6">
        <v>-20.155820044960699</v>
      </c>
      <c r="Q322" s="6">
        <v>0</v>
      </c>
      <c r="R322" s="6">
        <v>0</v>
      </c>
      <c r="S322" s="6">
        <v>0</v>
      </c>
      <c r="T322" s="6">
        <v>-0.64487256951375804</v>
      </c>
    </row>
    <row r="323" spans="1:20" ht="13" x14ac:dyDescent="0.15">
      <c r="A323" s="6">
        <v>321</v>
      </c>
      <c r="B323" s="7">
        <v>43627</v>
      </c>
      <c r="C323" s="6">
        <v>17.683651416127699</v>
      </c>
      <c r="D323" s="6">
        <v>-33.1392574311255</v>
      </c>
      <c r="E323" s="6">
        <v>29.055960622371099</v>
      </c>
      <c r="F323" s="6">
        <v>17.683651416127699</v>
      </c>
      <c r="G323" s="6">
        <v>17.683651416127699</v>
      </c>
      <c r="H323" s="6">
        <v>-19.325587862465699</v>
      </c>
      <c r="I323" s="6">
        <v>-19.325587862465699</v>
      </c>
      <c r="J323" s="6">
        <v>-19.325587862465699</v>
      </c>
      <c r="K323" s="6">
        <v>0.84522403106775201</v>
      </c>
      <c r="L323" s="6">
        <v>0.84522403106775201</v>
      </c>
      <c r="M323" s="6">
        <v>0.84522403106775201</v>
      </c>
      <c r="N323" s="6">
        <v>-20.170811893533401</v>
      </c>
      <c r="O323" s="6">
        <v>-20.170811893533401</v>
      </c>
      <c r="P323" s="6">
        <v>-20.170811893533401</v>
      </c>
      <c r="Q323" s="6">
        <v>0</v>
      </c>
      <c r="R323" s="6">
        <v>0</v>
      </c>
      <c r="S323" s="6">
        <v>0</v>
      </c>
      <c r="T323" s="6">
        <v>-1.64193644633795</v>
      </c>
    </row>
    <row r="324" spans="1:20" ht="13" x14ac:dyDescent="0.15">
      <c r="A324" s="6">
        <v>322</v>
      </c>
      <c r="B324" s="7">
        <v>43628</v>
      </c>
      <c r="C324" s="6">
        <v>17.679245965744901</v>
      </c>
      <c r="D324" s="6">
        <v>-33.9122440860802</v>
      </c>
      <c r="E324" s="6">
        <v>31.957255906931501</v>
      </c>
      <c r="F324" s="6">
        <v>17.679245965744901</v>
      </c>
      <c r="G324" s="6">
        <v>17.679245965744901</v>
      </c>
      <c r="H324" s="6">
        <v>-19.276914181444699</v>
      </c>
      <c r="I324" s="6">
        <v>-19.276914181444699</v>
      </c>
      <c r="J324" s="6">
        <v>-19.276914181444699</v>
      </c>
      <c r="K324" s="6">
        <v>0.94874688043677902</v>
      </c>
      <c r="L324" s="6">
        <v>0.94874688043677902</v>
      </c>
      <c r="M324" s="6">
        <v>0.94874688043677902</v>
      </c>
      <c r="N324" s="6">
        <v>-20.2256610618815</v>
      </c>
      <c r="O324" s="6">
        <v>-20.2256610618815</v>
      </c>
      <c r="P324" s="6">
        <v>-20.2256610618815</v>
      </c>
      <c r="Q324" s="6">
        <v>0</v>
      </c>
      <c r="R324" s="6">
        <v>0</v>
      </c>
      <c r="S324" s="6">
        <v>0</v>
      </c>
      <c r="T324" s="6">
        <v>-1.5976682156998301</v>
      </c>
    </row>
    <row r="325" spans="1:20" ht="13" x14ac:dyDescent="0.15">
      <c r="A325" s="6">
        <v>323</v>
      </c>
      <c r="B325" s="7">
        <v>43629</v>
      </c>
      <c r="C325" s="6">
        <v>17.674840519798</v>
      </c>
      <c r="D325" s="6">
        <v>-35.828777648385</v>
      </c>
      <c r="E325" s="6">
        <v>28.839873643925301</v>
      </c>
      <c r="F325" s="6">
        <v>17.674840519798</v>
      </c>
      <c r="G325" s="6">
        <v>17.674840519798</v>
      </c>
      <c r="H325" s="6">
        <v>-19.821247164362301</v>
      </c>
      <c r="I325" s="6">
        <v>-19.821247164362301</v>
      </c>
      <c r="J325" s="6">
        <v>-19.821247164362301</v>
      </c>
      <c r="K325" s="6">
        <v>0.49015521355677799</v>
      </c>
      <c r="L325" s="6">
        <v>0.49015521355677799</v>
      </c>
      <c r="M325" s="6">
        <v>0.49015521355677799</v>
      </c>
      <c r="N325" s="6">
        <v>-20.311402377918998</v>
      </c>
      <c r="O325" s="6">
        <v>-20.311402377918998</v>
      </c>
      <c r="P325" s="6">
        <v>-20.311402377918998</v>
      </c>
      <c r="Q325" s="6">
        <v>0</v>
      </c>
      <c r="R325" s="6">
        <v>0</v>
      </c>
      <c r="S325" s="6">
        <v>0</v>
      </c>
      <c r="T325" s="6">
        <v>-2.1464066445643</v>
      </c>
    </row>
    <row r="326" spans="1:20" ht="13" x14ac:dyDescent="0.15">
      <c r="A326" s="6">
        <v>324</v>
      </c>
      <c r="B326" s="7">
        <v>43630</v>
      </c>
      <c r="C326" s="6">
        <v>17.670435073850999</v>
      </c>
      <c r="D326" s="6">
        <v>-36.623263598736202</v>
      </c>
      <c r="E326" s="6">
        <v>28.147947575410601</v>
      </c>
      <c r="F326" s="6">
        <v>17.670435073850999</v>
      </c>
      <c r="G326" s="6">
        <v>17.670435073850999</v>
      </c>
      <c r="H326" s="6">
        <v>-20.440853792656799</v>
      </c>
      <c r="I326" s="6">
        <v>-20.440853792656799</v>
      </c>
      <c r="J326" s="6">
        <v>-20.440853792656799</v>
      </c>
      <c r="K326" s="6">
        <v>-2.2976765066768701E-2</v>
      </c>
      <c r="L326" s="6">
        <v>-2.2976765066768701E-2</v>
      </c>
      <c r="M326" s="6">
        <v>-2.2976765066768701E-2</v>
      </c>
      <c r="N326" s="6">
        <v>-20.417877027589999</v>
      </c>
      <c r="O326" s="6">
        <v>-20.417877027589999</v>
      </c>
      <c r="P326" s="6">
        <v>-20.417877027589999</v>
      </c>
      <c r="Q326" s="6">
        <v>0</v>
      </c>
      <c r="R326" s="6">
        <v>0</v>
      </c>
      <c r="S326" s="6">
        <v>0</v>
      </c>
      <c r="T326" s="6">
        <v>-2.7704187188057401</v>
      </c>
    </row>
    <row r="327" spans="1:20" ht="13" x14ac:dyDescent="0.15">
      <c r="A327" s="6">
        <v>325</v>
      </c>
      <c r="B327" s="7">
        <v>43633</v>
      </c>
      <c r="C327" s="6">
        <v>17.657218736010201</v>
      </c>
      <c r="D327" s="6">
        <v>-34.348754809786001</v>
      </c>
      <c r="E327" s="6">
        <v>29.541535203259102</v>
      </c>
      <c r="F327" s="6">
        <v>17.657218736010201</v>
      </c>
      <c r="G327" s="6">
        <v>17.657218736010201</v>
      </c>
      <c r="H327" s="6">
        <v>-18.927096133983799</v>
      </c>
      <c r="I327" s="6">
        <v>-18.927096133983799</v>
      </c>
      <c r="J327" s="6">
        <v>-18.927096133983799</v>
      </c>
      <c r="K327" s="6">
        <v>1.8228906089369401</v>
      </c>
      <c r="L327" s="6">
        <v>1.8228906089369401</v>
      </c>
      <c r="M327" s="6">
        <v>1.8228906089369401</v>
      </c>
      <c r="N327" s="6">
        <v>-20.749986742920701</v>
      </c>
      <c r="O327" s="6">
        <v>-20.749986742920701</v>
      </c>
      <c r="P327" s="6">
        <v>-20.749986742920701</v>
      </c>
      <c r="Q327" s="6">
        <v>0</v>
      </c>
      <c r="R327" s="6">
        <v>0</v>
      </c>
      <c r="S327" s="6">
        <v>0</v>
      </c>
      <c r="T327" s="6">
        <v>-1.26987739797359</v>
      </c>
    </row>
    <row r="328" spans="1:20" ht="13" x14ac:dyDescent="0.15">
      <c r="A328" s="6">
        <v>326</v>
      </c>
      <c r="B328" s="7">
        <v>43634</v>
      </c>
      <c r="C328" s="6">
        <v>17.6528132900632</v>
      </c>
      <c r="D328" s="6">
        <v>-34.7080617647499</v>
      </c>
      <c r="E328" s="6">
        <v>30.272500350224298</v>
      </c>
      <c r="F328" s="6">
        <v>17.6528132900632</v>
      </c>
      <c r="G328" s="6">
        <v>17.6528132900632</v>
      </c>
      <c r="H328" s="6">
        <v>-19.981791278259401</v>
      </c>
      <c r="I328" s="6">
        <v>-19.981791278259401</v>
      </c>
      <c r="J328" s="6">
        <v>-19.981791278259401</v>
      </c>
      <c r="K328" s="6">
        <v>0.84522403106710697</v>
      </c>
      <c r="L328" s="6">
        <v>0.84522403106710697</v>
      </c>
      <c r="M328" s="6">
        <v>0.84522403106710697</v>
      </c>
      <c r="N328" s="6">
        <v>-20.827015309326502</v>
      </c>
      <c r="O328" s="6">
        <v>-20.827015309326502</v>
      </c>
      <c r="P328" s="6">
        <v>-20.827015309326502</v>
      </c>
      <c r="Q328" s="6">
        <v>0</v>
      </c>
      <c r="R328" s="6">
        <v>0</v>
      </c>
      <c r="S328" s="6">
        <v>0</v>
      </c>
      <c r="T328" s="6">
        <v>-2.3289779881961601</v>
      </c>
    </row>
    <row r="329" spans="1:20" ht="13" x14ac:dyDescent="0.15">
      <c r="A329" s="6">
        <v>327</v>
      </c>
      <c r="B329" s="7">
        <v>43635</v>
      </c>
      <c r="C329" s="6">
        <v>17.648407844116299</v>
      </c>
      <c r="D329" s="6">
        <v>-34.567439004784802</v>
      </c>
      <c r="E329" s="6">
        <v>29.462294353186898</v>
      </c>
      <c r="F329" s="6">
        <v>17.648407844116299</v>
      </c>
      <c r="G329" s="6">
        <v>17.648407844116299</v>
      </c>
      <c r="H329" s="6">
        <v>-19.920516152786501</v>
      </c>
      <c r="I329" s="6">
        <v>-19.920516152786501</v>
      </c>
      <c r="J329" s="6">
        <v>-19.920516152786501</v>
      </c>
      <c r="K329" s="6">
        <v>0.94874688043862798</v>
      </c>
      <c r="L329" s="6">
        <v>0.94874688043862798</v>
      </c>
      <c r="M329" s="6">
        <v>0.94874688043862798</v>
      </c>
      <c r="N329" s="6">
        <v>-20.869263033225099</v>
      </c>
      <c r="O329" s="6">
        <v>-20.869263033225099</v>
      </c>
      <c r="P329" s="6">
        <v>-20.869263033225099</v>
      </c>
      <c r="Q329" s="6">
        <v>0</v>
      </c>
      <c r="R329" s="6">
        <v>0</v>
      </c>
      <c r="S329" s="6">
        <v>0</v>
      </c>
      <c r="T329" s="6">
        <v>-2.2721083086701999</v>
      </c>
    </row>
    <row r="330" spans="1:20" ht="13" x14ac:dyDescent="0.15">
      <c r="A330" s="6">
        <v>328</v>
      </c>
      <c r="B330" s="7">
        <v>43636</v>
      </c>
      <c r="C330" s="6">
        <v>17.644002398169398</v>
      </c>
      <c r="D330" s="6">
        <v>-37.615904188350598</v>
      </c>
      <c r="E330" s="6">
        <v>26.917002606956999</v>
      </c>
      <c r="F330" s="6">
        <v>17.644002398169398</v>
      </c>
      <c r="G330" s="6">
        <v>17.644002398169398</v>
      </c>
      <c r="H330" s="6">
        <v>-20.3771663828119</v>
      </c>
      <c r="I330" s="6">
        <v>-20.3771663828119</v>
      </c>
      <c r="J330" s="6">
        <v>-20.3771663828119</v>
      </c>
      <c r="K330" s="6">
        <v>0.49015521355394098</v>
      </c>
      <c r="L330" s="6">
        <v>0.49015521355394098</v>
      </c>
      <c r="M330" s="6">
        <v>0.49015521355394098</v>
      </c>
      <c r="N330" s="6">
        <v>-20.867321596365901</v>
      </c>
      <c r="O330" s="6">
        <v>-20.867321596365901</v>
      </c>
      <c r="P330" s="6">
        <v>-20.867321596365901</v>
      </c>
      <c r="Q330" s="6">
        <v>0</v>
      </c>
      <c r="R330" s="6">
        <v>0</v>
      </c>
      <c r="S330" s="6">
        <v>0</v>
      </c>
      <c r="T330" s="6">
        <v>-2.7331639846425602</v>
      </c>
    </row>
    <row r="331" spans="1:20" ht="13" x14ac:dyDescent="0.15">
      <c r="A331" s="6">
        <v>329</v>
      </c>
      <c r="B331" s="7">
        <v>43637</v>
      </c>
      <c r="C331" s="6">
        <v>17.639596952222401</v>
      </c>
      <c r="D331" s="6">
        <v>-34.022898774409803</v>
      </c>
      <c r="E331" s="6">
        <v>30.3926699796172</v>
      </c>
      <c r="F331" s="6">
        <v>17.639596952222401</v>
      </c>
      <c r="G331" s="6">
        <v>17.639596952222401</v>
      </c>
      <c r="H331" s="6">
        <v>-20.836105602713101</v>
      </c>
      <c r="I331" s="6">
        <v>-20.836105602713101</v>
      </c>
      <c r="J331" s="6">
        <v>-20.836105602713101</v>
      </c>
      <c r="K331" s="6">
        <v>-2.2976765065045299E-2</v>
      </c>
      <c r="L331" s="6">
        <v>-2.2976765065045299E-2</v>
      </c>
      <c r="M331" s="6">
        <v>-2.2976765065045299E-2</v>
      </c>
      <c r="N331" s="6">
        <v>-20.813128837648001</v>
      </c>
      <c r="O331" s="6">
        <v>-20.813128837648001</v>
      </c>
      <c r="P331" s="6">
        <v>-20.813128837648001</v>
      </c>
      <c r="Q331" s="6">
        <v>0</v>
      </c>
      <c r="R331" s="6">
        <v>0</v>
      </c>
      <c r="S331" s="6">
        <v>0</v>
      </c>
      <c r="T331" s="6">
        <v>-3.1965086504906601</v>
      </c>
    </row>
    <row r="332" spans="1:20" ht="13" x14ac:dyDescent="0.15">
      <c r="A332" s="6">
        <v>330</v>
      </c>
      <c r="B332" s="7">
        <v>43640</v>
      </c>
      <c r="C332" s="6">
        <v>17.626380614381599</v>
      </c>
      <c r="D332" s="6">
        <v>-33.577516318365497</v>
      </c>
      <c r="E332" s="6">
        <v>32.307127882629601</v>
      </c>
      <c r="F332" s="6">
        <v>17.626380614381599</v>
      </c>
      <c r="G332" s="6">
        <v>17.626380614381599</v>
      </c>
      <c r="H332" s="6">
        <v>-18.4586775711028</v>
      </c>
      <c r="I332" s="6">
        <v>-18.4586775711028</v>
      </c>
      <c r="J332" s="6">
        <v>-18.4586775711028</v>
      </c>
      <c r="K332" s="6">
        <v>1.8228906089386501</v>
      </c>
      <c r="L332" s="6">
        <v>1.8228906089386501</v>
      </c>
      <c r="M332" s="6">
        <v>1.8228906089386501</v>
      </c>
      <c r="N332" s="6">
        <v>-20.2815681800414</v>
      </c>
      <c r="O332" s="6">
        <v>-20.2815681800414</v>
      </c>
      <c r="P332" s="6">
        <v>-20.2815681800414</v>
      </c>
      <c r="Q332" s="6">
        <v>0</v>
      </c>
      <c r="R332" s="6">
        <v>0</v>
      </c>
      <c r="S332" s="6">
        <v>0</v>
      </c>
      <c r="T332" s="6">
        <v>-0.832296956721162</v>
      </c>
    </row>
    <row r="333" spans="1:20" ht="13" x14ac:dyDescent="0.15">
      <c r="A333" s="6">
        <v>331</v>
      </c>
      <c r="B333" s="7">
        <v>43641</v>
      </c>
      <c r="C333" s="6">
        <v>17.621975168434599</v>
      </c>
      <c r="D333" s="6">
        <v>-32.902022852823997</v>
      </c>
      <c r="E333" s="6">
        <v>31.027235557238601</v>
      </c>
      <c r="F333" s="6">
        <v>17.621975168434599</v>
      </c>
      <c r="G333" s="6">
        <v>17.621975168434599</v>
      </c>
      <c r="H333" s="6">
        <v>-19.127159316226901</v>
      </c>
      <c r="I333" s="6">
        <v>-19.127159316226901</v>
      </c>
      <c r="J333" s="6">
        <v>-19.127159316226901</v>
      </c>
      <c r="K333" s="6">
        <v>0.84522403106565003</v>
      </c>
      <c r="L333" s="6">
        <v>0.84522403106565003</v>
      </c>
      <c r="M333" s="6">
        <v>0.84522403106565003</v>
      </c>
      <c r="N333" s="6">
        <v>-19.972383347292499</v>
      </c>
      <c r="O333" s="6">
        <v>-19.972383347292499</v>
      </c>
      <c r="P333" s="6">
        <v>-19.972383347292499</v>
      </c>
      <c r="Q333" s="6">
        <v>0</v>
      </c>
      <c r="R333" s="6">
        <v>0</v>
      </c>
      <c r="S333" s="6">
        <v>0</v>
      </c>
      <c r="T333" s="6">
        <v>-1.5051841477922301</v>
      </c>
    </row>
    <row r="334" spans="1:20" ht="13" x14ac:dyDescent="0.15">
      <c r="A334" s="6">
        <v>332</v>
      </c>
      <c r="B334" s="7">
        <v>43642</v>
      </c>
      <c r="C334" s="6">
        <v>17.617569722487701</v>
      </c>
      <c r="D334" s="6">
        <v>-31.1538549855171</v>
      </c>
      <c r="E334" s="6">
        <v>32.343252977088802</v>
      </c>
      <c r="F334" s="6">
        <v>17.617569722487701</v>
      </c>
      <c r="G334" s="6">
        <v>17.617569722487701</v>
      </c>
      <c r="H334" s="6">
        <v>-18.648948302502099</v>
      </c>
      <c r="I334" s="6">
        <v>-18.648948302502099</v>
      </c>
      <c r="J334" s="6">
        <v>-18.648948302502099</v>
      </c>
      <c r="K334" s="6">
        <v>0.94874688043572497</v>
      </c>
      <c r="L334" s="6">
        <v>0.94874688043572497</v>
      </c>
      <c r="M334" s="6">
        <v>0.94874688043572497</v>
      </c>
      <c r="N334" s="6">
        <v>-19.597695182937901</v>
      </c>
      <c r="O334" s="6">
        <v>-19.597695182937901</v>
      </c>
      <c r="P334" s="6">
        <v>-19.597695182937901</v>
      </c>
      <c r="Q334" s="6">
        <v>0</v>
      </c>
      <c r="R334" s="6">
        <v>0</v>
      </c>
      <c r="S334" s="6">
        <v>0</v>
      </c>
      <c r="T334" s="6">
        <v>-1.0313785800144399</v>
      </c>
    </row>
    <row r="335" spans="1:20" ht="13" x14ac:dyDescent="0.15">
      <c r="A335" s="6">
        <v>333</v>
      </c>
      <c r="B335" s="7">
        <v>43643</v>
      </c>
      <c r="C335" s="6">
        <v>17.6131642765408</v>
      </c>
      <c r="D335" s="6">
        <v>-34.225237992061103</v>
      </c>
      <c r="E335" s="6">
        <v>31.569327704655201</v>
      </c>
      <c r="F335" s="6">
        <v>17.6131642765408</v>
      </c>
      <c r="G335" s="6">
        <v>17.6131642765408</v>
      </c>
      <c r="H335" s="6">
        <v>-18.670611026248402</v>
      </c>
      <c r="I335" s="6">
        <v>-18.670611026248402</v>
      </c>
      <c r="J335" s="6">
        <v>-18.670611026248402</v>
      </c>
      <c r="K335" s="6">
        <v>0.49015521355840802</v>
      </c>
      <c r="L335" s="6">
        <v>0.49015521355840802</v>
      </c>
      <c r="M335" s="6">
        <v>0.49015521355840802</v>
      </c>
      <c r="N335" s="6">
        <v>-19.160766239806801</v>
      </c>
      <c r="O335" s="6">
        <v>-19.160766239806801</v>
      </c>
      <c r="P335" s="6">
        <v>-19.160766239806801</v>
      </c>
      <c r="Q335" s="6">
        <v>0</v>
      </c>
      <c r="R335" s="6">
        <v>0</v>
      </c>
      <c r="S335" s="6">
        <v>0</v>
      </c>
      <c r="T335" s="6">
        <v>-1.0574467497076401</v>
      </c>
    </row>
    <row r="336" spans="1:20" ht="13" x14ac:dyDescent="0.15">
      <c r="A336" s="6">
        <v>334</v>
      </c>
      <c r="B336" s="7">
        <v>43644</v>
      </c>
      <c r="C336" s="6">
        <v>17.6087588305938</v>
      </c>
      <c r="D336" s="6">
        <v>-32.149937685011601</v>
      </c>
      <c r="E336" s="6">
        <v>33.168790973981501</v>
      </c>
      <c r="F336" s="6">
        <v>17.6087588305938</v>
      </c>
      <c r="G336" s="6">
        <v>17.6087588305938</v>
      </c>
      <c r="H336" s="6">
        <v>-18.689668785261802</v>
      </c>
      <c r="I336" s="6">
        <v>-18.689668785261802</v>
      </c>
      <c r="J336" s="6">
        <v>-18.689668785261802</v>
      </c>
      <c r="K336" s="6">
        <v>-2.2976765063321799E-2</v>
      </c>
      <c r="L336" s="6">
        <v>-2.2976765063321799E-2</v>
      </c>
      <c r="M336" s="6">
        <v>-2.2976765063321799E-2</v>
      </c>
      <c r="N336" s="6">
        <v>-18.6666920201985</v>
      </c>
      <c r="O336" s="6">
        <v>-18.6666920201985</v>
      </c>
      <c r="P336" s="6">
        <v>-18.6666920201985</v>
      </c>
      <c r="Q336" s="6">
        <v>0</v>
      </c>
      <c r="R336" s="6">
        <v>0</v>
      </c>
      <c r="S336" s="6">
        <v>0</v>
      </c>
      <c r="T336" s="6">
        <v>-1.0809099546680001</v>
      </c>
    </row>
    <row r="337" spans="1:20" ht="13" x14ac:dyDescent="0.15">
      <c r="A337" s="6">
        <v>335</v>
      </c>
      <c r="B337" s="7">
        <v>43647</v>
      </c>
      <c r="C337" s="6">
        <v>17.595542492753001</v>
      </c>
      <c r="D337" s="6">
        <v>-31.440515528094899</v>
      </c>
      <c r="E337" s="6">
        <v>34.465463544522301</v>
      </c>
      <c r="F337" s="6">
        <v>17.595542492753001</v>
      </c>
      <c r="G337" s="6">
        <v>17.595542492753001</v>
      </c>
      <c r="H337" s="6">
        <v>-15.0929362512369</v>
      </c>
      <c r="I337" s="6">
        <v>-15.0929362512369</v>
      </c>
      <c r="J337" s="6">
        <v>-15.0929362512369</v>
      </c>
      <c r="K337" s="6">
        <v>1.8228906089391499</v>
      </c>
      <c r="L337" s="6">
        <v>1.8228906089391499</v>
      </c>
      <c r="M337" s="6">
        <v>1.8228906089391499</v>
      </c>
      <c r="N337" s="6">
        <v>-16.9158268601761</v>
      </c>
      <c r="O337" s="6">
        <v>-16.9158268601761</v>
      </c>
      <c r="P337" s="6">
        <v>-16.9158268601761</v>
      </c>
      <c r="Q337" s="6">
        <v>0</v>
      </c>
      <c r="R337" s="6">
        <v>0</v>
      </c>
      <c r="S337" s="6">
        <v>0</v>
      </c>
      <c r="T337" s="6">
        <v>2.5026062415160699</v>
      </c>
    </row>
    <row r="338" spans="1:20" ht="13" x14ac:dyDescent="0.15">
      <c r="A338" s="6">
        <v>336</v>
      </c>
      <c r="B338" s="7">
        <v>43648</v>
      </c>
      <c r="C338" s="6">
        <v>17.5911370468061</v>
      </c>
      <c r="D338" s="6">
        <v>-29.4458818941849</v>
      </c>
      <c r="E338" s="6">
        <v>35.032890506043501</v>
      </c>
      <c r="F338" s="6">
        <v>17.5911370468061</v>
      </c>
      <c r="G338" s="6">
        <v>17.5911370468061</v>
      </c>
      <c r="H338" s="6">
        <v>-15.4280763910097</v>
      </c>
      <c r="I338" s="6">
        <v>-15.4280763910097</v>
      </c>
      <c r="J338" s="6">
        <v>-15.4280763910097</v>
      </c>
      <c r="K338" s="6">
        <v>0.84522403106729005</v>
      </c>
      <c r="L338" s="6">
        <v>0.84522403106729005</v>
      </c>
      <c r="M338" s="6">
        <v>0.84522403106729005</v>
      </c>
      <c r="N338" s="6">
        <v>-16.273300422077</v>
      </c>
      <c r="O338" s="6">
        <v>-16.273300422077</v>
      </c>
      <c r="P338" s="6">
        <v>-16.273300422077</v>
      </c>
      <c r="Q338" s="6">
        <v>0</v>
      </c>
      <c r="R338" s="6">
        <v>0</v>
      </c>
      <c r="S338" s="6">
        <v>0</v>
      </c>
      <c r="T338" s="6">
        <v>2.1630606557963801</v>
      </c>
    </row>
    <row r="339" spans="1:20" ht="13" x14ac:dyDescent="0.15">
      <c r="A339" s="6">
        <v>337</v>
      </c>
      <c r="B339" s="7">
        <v>43649</v>
      </c>
      <c r="C339" s="6">
        <v>17.5867316008591</v>
      </c>
      <c r="D339" s="6">
        <v>-28.479333127947001</v>
      </c>
      <c r="E339" s="6">
        <v>35.564274453328402</v>
      </c>
      <c r="F339" s="6">
        <v>17.5867316008591</v>
      </c>
      <c r="G339" s="6">
        <v>17.5867316008591</v>
      </c>
      <c r="H339" s="6">
        <v>-14.6697451190979</v>
      </c>
      <c r="I339" s="6">
        <v>-14.6697451190979</v>
      </c>
      <c r="J339" s="6">
        <v>-14.6697451190979</v>
      </c>
      <c r="K339" s="6">
        <v>0.94874688043757405</v>
      </c>
      <c r="L339" s="6">
        <v>0.94874688043757405</v>
      </c>
      <c r="M339" s="6">
        <v>0.94874688043757405</v>
      </c>
      <c r="N339" s="6">
        <v>-15.6184919995355</v>
      </c>
      <c r="O339" s="6">
        <v>-15.6184919995355</v>
      </c>
      <c r="P339" s="6">
        <v>-15.6184919995355</v>
      </c>
      <c r="Q339" s="6">
        <v>0</v>
      </c>
      <c r="R339" s="6">
        <v>0</v>
      </c>
      <c r="S339" s="6">
        <v>0</v>
      </c>
      <c r="T339" s="6">
        <v>2.9169864817612199</v>
      </c>
    </row>
    <row r="340" spans="1:20" ht="13" x14ac:dyDescent="0.15">
      <c r="A340" s="6">
        <v>338</v>
      </c>
      <c r="B340" s="7">
        <v>43651</v>
      </c>
      <c r="C340" s="6">
        <v>17.577920708965198</v>
      </c>
      <c r="D340" s="6">
        <v>-28.901468914072201</v>
      </c>
      <c r="E340" s="6">
        <v>35.208887186593003</v>
      </c>
      <c r="F340" s="6">
        <v>17.577920708965198</v>
      </c>
      <c r="G340" s="6">
        <v>17.577920708965198</v>
      </c>
      <c r="H340" s="6">
        <v>-14.337503398112499</v>
      </c>
      <c r="I340" s="6">
        <v>-14.337503398112499</v>
      </c>
      <c r="J340" s="6">
        <v>-14.337503398112499</v>
      </c>
      <c r="K340" s="6">
        <v>-2.2976765065934001E-2</v>
      </c>
      <c r="L340" s="6">
        <v>-2.2976765065934001E-2</v>
      </c>
      <c r="M340" s="6">
        <v>-2.2976765065934001E-2</v>
      </c>
      <c r="N340" s="6">
        <v>-14.314526633046601</v>
      </c>
      <c r="O340" s="6">
        <v>-14.314526633046601</v>
      </c>
      <c r="P340" s="6">
        <v>-14.314526633046601</v>
      </c>
      <c r="Q340" s="6">
        <v>0</v>
      </c>
      <c r="R340" s="6">
        <v>0</v>
      </c>
      <c r="S340" s="6">
        <v>0</v>
      </c>
      <c r="T340" s="6">
        <v>3.2404173108526901</v>
      </c>
    </row>
    <row r="341" spans="1:20" ht="13" x14ac:dyDescent="0.15">
      <c r="A341" s="6">
        <v>339</v>
      </c>
      <c r="B341" s="7">
        <v>43654</v>
      </c>
      <c r="C341" s="6">
        <v>17.5647043711244</v>
      </c>
      <c r="D341" s="6">
        <v>-25.1434045345773</v>
      </c>
      <c r="E341" s="6">
        <v>38.937241558255302</v>
      </c>
      <c r="F341" s="6">
        <v>17.5647043711244</v>
      </c>
      <c r="G341" s="6">
        <v>17.5647043711244</v>
      </c>
      <c r="H341" s="6">
        <v>-10.6955773005767</v>
      </c>
      <c r="I341" s="6">
        <v>-10.6955773005767</v>
      </c>
      <c r="J341" s="6">
        <v>-10.6955773005767</v>
      </c>
      <c r="K341" s="6">
        <v>1.82289060893812</v>
      </c>
      <c r="L341" s="6">
        <v>1.82289060893812</v>
      </c>
      <c r="M341" s="6">
        <v>1.82289060893812</v>
      </c>
      <c r="N341" s="6">
        <v>-12.518467909514801</v>
      </c>
      <c r="O341" s="6">
        <v>-12.518467909514801</v>
      </c>
      <c r="P341" s="6">
        <v>-12.518467909514801</v>
      </c>
      <c r="Q341" s="6">
        <v>0</v>
      </c>
      <c r="R341" s="6">
        <v>0</v>
      </c>
      <c r="S341" s="6">
        <v>0</v>
      </c>
      <c r="T341" s="6">
        <v>6.8691270705476999</v>
      </c>
    </row>
    <row r="342" spans="1:20" ht="13" x14ac:dyDescent="0.15">
      <c r="A342" s="6">
        <v>340</v>
      </c>
      <c r="B342" s="7">
        <v>43655</v>
      </c>
      <c r="C342" s="6">
        <v>17.560298925177499</v>
      </c>
      <c r="D342" s="6">
        <v>-28.744723848018701</v>
      </c>
      <c r="E342" s="6">
        <v>40.314865434262103</v>
      </c>
      <c r="F342" s="6">
        <v>17.560298925177499</v>
      </c>
      <c r="G342" s="6">
        <v>17.560298925177499</v>
      </c>
      <c r="H342" s="6">
        <v>-11.1488612845866</v>
      </c>
      <c r="I342" s="6">
        <v>-11.1488612845866</v>
      </c>
      <c r="J342" s="6">
        <v>-11.1488612845866</v>
      </c>
      <c r="K342" s="6">
        <v>0.84522403106664501</v>
      </c>
      <c r="L342" s="6">
        <v>0.84522403106664501</v>
      </c>
      <c r="M342" s="6">
        <v>0.84522403106664501</v>
      </c>
      <c r="N342" s="6">
        <v>-11.994085315653299</v>
      </c>
      <c r="O342" s="6">
        <v>-11.994085315653299</v>
      </c>
      <c r="P342" s="6">
        <v>-11.994085315653299</v>
      </c>
      <c r="Q342" s="6">
        <v>0</v>
      </c>
      <c r="R342" s="6">
        <v>0</v>
      </c>
      <c r="S342" s="6">
        <v>0</v>
      </c>
      <c r="T342" s="6">
        <v>6.4114376405908304</v>
      </c>
    </row>
    <row r="343" spans="1:20" ht="13" x14ac:dyDescent="0.15">
      <c r="A343" s="6">
        <v>341</v>
      </c>
      <c r="B343" s="7">
        <v>43656</v>
      </c>
      <c r="C343" s="6">
        <v>17.555893479230502</v>
      </c>
      <c r="D343" s="6">
        <v>-25.382770230879199</v>
      </c>
      <c r="E343" s="6">
        <v>39.096783573347999</v>
      </c>
      <c r="F343" s="6">
        <v>17.555893479230502</v>
      </c>
      <c r="G343" s="6">
        <v>17.555893479230502</v>
      </c>
      <c r="H343" s="6">
        <v>-10.567059600065001</v>
      </c>
      <c r="I343" s="6">
        <v>-10.567059600065001</v>
      </c>
      <c r="J343" s="6">
        <v>-10.567059600065001</v>
      </c>
      <c r="K343" s="6">
        <v>0.94874688043674404</v>
      </c>
      <c r="L343" s="6">
        <v>0.94874688043674404</v>
      </c>
      <c r="M343" s="6">
        <v>0.94874688043674404</v>
      </c>
      <c r="N343" s="6">
        <v>-11.5158064805017</v>
      </c>
      <c r="O343" s="6">
        <v>-11.5158064805017</v>
      </c>
      <c r="P343" s="6">
        <v>-11.5158064805017</v>
      </c>
      <c r="Q343" s="6">
        <v>0</v>
      </c>
      <c r="R343" s="6">
        <v>0</v>
      </c>
      <c r="S343" s="6">
        <v>0</v>
      </c>
      <c r="T343" s="6">
        <v>6.9888338791655098</v>
      </c>
    </row>
    <row r="344" spans="1:20" ht="13" x14ac:dyDescent="0.15">
      <c r="A344" s="6">
        <v>342</v>
      </c>
      <c r="B344" s="7">
        <v>43657</v>
      </c>
      <c r="C344" s="6">
        <v>17.551488033283601</v>
      </c>
      <c r="D344" s="6">
        <v>-25.872271305017101</v>
      </c>
      <c r="E344" s="6">
        <v>39.163215313524702</v>
      </c>
      <c r="F344" s="6">
        <v>17.551488033283601</v>
      </c>
      <c r="G344" s="6">
        <v>17.551488033283601</v>
      </c>
      <c r="H344" s="6">
        <v>-10.5962000879298</v>
      </c>
      <c r="I344" s="6">
        <v>-10.5962000879298</v>
      </c>
      <c r="J344" s="6">
        <v>-10.5962000879298</v>
      </c>
      <c r="K344" s="6">
        <v>0.49015521355273201</v>
      </c>
      <c r="L344" s="6">
        <v>0.49015521355273201</v>
      </c>
      <c r="M344" s="6">
        <v>0.49015521355273201</v>
      </c>
      <c r="N344" s="6">
        <v>-11.0863553014825</v>
      </c>
      <c r="O344" s="6">
        <v>-11.0863553014825</v>
      </c>
      <c r="P344" s="6">
        <v>-11.0863553014825</v>
      </c>
      <c r="Q344" s="6">
        <v>0</v>
      </c>
      <c r="R344" s="6">
        <v>0</v>
      </c>
      <c r="S344" s="6">
        <v>0</v>
      </c>
      <c r="T344" s="6">
        <v>6.9552879453537697</v>
      </c>
    </row>
    <row r="345" spans="1:20" ht="13" x14ac:dyDescent="0.15">
      <c r="A345" s="6">
        <v>343</v>
      </c>
      <c r="B345" s="7">
        <v>43658</v>
      </c>
      <c r="C345" s="6">
        <v>17.5470825873366</v>
      </c>
      <c r="D345" s="6">
        <v>-23.867413689533901</v>
      </c>
      <c r="E345" s="6">
        <v>36.735606506187402</v>
      </c>
      <c r="F345" s="6">
        <v>17.5470825873366</v>
      </c>
      <c r="G345" s="6">
        <v>17.5470825873366</v>
      </c>
      <c r="H345" s="6">
        <v>-10.729516966296799</v>
      </c>
      <c r="I345" s="6">
        <v>-10.729516966296799</v>
      </c>
      <c r="J345" s="6">
        <v>-10.729516966296799</v>
      </c>
      <c r="K345" s="6">
        <v>-2.29767650596522E-2</v>
      </c>
      <c r="L345" s="6">
        <v>-2.29767650596522E-2</v>
      </c>
      <c r="M345" s="6">
        <v>-2.29767650596522E-2</v>
      </c>
      <c r="N345" s="6">
        <v>-10.7065402012372</v>
      </c>
      <c r="O345" s="6">
        <v>-10.7065402012372</v>
      </c>
      <c r="P345" s="6">
        <v>-10.7065402012372</v>
      </c>
      <c r="Q345" s="6">
        <v>0</v>
      </c>
      <c r="R345" s="6">
        <v>0</v>
      </c>
      <c r="S345" s="6">
        <v>0</v>
      </c>
      <c r="T345" s="6">
        <v>6.8175656210397904</v>
      </c>
    </row>
    <row r="346" spans="1:20" ht="13" x14ac:dyDescent="0.15">
      <c r="A346" s="6">
        <v>344</v>
      </c>
      <c r="B346" s="7">
        <v>43661</v>
      </c>
      <c r="C346" s="6">
        <v>17.533866249495802</v>
      </c>
      <c r="D346" s="6">
        <v>-23.635772286677099</v>
      </c>
      <c r="E346" s="6">
        <v>41.899280048508203</v>
      </c>
      <c r="F346" s="6">
        <v>17.533866249495802</v>
      </c>
      <c r="G346" s="6">
        <v>17.533866249495802</v>
      </c>
      <c r="H346" s="6">
        <v>-8.0213482753447494</v>
      </c>
      <c r="I346" s="6">
        <v>-8.0213482753447494</v>
      </c>
      <c r="J346" s="6">
        <v>-8.0213482753447494</v>
      </c>
      <c r="K346" s="6">
        <v>1.8228906089358701</v>
      </c>
      <c r="L346" s="6">
        <v>1.8228906089358701</v>
      </c>
      <c r="M346" s="6">
        <v>1.8228906089358701</v>
      </c>
      <c r="N346" s="6">
        <v>-9.8442388842806192</v>
      </c>
      <c r="O346" s="6">
        <v>-9.8442388842806192</v>
      </c>
      <c r="P346" s="6">
        <v>-9.8442388842806192</v>
      </c>
      <c r="Q346" s="6">
        <v>0</v>
      </c>
      <c r="R346" s="6">
        <v>0</v>
      </c>
      <c r="S346" s="6">
        <v>0</v>
      </c>
      <c r="T346" s="6">
        <v>9.5125179741511001</v>
      </c>
    </row>
    <row r="347" spans="1:20" ht="13" x14ac:dyDescent="0.15">
      <c r="A347" s="6">
        <v>345</v>
      </c>
      <c r="B347" s="7">
        <v>43662</v>
      </c>
      <c r="C347" s="6">
        <v>17.529460803548901</v>
      </c>
      <c r="D347" s="6">
        <v>-24.360045832090201</v>
      </c>
      <c r="E347" s="6">
        <v>38.205472851047404</v>
      </c>
      <c r="F347" s="6">
        <v>17.529460803548901</v>
      </c>
      <c r="G347" s="6">
        <v>17.529460803548901</v>
      </c>
      <c r="H347" s="6">
        <v>-8.7880791505801792</v>
      </c>
      <c r="I347" s="6">
        <v>-8.7880791505801792</v>
      </c>
      <c r="J347" s="6">
        <v>-8.7880791505801792</v>
      </c>
      <c r="K347" s="6">
        <v>0.84522403106599997</v>
      </c>
      <c r="L347" s="6">
        <v>0.84522403106599997</v>
      </c>
      <c r="M347" s="6">
        <v>0.84522403106599997</v>
      </c>
      <c r="N347" s="6">
        <v>-9.6333031816461805</v>
      </c>
      <c r="O347" s="6">
        <v>-9.6333031816461805</v>
      </c>
      <c r="P347" s="6">
        <v>-9.6333031816461805</v>
      </c>
      <c r="Q347" s="6">
        <v>0</v>
      </c>
      <c r="R347" s="6">
        <v>0</v>
      </c>
      <c r="S347" s="6">
        <v>0</v>
      </c>
      <c r="T347" s="6">
        <v>8.7413816529687303</v>
      </c>
    </row>
    <row r="348" spans="1:20" ht="13" x14ac:dyDescent="0.15">
      <c r="A348" s="6">
        <v>346</v>
      </c>
      <c r="B348" s="7">
        <v>43663</v>
      </c>
      <c r="C348" s="6">
        <v>17.5250553576019</v>
      </c>
      <c r="D348" s="6">
        <v>-24.053171988073899</v>
      </c>
      <c r="E348" s="6">
        <v>40.689320545428799</v>
      </c>
      <c r="F348" s="6">
        <v>17.5250553576019</v>
      </c>
      <c r="G348" s="6">
        <v>17.5250553576019</v>
      </c>
      <c r="H348" s="6">
        <v>-8.5000125660601604</v>
      </c>
      <c r="I348" s="6">
        <v>-8.5000125660601604</v>
      </c>
      <c r="J348" s="6">
        <v>-8.5000125660601604</v>
      </c>
      <c r="K348" s="6">
        <v>0.94874688043859301</v>
      </c>
      <c r="L348" s="6">
        <v>0.94874688043859301</v>
      </c>
      <c r="M348" s="6">
        <v>0.94874688043859301</v>
      </c>
      <c r="N348" s="6">
        <v>-9.4487594464987499</v>
      </c>
      <c r="O348" s="6">
        <v>-9.4487594464987499</v>
      </c>
      <c r="P348" s="6">
        <v>-9.4487594464987499</v>
      </c>
      <c r="Q348" s="6">
        <v>0</v>
      </c>
      <c r="R348" s="6">
        <v>0</v>
      </c>
      <c r="S348" s="6">
        <v>0</v>
      </c>
      <c r="T348" s="6">
        <v>9.0250427915418001</v>
      </c>
    </row>
    <row r="349" spans="1:20" ht="13" x14ac:dyDescent="0.15">
      <c r="A349" s="6">
        <v>347</v>
      </c>
      <c r="B349" s="7">
        <v>43664</v>
      </c>
      <c r="C349" s="6">
        <v>17.520649911654999</v>
      </c>
      <c r="D349" s="6">
        <v>-22.355856096006399</v>
      </c>
      <c r="E349" s="6">
        <v>40.5666390387115</v>
      </c>
      <c r="F349" s="6">
        <v>17.520649911654999</v>
      </c>
      <c r="G349" s="6">
        <v>17.520649911654999</v>
      </c>
      <c r="H349" s="6">
        <v>-8.7914892086017105</v>
      </c>
      <c r="I349" s="6">
        <v>-8.7914892086017105</v>
      </c>
      <c r="J349" s="6">
        <v>-8.7914892086017105</v>
      </c>
      <c r="K349" s="6">
        <v>0.49015521355719899</v>
      </c>
      <c r="L349" s="6">
        <v>0.49015521355719899</v>
      </c>
      <c r="M349" s="6">
        <v>0.49015521355719899</v>
      </c>
      <c r="N349" s="6">
        <v>-9.2816444221589105</v>
      </c>
      <c r="O349" s="6">
        <v>-9.2816444221589105</v>
      </c>
      <c r="P349" s="6">
        <v>-9.2816444221589105</v>
      </c>
      <c r="Q349" s="6">
        <v>0</v>
      </c>
      <c r="R349" s="6">
        <v>0</v>
      </c>
      <c r="S349" s="6">
        <v>0</v>
      </c>
      <c r="T349" s="6">
        <v>8.72916070305331</v>
      </c>
    </row>
    <row r="350" spans="1:20" ht="13" x14ac:dyDescent="0.15">
      <c r="A350" s="6">
        <v>348</v>
      </c>
      <c r="B350" s="7">
        <v>43665</v>
      </c>
      <c r="C350" s="6">
        <v>17.516244465707999</v>
      </c>
      <c r="D350" s="6">
        <v>-24.995251557589398</v>
      </c>
      <c r="E350" s="6">
        <v>40.652495802206602</v>
      </c>
      <c r="F350" s="6">
        <v>17.516244465707999</v>
      </c>
      <c r="G350" s="6">
        <v>17.516244465707999</v>
      </c>
      <c r="H350" s="6">
        <v>-9.1451558068206893</v>
      </c>
      <c r="I350" s="6">
        <v>-9.1451558068206893</v>
      </c>
      <c r="J350" s="6">
        <v>-9.1451558068206893</v>
      </c>
      <c r="K350" s="6">
        <v>-2.29767650668228E-2</v>
      </c>
      <c r="L350" s="6">
        <v>-2.29767650668228E-2</v>
      </c>
      <c r="M350" s="6">
        <v>-2.29767650668228E-2</v>
      </c>
      <c r="N350" s="6">
        <v>-9.1221790417538706</v>
      </c>
      <c r="O350" s="6">
        <v>-9.1221790417538706</v>
      </c>
      <c r="P350" s="6">
        <v>-9.1221790417538706</v>
      </c>
      <c r="Q350" s="6">
        <v>0</v>
      </c>
      <c r="R350" s="6">
        <v>0</v>
      </c>
      <c r="S350" s="6">
        <v>0</v>
      </c>
      <c r="T350" s="6">
        <v>8.3710886588873894</v>
      </c>
    </row>
    <row r="351" spans="1:20" ht="13" x14ac:dyDescent="0.15">
      <c r="A351" s="6">
        <v>349</v>
      </c>
      <c r="B351" s="7">
        <v>43668</v>
      </c>
      <c r="C351" s="6">
        <v>17.5030281278672</v>
      </c>
      <c r="D351" s="6">
        <v>-23.162524056839999</v>
      </c>
      <c r="E351" s="6">
        <v>41.269110873528</v>
      </c>
      <c r="F351" s="6">
        <v>17.5030281278672</v>
      </c>
      <c r="G351" s="6">
        <v>17.5030281278672</v>
      </c>
      <c r="H351" s="6">
        <v>-6.7640519933022603</v>
      </c>
      <c r="I351" s="6">
        <v>-6.7640519933022603</v>
      </c>
      <c r="J351" s="6">
        <v>-6.7640519933022603</v>
      </c>
      <c r="K351" s="6">
        <v>1.82289060893759</v>
      </c>
      <c r="L351" s="6">
        <v>1.82289060893759</v>
      </c>
      <c r="M351" s="6">
        <v>1.82289060893759</v>
      </c>
      <c r="N351" s="6">
        <v>-8.5869426022398496</v>
      </c>
      <c r="O351" s="6">
        <v>-8.5869426022398496</v>
      </c>
      <c r="P351" s="6">
        <v>-8.5869426022398496</v>
      </c>
      <c r="Q351" s="6">
        <v>0</v>
      </c>
      <c r="R351" s="6">
        <v>0</v>
      </c>
      <c r="S351" s="6">
        <v>0</v>
      </c>
      <c r="T351" s="6">
        <v>10.738976134565</v>
      </c>
    </row>
    <row r="352" spans="1:20" ht="13" x14ac:dyDescent="0.15">
      <c r="A352" s="6">
        <v>350</v>
      </c>
      <c r="B352" s="7">
        <v>43669</v>
      </c>
      <c r="C352" s="6">
        <v>17.498622681920299</v>
      </c>
      <c r="D352" s="6">
        <v>-20.567192652447599</v>
      </c>
      <c r="E352" s="6">
        <v>39.339474773054597</v>
      </c>
      <c r="F352" s="6">
        <v>17.498622681920299</v>
      </c>
      <c r="G352" s="6">
        <v>17.498622681920299</v>
      </c>
      <c r="H352" s="6">
        <v>-7.5110083521578703</v>
      </c>
      <c r="I352" s="6">
        <v>-7.5110083521578703</v>
      </c>
      <c r="J352" s="6">
        <v>-7.5110083521578703</v>
      </c>
      <c r="K352" s="6">
        <v>0.84522403106682797</v>
      </c>
      <c r="L352" s="6">
        <v>0.84522403106682797</v>
      </c>
      <c r="M352" s="6">
        <v>0.84522403106682797</v>
      </c>
      <c r="N352" s="6">
        <v>-8.3562323832247003</v>
      </c>
      <c r="O352" s="6">
        <v>-8.3562323832247003</v>
      </c>
      <c r="P352" s="6">
        <v>-8.3562323832247003</v>
      </c>
      <c r="Q352" s="6">
        <v>0</v>
      </c>
      <c r="R352" s="6">
        <v>0</v>
      </c>
      <c r="S352" s="6">
        <v>0</v>
      </c>
      <c r="T352" s="6">
        <v>9.9876143297624402</v>
      </c>
    </row>
    <row r="353" spans="1:20" ht="13" x14ac:dyDescent="0.15">
      <c r="A353" s="6">
        <v>351</v>
      </c>
      <c r="B353" s="7">
        <v>43670</v>
      </c>
      <c r="C353" s="6">
        <v>17.494217235973299</v>
      </c>
      <c r="D353" s="6">
        <v>-23.044431212862101</v>
      </c>
      <c r="E353" s="6">
        <v>41.620643598448098</v>
      </c>
      <c r="F353" s="6">
        <v>17.494217235973299</v>
      </c>
      <c r="G353" s="6">
        <v>17.494217235973299</v>
      </c>
      <c r="H353" s="6">
        <v>-7.1356559759613702</v>
      </c>
      <c r="I353" s="6">
        <v>-7.1356559759613702</v>
      </c>
      <c r="J353" s="6">
        <v>-7.1356559759613702</v>
      </c>
      <c r="K353" s="6">
        <v>0.94874688043836897</v>
      </c>
      <c r="L353" s="6">
        <v>0.94874688043836897</v>
      </c>
      <c r="M353" s="6">
        <v>0.94874688043836897</v>
      </c>
      <c r="N353" s="6">
        <v>-8.0844028563997394</v>
      </c>
      <c r="O353" s="6">
        <v>-8.0844028563997394</v>
      </c>
      <c r="P353" s="6">
        <v>-8.0844028563997394</v>
      </c>
      <c r="Q353" s="6">
        <v>0</v>
      </c>
      <c r="R353" s="6">
        <v>0</v>
      </c>
      <c r="S353" s="6">
        <v>0</v>
      </c>
      <c r="T353" s="6">
        <v>10.358561260011999</v>
      </c>
    </row>
    <row r="354" spans="1:20" ht="13" x14ac:dyDescent="0.15">
      <c r="A354" s="6">
        <v>352</v>
      </c>
      <c r="B354" s="7">
        <v>43671</v>
      </c>
      <c r="C354" s="6">
        <v>17.489811790026401</v>
      </c>
      <c r="D354" s="6">
        <v>-21.771659804677601</v>
      </c>
      <c r="E354" s="6">
        <v>41.819079110669001</v>
      </c>
      <c r="F354" s="6">
        <v>17.489811790026401</v>
      </c>
      <c r="G354" s="6">
        <v>17.489811790026401</v>
      </c>
      <c r="H354" s="6">
        <v>-7.2740438802315799</v>
      </c>
      <c r="I354" s="6">
        <v>-7.2740438802315799</v>
      </c>
      <c r="J354" s="6">
        <v>-7.2740438802315799</v>
      </c>
      <c r="K354" s="6">
        <v>0.49015521355363301</v>
      </c>
      <c r="L354" s="6">
        <v>0.49015521355363301</v>
      </c>
      <c r="M354" s="6">
        <v>0.49015521355363301</v>
      </c>
      <c r="N354" s="6">
        <v>-7.7641990937852201</v>
      </c>
      <c r="O354" s="6">
        <v>-7.7641990937852201</v>
      </c>
      <c r="P354" s="6">
        <v>-7.7641990937852201</v>
      </c>
      <c r="Q354" s="6">
        <v>0</v>
      </c>
      <c r="R354" s="6">
        <v>0</v>
      </c>
      <c r="S354" s="6">
        <v>0</v>
      </c>
      <c r="T354" s="6">
        <v>10.215767909794801</v>
      </c>
    </row>
    <row r="355" spans="1:20" ht="13" x14ac:dyDescent="0.15">
      <c r="A355" s="6">
        <v>353</v>
      </c>
      <c r="B355" s="7">
        <v>43672</v>
      </c>
      <c r="C355" s="6">
        <v>17.485406344079401</v>
      </c>
      <c r="D355" s="6">
        <v>-22.871350833923898</v>
      </c>
      <c r="E355" s="6">
        <v>42.580443828655902</v>
      </c>
      <c r="F355" s="6">
        <v>17.485406344079401</v>
      </c>
      <c r="G355" s="6">
        <v>17.485406344079401</v>
      </c>
      <c r="H355" s="6">
        <v>-7.4129030752890799</v>
      </c>
      <c r="I355" s="6">
        <v>-7.4129030752890799</v>
      </c>
      <c r="J355" s="6">
        <v>-7.4129030752890799</v>
      </c>
      <c r="K355" s="6">
        <v>-2.29767650648765E-2</v>
      </c>
      <c r="L355" s="6">
        <v>-2.29767650648765E-2</v>
      </c>
      <c r="M355" s="6">
        <v>-2.29767650648765E-2</v>
      </c>
      <c r="N355" s="6">
        <v>-7.3899263102242001</v>
      </c>
      <c r="O355" s="6">
        <v>-7.3899263102242001</v>
      </c>
      <c r="P355" s="6">
        <v>-7.3899263102242001</v>
      </c>
      <c r="Q355" s="6">
        <v>0</v>
      </c>
      <c r="R355" s="6">
        <v>0</v>
      </c>
      <c r="S355" s="6">
        <v>0</v>
      </c>
      <c r="T355" s="6">
        <v>10.072503268790401</v>
      </c>
    </row>
    <row r="356" spans="1:20" ht="13" x14ac:dyDescent="0.15">
      <c r="A356" s="6">
        <v>354</v>
      </c>
      <c r="B356" s="7">
        <v>43675</v>
      </c>
      <c r="C356" s="6">
        <v>17.472190006238598</v>
      </c>
      <c r="D356" s="6">
        <v>-20.801036107833799</v>
      </c>
      <c r="E356" s="6">
        <v>47.868704083035297</v>
      </c>
      <c r="F356" s="6">
        <v>17.472190006238598</v>
      </c>
      <c r="G356" s="6">
        <v>17.472190006238598</v>
      </c>
      <c r="H356" s="6">
        <v>-4.0907172400727596</v>
      </c>
      <c r="I356" s="6">
        <v>-4.0907172400727596</v>
      </c>
      <c r="J356" s="6">
        <v>-4.0907172400727596</v>
      </c>
      <c r="K356" s="6">
        <v>1.8228906089341299</v>
      </c>
      <c r="L356" s="6">
        <v>1.8228906089341299</v>
      </c>
      <c r="M356" s="6">
        <v>1.8228906089341299</v>
      </c>
      <c r="N356" s="6">
        <v>-5.9136078490068904</v>
      </c>
      <c r="O356" s="6">
        <v>-5.9136078490068904</v>
      </c>
      <c r="P356" s="6">
        <v>-5.9136078490068904</v>
      </c>
      <c r="Q356" s="6">
        <v>0</v>
      </c>
      <c r="R356" s="6">
        <v>0</v>
      </c>
      <c r="S356" s="6">
        <v>0</v>
      </c>
      <c r="T356" s="6">
        <v>13.381472766165899</v>
      </c>
    </row>
    <row r="357" spans="1:20" ht="13" x14ac:dyDescent="0.15">
      <c r="A357" s="6">
        <v>355</v>
      </c>
      <c r="B357" s="7">
        <v>43676</v>
      </c>
      <c r="C357" s="6">
        <v>17.467784560291701</v>
      </c>
      <c r="D357" s="6">
        <v>-19.008215310295</v>
      </c>
      <c r="E357" s="6">
        <v>46.2437242519633</v>
      </c>
      <c r="F357" s="6">
        <v>17.467784560291701</v>
      </c>
      <c r="G357" s="6">
        <v>17.467784560291701</v>
      </c>
      <c r="H357" s="6">
        <v>-4.4589673639053098</v>
      </c>
      <c r="I357" s="6">
        <v>-4.4589673639053098</v>
      </c>
      <c r="J357" s="6">
        <v>-4.4589673639053098</v>
      </c>
      <c r="K357" s="6">
        <v>0.84522403106699495</v>
      </c>
      <c r="L357" s="6">
        <v>0.84522403106699495</v>
      </c>
      <c r="M357" s="6">
        <v>0.84522403106699495</v>
      </c>
      <c r="N357" s="6">
        <v>-5.3041913949723103</v>
      </c>
      <c r="O357" s="6">
        <v>-5.3041913949723103</v>
      </c>
      <c r="P357" s="6">
        <v>-5.3041913949723103</v>
      </c>
      <c r="Q357" s="6">
        <v>0</v>
      </c>
      <c r="R357" s="6">
        <v>0</v>
      </c>
      <c r="S357" s="6">
        <v>0</v>
      </c>
      <c r="T357" s="6">
        <v>13.008817196386399</v>
      </c>
    </row>
    <row r="358" spans="1:20" ht="13" x14ac:dyDescent="0.15">
      <c r="A358" s="6">
        <v>356</v>
      </c>
      <c r="B358" s="7">
        <v>43677</v>
      </c>
      <c r="C358" s="6">
        <v>17.463379114344701</v>
      </c>
      <c r="D358" s="6">
        <v>-19.975173449731301</v>
      </c>
      <c r="E358" s="6">
        <v>44.524350798373199</v>
      </c>
      <c r="F358" s="6">
        <v>17.463379114344701</v>
      </c>
      <c r="G358" s="6">
        <v>17.463379114344701</v>
      </c>
      <c r="H358" s="6">
        <v>-3.6929026768639499</v>
      </c>
      <c r="I358" s="6">
        <v>-3.6929026768639499</v>
      </c>
      <c r="J358" s="6">
        <v>-3.6929026768639499</v>
      </c>
      <c r="K358" s="6">
        <v>0.94874688043753896</v>
      </c>
      <c r="L358" s="6">
        <v>0.94874688043753896</v>
      </c>
      <c r="M358" s="6">
        <v>0.94874688043753896</v>
      </c>
      <c r="N358" s="6">
        <v>-4.6416495573014904</v>
      </c>
      <c r="O358" s="6">
        <v>-4.6416495573014904</v>
      </c>
      <c r="P358" s="6">
        <v>-4.6416495573014904</v>
      </c>
      <c r="Q358" s="6">
        <v>0</v>
      </c>
      <c r="R358" s="6">
        <v>0</v>
      </c>
      <c r="S358" s="6">
        <v>0</v>
      </c>
      <c r="T358" s="6">
        <v>13.7704764374808</v>
      </c>
    </row>
    <row r="359" spans="1:20" ht="13" x14ac:dyDescent="0.15">
      <c r="A359" s="6">
        <v>357</v>
      </c>
      <c r="B359" s="7">
        <v>43678</v>
      </c>
      <c r="C359" s="6">
        <v>17.4589736683978</v>
      </c>
      <c r="D359" s="6">
        <v>-17.180775606817701</v>
      </c>
      <c r="E359" s="6">
        <v>46.704124768243702</v>
      </c>
      <c r="F359" s="6">
        <v>17.4589736683978</v>
      </c>
      <c r="G359" s="6">
        <v>17.4589736683978</v>
      </c>
      <c r="H359" s="6">
        <v>-3.4422094091184401</v>
      </c>
      <c r="I359" s="6">
        <v>-3.4422094091184401</v>
      </c>
      <c r="J359" s="6">
        <v>-3.4422094091184401</v>
      </c>
      <c r="K359" s="6">
        <v>0.49015521355882902</v>
      </c>
      <c r="L359" s="6">
        <v>0.49015521355882902</v>
      </c>
      <c r="M359" s="6">
        <v>0.49015521355882902</v>
      </c>
      <c r="N359" s="6">
        <v>-3.9323646226772699</v>
      </c>
      <c r="O359" s="6">
        <v>-3.9323646226772699</v>
      </c>
      <c r="P359" s="6">
        <v>-3.9323646226772699</v>
      </c>
      <c r="Q359" s="6">
        <v>0</v>
      </c>
      <c r="R359" s="6">
        <v>0</v>
      </c>
      <c r="S359" s="6">
        <v>0</v>
      </c>
      <c r="T359" s="6">
        <v>14.0167642592793</v>
      </c>
    </row>
    <row r="360" spans="1:20" ht="13" x14ac:dyDescent="0.15">
      <c r="A360" s="6">
        <v>358</v>
      </c>
      <c r="B360" s="7">
        <v>43679</v>
      </c>
      <c r="C360" s="6">
        <v>17.454568222450899</v>
      </c>
      <c r="D360" s="6">
        <v>-18.697595099843898</v>
      </c>
      <c r="E360" s="6">
        <v>44.739758880292896</v>
      </c>
      <c r="F360" s="6">
        <v>17.454568222450899</v>
      </c>
      <c r="G360" s="6">
        <v>17.454568222450899</v>
      </c>
      <c r="H360" s="6">
        <v>-3.2075474388837599</v>
      </c>
      <c r="I360" s="6">
        <v>-3.2075474388837599</v>
      </c>
      <c r="J360" s="6">
        <v>-3.2075474388837599</v>
      </c>
      <c r="K360" s="6">
        <v>-2.2976765067488501E-2</v>
      </c>
      <c r="L360" s="6">
        <v>-2.2976765067488501E-2</v>
      </c>
      <c r="M360" s="6">
        <v>-2.2976765067488501E-2</v>
      </c>
      <c r="N360" s="6">
        <v>-3.18457067381628</v>
      </c>
      <c r="O360" s="6">
        <v>-3.18457067381628</v>
      </c>
      <c r="P360" s="6">
        <v>-3.18457067381628</v>
      </c>
      <c r="Q360" s="6">
        <v>0</v>
      </c>
      <c r="R360" s="6">
        <v>0</v>
      </c>
      <c r="S360" s="6">
        <v>0</v>
      </c>
      <c r="T360" s="6">
        <v>14.2470207835671</v>
      </c>
    </row>
    <row r="361" spans="1:20" ht="13" x14ac:dyDescent="0.15">
      <c r="A361" s="6">
        <v>359</v>
      </c>
      <c r="B361" s="7">
        <v>43682</v>
      </c>
      <c r="C361" s="6">
        <v>17.44135188461</v>
      </c>
      <c r="D361" s="6">
        <v>-12.360879086259899</v>
      </c>
      <c r="E361" s="6">
        <v>50.389781092118703</v>
      </c>
      <c r="F361" s="6">
        <v>17.44135188461</v>
      </c>
      <c r="G361" s="6">
        <v>17.44135188461</v>
      </c>
      <c r="H361" s="6">
        <v>1.0076795498598501</v>
      </c>
      <c r="I361" s="6">
        <v>1.0076795498598501</v>
      </c>
      <c r="J361" s="6">
        <v>1.0076795498598501</v>
      </c>
      <c r="K361" s="6">
        <v>1.82289060893463</v>
      </c>
      <c r="L361" s="6">
        <v>1.82289060893463</v>
      </c>
      <c r="M361" s="6">
        <v>1.82289060893463</v>
      </c>
      <c r="N361" s="6">
        <v>-0.81521105907477698</v>
      </c>
      <c r="O361" s="6">
        <v>-0.81521105907477698</v>
      </c>
      <c r="P361" s="6">
        <v>-0.81521105907477698</v>
      </c>
      <c r="Q361" s="6">
        <v>0</v>
      </c>
      <c r="R361" s="6">
        <v>0</v>
      </c>
      <c r="S361" s="6">
        <v>0</v>
      </c>
      <c r="T361" s="6">
        <v>18.449031434469902</v>
      </c>
    </row>
    <row r="362" spans="1:20" ht="13" x14ac:dyDescent="0.15">
      <c r="A362" s="6">
        <v>360</v>
      </c>
      <c r="B362" s="7">
        <v>43683</v>
      </c>
      <c r="C362" s="6">
        <v>17.436946438663099</v>
      </c>
      <c r="D362" s="6">
        <v>-14.589834244817901</v>
      </c>
      <c r="E362" s="6">
        <v>49.354312381368501</v>
      </c>
      <c r="F362" s="6">
        <v>17.436946438663099</v>
      </c>
      <c r="G362" s="6">
        <v>17.436946438663099</v>
      </c>
      <c r="H362" s="6">
        <v>0.82134998769165302</v>
      </c>
      <c r="I362" s="6">
        <v>0.82134998769165302</v>
      </c>
      <c r="J362" s="6">
        <v>0.82134998769165302</v>
      </c>
      <c r="K362" s="6">
        <v>0.84522403106553801</v>
      </c>
      <c r="L362" s="6">
        <v>0.84522403106553801</v>
      </c>
      <c r="M362" s="6">
        <v>0.84522403106553801</v>
      </c>
      <c r="N362" s="6">
        <v>-2.3874043373885701E-2</v>
      </c>
      <c r="O362" s="6">
        <v>-2.3874043373885701E-2</v>
      </c>
      <c r="P362" s="6">
        <v>-2.3874043373885701E-2</v>
      </c>
      <c r="Q362" s="6">
        <v>0</v>
      </c>
      <c r="R362" s="6">
        <v>0</v>
      </c>
      <c r="S362" s="6">
        <v>0</v>
      </c>
      <c r="T362" s="6">
        <v>18.258296426354701</v>
      </c>
    </row>
    <row r="363" spans="1:20" ht="13" x14ac:dyDescent="0.15">
      <c r="A363" s="6">
        <v>361</v>
      </c>
      <c r="B363" s="7">
        <v>43684</v>
      </c>
      <c r="C363" s="6">
        <v>17.432540992716099</v>
      </c>
      <c r="D363" s="6">
        <v>-12.753668633835099</v>
      </c>
      <c r="E363" s="6">
        <v>51.289803164091197</v>
      </c>
      <c r="F363" s="6">
        <v>17.432540992716099</v>
      </c>
      <c r="G363" s="6">
        <v>17.432540992716099</v>
      </c>
      <c r="H363" s="6">
        <v>1.6953214251699</v>
      </c>
      <c r="I363" s="6">
        <v>1.6953214251699</v>
      </c>
      <c r="J363" s="6">
        <v>1.6953214251699</v>
      </c>
      <c r="K363" s="6">
        <v>0.94874688043670896</v>
      </c>
      <c r="L363" s="6">
        <v>0.94874688043670896</v>
      </c>
      <c r="M363" s="6">
        <v>0.94874688043670896</v>
      </c>
      <c r="N363" s="6">
        <v>0.74657454473319096</v>
      </c>
      <c r="O363" s="6">
        <v>0.74657454473319096</v>
      </c>
      <c r="P363" s="6">
        <v>0.74657454473319096</v>
      </c>
      <c r="Q363" s="6">
        <v>0</v>
      </c>
      <c r="R363" s="6">
        <v>0</v>
      </c>
      <c r="S363" s="6">
        <v>0</v>
      </c>
      <c r="T363" s="6">
        <v>19.127862417886</v>
      </c>
    </row>
    <row r="364" spans="1:20" ht="13" x14ac:dyDescent="0.15">
      <c r="A364" s="6">
        <v>362</v>
      </c>
      <c r="B364" s="7">
        <v>43685</v>
      </c>
      <c r="C364" s="6">
        <v>17.428135546769202</v>
      </c>
      <c r="D364" s="6">
        <v>-13.6087774658493</v>
      </c>
      <c r="E364" s="6">
        <v>51.745549330827103</v>
      </c>
      <c r="F364" s="6">
        <v>17.428135546769202</v>
      </c>
      <c r="G364" s="6">
        <v>17.428135546769202</v>
      </c>
      <c r="H364" s="6">
        <v>1.9732569047625499</v>
      </c>
      <c r="I364" s="6">
        <v>1.9732569047625499</v>
      </c>
      <c r="J364" s="6">
        <v>1.9732569047625499</v>
      </c>
      <c r="K364" s="6">
        <v>0.49015521355526198</v>
      </c>
      <c r="L364" s="6">
        <v>0.49015521355526198</v>
      </c>
      <c r="M364" s="6">
        <v>0.49015521355526198</v>
      </c>
      <c r="N364" s="6">
        <v>1.4831016912072901</v>
      </c>
      <c r="O364" s="6">
        <v>1.4831016912072901</v>
      </c>
      <c r="P364" s="6">
        <v>1.4831016912072901</v>
      </c>
      <c r="Q364" s="6">
        <v>0</v>
      </c>
      <c r="R364" s="6">
        <v>0</v>
      </c>
      <c r="S364" s="6">
        <v>0</v>
      </c>
      <c r="T364" s="6">
        <v>19.401392451531802</v>
      </c>
    </row>
    <row r="365" spans="1:20" ht="13" x14ac:dyDescent="0.15">
      <c r="A365" s="6">
        <v>363</v>
      </c>
      <c r="B365" s="7">
        <v>43686</v>
      </c>
      <c r="C365" s="6">
        <v>17.423730136241399</v>
      </c>
      <c r="D365" s="6">
        <v>-13.069460432791701</v>
      </c>
      <c r="E365" s="6">
        <v>53.154900645807601</v>
      </c>
      <c r="F365" s="6">
        <v>17.423730136241399</v>
      </c>
      <c r="G365" s="6">
        <v>17.423730136241399</v>
      </c>
      <c r="H365" s="6">
        <v>2.1502465778784599</v>
      </c>
      <c r="I365" s="6">
        <v>2.1502465778784599</v>
      </c>
      <c r="J365" s="6">
        <v>2.1502465778784599</v>
      </c>
      <c r="K365" s="6">
        <v>-2.29767650612068E-2</v>
      </c>
      <c r="L365" s="6">
        <v>-2.29767650612068E-2</v>
      </c>
      <c r="M365" s="6">
        <v>-2.29767650612068E-2</v>
      </c>
      <c r="N365" s="6">
        <v>2.1732233429396599</v>
      </c>
      <c r="O365" s="6">
        <v>2.1732233429396599</v>
      </c>
      <c r="P365" s="6">
        <v>2.1732233429396599</v>
      </c>
      <c r="Q365" s="6">
        <v>0</v>
      </c>
      <c r="R365" s="6">
        <v>0</v>
      </c>
      <c r="S365" s="6">
        <v>0</v>
      </c>
      <c r="T365" s="6">
        <v>19.573976714119901</v>
      </c>
    </row>
    <row r="366" spans="1:20" ht="13" x14ac:dyDescent="0.15">
      <c r="A366" s="6">
        <v>364</v>
      </c>
      <c r="B366" s="7">
        <v>43689</v>
      </c>
      <c r="C366" s="6">
        <v>17.410513904658099</v>
      </c>
      <c r="D366" s="6">
        <v>-9.1027021518178302</v>
      </c>
      <c r="E366" s="6">
        <v>55.339840049062303</v>
      </c>
      <c r="F366" s="6">
        <v>17.410513904658099</v>
      </c>
      <c r="G366" s="6">
        <v>17.410513904658099</v>
      </c>
      <c r="H366" s="6">
        <v>5.6796634821482597</v>
      </c>
      <c r="I366" s="6">
        <v>5.6796634821482597</v>
      </c>
      <c r="J366" s="6">
        <v>5.6796634821482597</v>
      </c>
      <c r="K366" s="6">
        <v>1.8228906089375601</v>
      </c>
      <c r="L366" s="6">
        <v>1.8228906089375601</v>
      </c>
      <c r="M366" s="6">
        <v>1.8228906089375601</v>
      </c>
      <c r="N366" s="6">
        <v>3.8567728732107001</v>
      </c>
      <c r="O366" s="6">
        <v>3.8567728732107001</v>
      </c>
      <c r="P366" s="6">
        <v>3.8567728732107001</v>
      </c>
      <c r="Q366" s="6">
        <v>0</v>
      </c>
      <c r="R366" s="6">
        <v>0</v>
      </c>
      <c r="S366" s="6">
        <v>0</v>
      </c>
      <c r="T366" s="6">
        <v>23.0901773868063</v>
      </c>
    </row>
    <row r="367" spans="1:20" ht="13" x14ac:dyDescent="0.15">
      <c r="A367" s="6">
        <v>365</v>
      </c>
      <c r="B367" s="7">
        <v>43690</v>
      </c>
      <c r="C367" s="6">
        <v>17.406108494130301</v>
      </c>
      <c r="D367" s="6">
        <v>-7.6016598487048501</v>
      </c>
      <c r="E367" s="6">
        <v>55.7371461838245</v>
      </c>
      <c r="F367" s="6">
        <v>17.406108494130301</v>
      </c>
      <c r="G367" s="6">
        <v>17.406108494130301</v>
      </c>
      <c r="H367" s="6">
        <v>5.1060618834824796</v>
      </c>
      <c r="I367" s="6">
        <v>5.1060618834824796</v>
      </c>
      <c r="J367" s="6">
        <v>5.1060618834824796</v>
      </c>
      <c r="K367" s="6">
        <v>0.84522403106489297</v>
      </c>
      <c r="L367" s="6">
        <v>0.84522403106489297</v>
      </c>
      <c r="M367" s="6">
        <v>0.84522403106489297</v>
      </c>
      <c r="N367" s="6">
        <v>4.2608378524175903</v>
      </c>
      <c r="O367" s="6">
        <v>4.2608378524175903</v>
      </c>
      <c r="P367" s="6">
        <v>4.2608378524175903</v>
      </c>
      <c r="Q367" s="6">
        <v>0</v>
      </c>
      <c r="R367" s="6">
        <v>0</v>
      </c>
      <c r="S367" s="6">
        <v>0</v>
      </c>
      <c r="T367" s="6">
        <v>22.512170377612801</v>
      </c>
    </row>
    <row r="368" spans="1:20" ht="13" x14ac:dyDescent="0.15">
      <c r="A368" s="6">
        <v>366</v>
      </c>
      <c r="B368" s="7">
        <v>43691</v>
      </c>
      <c r="C368" s="6">
        <v>17.401703083602499</v>
      </c>
      <c r="D368" s="6">
        <v>-8.8803291121577406</v>
      </c>
      <c r="E368" s="6">
        <v>56.617185674791301</v>
      </c>
      <c r="F368" s="6">
        <v>17.401703083602499</v>
      </c>
      <c r="G368" s="6">
        <v>17.401703083602499</v>
      </c>
      <c r="H368" s="6">
        <v>5.52599713879773</v>
      </c>
      <c r="I368" s="6">
        <v>5.52599713879773</v>
      </c>
      <c r="J368" s="6">
        <v>5.52599713879773</v>
      </c>
      <c r="K368" s="6">
        <v>0.948746880439165</v>
      </c>
      <c r="L368" s="6">
        <v>0.948746880439165</v>
      </c>
      <c r="M368" s="6">
        <v>0.948746880439165</v>
      </c>
      <c r="N368" s="6">
        <v>4.5772502583585597</v>
      </c>
      <c r="O368" s="6">
        <v>4.5772502583585597</v>
      </c>
      <c r="P368" s="6">
        <v>4.5772502583585597</v>
      </c>
      <c r="Q368" s="6">
        <v>0</v>
      </c>
      <c r="R368" s="6">
        <v>0</v>
      </c>
      <c r="S368" s="6">
        <v>0</v>
      </c>
      <c r="T368" s="6">
        <v>22.927700222400201</v>
      </c>
    </row>
    <row r="369" spans="1:20" ht="13" x14ac:dyDescent="0.15">
      <c r="A369" s="6">
        <v>367</v>
      </c>
      <c r="B369" s="7">
        <v>43692</v>
      </c>
      <c r="C369" s="6">
        <v>17.3972976730747</v>
      </c>
      <c r="D369" s="6">
        <v>-8.4996186404119207</v>
      </c>
      <c r="E369" s="6">
        <v>53.664800119142299</v>
      </c>
      <c r="F369" s="6">
        <v>17.3972976730747</v>
      </c>
      <c r="G369" s="6">
        <v>17.3972976730747</v>
      </c>
      <c r="H369" s="6">
        <v>5.2941600207640098</v>
      </c>
      <c r="I369" s="6">
        <v>5.2941600207640098</v>
      </c>
      <c r="J369" s="6">
        <v>5.2941600207640098</v>
      </c>
      <c r="K369" s="6">
        <v>0.49015521355644098</v>
      </c>
      <c r="L369" s="6">
        <v>0.49015521355644098</v>
      </c>
      <c r="M369" s="6">
        <v>0.49015521355644098</v>
      </c>
      <c r="N369" s="6">
        <v>4.8040048072075701</v>
      </c>
      <c r="O369" s="6">
        <v>4.8040048072075701</v>
      </c>
      <c r="P369" s="6">
        <v>4.8040048072075701</v>
      </c>
      <c r="Q369" s="6">
        <v>0</v>
      </c>
      <c r="R369" s="6">
        <v>0</v>
      </c>
      <c r="S369" s="6">
        <v>0</v>
      </c>
      <c r="T369" s="6">
        <v>22.6914576938388</v>
      </c>
    </row>
    <row r="370" spans="1:20" ht="13" x14ac:dyDescent="0.15">
      <c r="A370" s="6">
        <v>368</v>
      </c>
      <c r="B370" s="7">
        <v>43693</v>
      </c>
      <c r="C370" s="6">
        <v>17.392892262547001</v>
      </c>
      <c r="D370" s="6">
        <v>-11.177602576965199</v>
      </c>
      <c r="E370" s="6">
        <v>55.9199691852846</v>
      </c>
      <c r="F370" s="6">
        <v>17.392892262547001</v>
      </c>
      <c r="G370" s="6">
        <v>17.392892262547001</v>
      </c>
      <c r="H370" s="6">
        <v>4.9185962038896403</v>
      </c>
      <c r="I370" s="6">
        <v>4.9185962038896403</v>
      </c>
      <c r="J370" s="6">
        <v>4.9185962038896403</v>
      </c>
      <c r="K370" s="6">
        <v>-2.2976765059260301E-2</v>
      </c>
      <c r="L370" s="6">
        <v>-2.2976765059260301E-2</v>
      </c>
      <c r="M370" s="6">
        <v>-2.2976765059260301E-2</v>
      </c>
      <c r="N370" s="6">
        <v>4.9415729689488996</v>
      </c>
      <c r="O370" s="6">
        <v>4.9415729689488996</v>
      </c>
      <c r="P370" s="6">
        <v>4.9415729689488996</v>
      </c>
      <c r="Q370" s="6">
        <v>0</v>
      </c>
      <c r="R370" s="6">
        <v>0</v>
      </c>
      <c r="S370" s="6">
        <v>0</v>
      </c>
      <c r="T370" s="6">
        <v>22.3114884664366</v>
      </c>
    </row>
    <row r="371" spans="1:20" ht="13" x14ac:dyDescent="0.15">
      <c r="A371" s="6">
        <v>369</v>
      </c>
      <c r="B371" s="7">
        <v>43696</v>
      </c>
      <c r="C371" s="6">
        <v>17.379676030963601</v>
      </c>
      <c r="D371" s="6">
        <v>-9.0944293125737996</v>
      </c>
      <c r="E371" s="6">
        <v>56.446296486676502</v>
      </c>
      <c r="F371" s="6">
        <v>17.379676030963601</v>
      </c>
      <c r="G371" s="6">
        <v>17.379676030963601</v>
      </c>
      <c r="H371" s="6">
        <v>6.6839374203910298</v>
      </c>
      <c r="I371" s="6">
        <v>6.6839374203910298</v>
      </c>
      <c r="J371" s="6">
        <v>6.6839374203910298</v>
      </c>
      <c r="K371" s="6">
        <v>1.8228906089340899</v>
      </c>
      <c r="L371" s="6">
        <v>1.8228906089340899</v>
      </c>
      <c r="M371" s="6">
        <v>1.8228906089340899</v>
      </c>
      <c r="N371" s="6">
        <v>4.8610468114569301</v>
      </c>
      <c r="O371" s="6">
        <v>4.8610468114569301</v>
      </c>
      <c r="P371" s="6">
        <v>4.8610468114569301</v>
      </c>
      <c r="Q371" s="6">
        <v>0</v>
      </c>
      <c r="R371" s="6">
        <v>0</v>
      </c>
      <c r="S371" s="6">
        <v>0</v>
      </c>
      <c r="T371" s="6">
        <v>24.063613451354598</v>
      </c>
    </row>
    <row r="372" spans="1:20" ht="13" x14ac:dyDescent="0.15">
      <c r="A372" s="6">
        <v>370</v>
      </c>
      <c r="B372" s="7">
        <v>43697</v>
      </c>
      <c r="C372" s="6">
        <v>17.375270620435799</v>
      </c>
      <c r="D372" s="6">
        <v>-9.51855919569614</v>
      </c>
      <c r="E372" s="6">
        <v>55.436119899329299</v>
      </c>
      <c r="F372" s="6">
        <v>17.375270620435799</v>
      </c>
      <c r="G372" s="6">
        <v>17.375270620435799</v>
      </c>
      <c r="H372" s="6">
        <v>5.54065945596472</v>
      </c>
      <c r="I372" s="6">
        <v>5.54065945596472</v>
      </c>
      <c r="J372" s="6">
        <v>5.54065945596472</v>
      </c>
      <c r="K372" s="6">
        <v>0.84522403106572197</v>
      </c>
      <c r="L372" s="6">
        <v>0.84522403106572197</v>
      </c>
      <c r="M372" s="6">
        <v>0.84522403106572197</v>
      </c>
      <c r="N372" s="6">
        <v>4.6954354248990002</v>
      </c>
      <c r="O372" s="6">
        <v>4.6954354248990002</v>
      </c>
      <c r="P372" s="6">
        <v>4.6954354248990002</v>
      </c>
      <c r="Q372" s="6">
        <v>0</v>
      </c>
      <c r="R372" s="6">
        <v>0</v>
      </c>
      <c r="S372" s="6">
        <v>0</v>
      </c>
      <c r="T372" s="6">
        <v>22.915930076400599</v>
      </c>
    </row>
    <row r="373" spans="1:20" ht="13" x14ac:dyDescent="0.15">
      <c r="A373" s="6">
        <v>371</v>
      </c>
      <c r="B373" s="7">
        <v>43698</v>
      </c>
      <c r="C373" s="6">
        <v>17.3708652099081</v>
      </c>
      <c r="D373" s="6">
        <v>-10.392150322959299</v>
      </c>
      <c r="E373" s="6">
        <v>54.620680089449998</v>
      </c>
      <c r="F373" s="6">
        <v>17.3708652099081</v>
      </c>
      <c r="G373" s="6">
        <v>17.3708652099081</v>
      </c>
      <c r="H373" s="6">
        <v>5.4271422624160799</v>
      </c>
      <c r="I373" s="6">
        <v>5.4271422624160799</v>
      </c>
      <c r="J373" s="6">
        <v>5.4271422624160799</v>
      </c>
      <c r="K373" s="6">
        <v>0.94874688043565503</v>
      </c>
      <c r="L373" s="6">
        <v>0.94874688043565503</v>
      </c>
      <c r="M373" s="6">
        <v>0.94874688043565503</v>
      </c>
      <c r="N373" s="6">
        <v>4.4783953819804196</v>
      </c>
      <c r="O373" s="6">
        <v>4.4783953819804196</v>
      </c>
      <c r="P373" s="6">
        <v>4.4783953819804196</v>
      </c>
      <c r="Q373" s="6">
        <v>0</v>
      </c>
      <c r="R373" s="6">
        <v>0</v>
      </c>
      <c r="S373" s="6">
        <v>0</v>
      </c>
      <c r="T373" s="6">
        <v>22.798007472324102</v>
      </c>
    </row>
    <row r="374" spans="1:20" ht="13" x14ac:dyDescent="0.15">
      <c r="A374" s="6">
        <v>372</v>
      </c>
      <c r="B374" s="7">
        <v>43699</v>
      </c>
      <c r="C374" s="6">
        <v>17.366459799380301</v>
      </c>
      <c r="D374" s="6">
        <v>-9.1172535036854097</v>
      </c>
      <c r="E374" s="6">
        <v>55.624043884891897</v>
      </c>
      <c r="F374" s="6">
        <v>17.366459799380301</v>
      </c>
      <c r="G374" s="6">
        <v>17.366459799380301</v>
      </c>
      <c r="H374" s="6">
        <v>4.7133243884620901</v>
      </c>
      <c r="I374" s="6">
        <v>4.7133243884620901</v>
      </c>
      <c r="J374" s="6">
        <v>4.7133243884620901</v>
      </c>
      <c r="K374" s="6">
        <v>0.49015521355761998</v>
      </c>
      <c r="L374" s="6">
        <v>0.49015521355761998</v>
      </c>
      <c r="M374" s="6">
        <v>0.49015521355761998</v>
      </c>
      <c r="N374" s="6">
        <v>4.22316917490447</v>
      </c>
      <c r="O374" s="6">
        <v>4.22316917490447</v>
      </c>
      <c r="P374" s="6">
        <v>4.22316917490447</v>
      </c>
      <c r="Q374" s="6">
        <v>0</v>
      </c>
      <c r="R374" s="6">
        <v>0</v>
      </c>
      <c r="S374" s="6">
        <v>0</v>
      </c>
      <c r="T374" s="6">
        <v>22.079784187842399</v>
      </c>
    </row>
    <row r="375" spans="1:20" ht="13" x14ac:dyDescent="0.15">
      <c r="A375" s="6">
        <v>373</v>
      </c>
      <c r="B375" s="7">
        <v>43700</v>
      </c>
      <c r="C375" s="6">
        <v>17.362054388852499</v>
      </c>
      <c r="D375" s="6">
        <v>-9.9321578585864394</v>
      </c>
      <c r="E375" s="6">
        <v>53.637944481407601</v>
      </c>
      <c r="F375" s="6">
        <v>17.362054388852499</v>
      </c>
      <c r="G375" s="6">
        <v>17.362054388852499</v>
      </c>
      <c r="H375" s="6">
        <v>3.9211518080779699</v>
      </c>
      <c r="I375" s="6">
        <v>3.9211518080779699</v>
      </c>
      <c r="J375" s="6">
        <v>3.9211518080779699</v>
      </c>
      <c r="K375" s="6">
        <v>-2.2976765066430899E-2</v>
      </c>
      <c r="L375" s="6">
        <v>-2.2976765066430899E-2</v>
      </c>
      <c r="M375" s="6">
        <v>-2.2976765066430899E-2</v>
      </c>
      <c r="N375" s="6">
        <v>3.9441285731444</v>
      </c>
      <c r="O375" s="6">
        <v>3.9441285731444</v>
      </c>
      <c r="P375" s="6">
        <v>3.9441285731444</v>
      </c>
      <c r="Q375" s="6">
        <v>0</v>
      </c>
      <c r="R375" s="6">
        <v>0</v>
      </c>
      <c r="S375" s="6">
        <v>0</v>
      </c>
      <c r="T375" s="6">
        <v>21.2832061969305</v>
      </c>
    </row>
    <row r="376" spans="1:20" ht="13" x14ac:dyDescent="0.15">
      <c r="A376" s="6">
        <v>374</v>
      </c>
      <c r="B376" s="7">
        <v>43703</v>
      </c>
      <c r="C376" s="6">
        <v>17.348838157269199</v>
      </c>
      <c r="D376" s="6">
        <v>-10.2639576393734</v>
      </c>
      <c r="E376" s="6">
        <v>55.771602580555196</v>
      </c>
      <c r="F376" s="6">
        <v>17.348838157269199</v>
      </c>
      <c r="G376" s="6">
        <v>17.348838157269199</v>
      </c>
      <c r="H376" s="6">
        <v>4.9384638903104703</v>
      </c>
      <c r="I376" s="6">
        <v>4.9384638903104703</v>
      </c>
      <c r="J376" s="6">
        <v>4.9384638903104703</v>
      </c>
      <c r="K376" s="6">
        <v>1.8228906089358099</v>
      </c>
      <c r="L376" s="6">
        <v>1.8228906089358099</v>
      </c>
      <c r="M376" s="6">
        <v>1.8228906089358099</v>
      </c>
      <c r="N376" s="6">
        <v>3.1155732813746502</v>
      </c>
      <c r="O376" s="6">
        <v>3.1155732813746502</v>
      </c>
      <c r="P376" s="6">
        <v>3.1155732813746502</v>
      </c>
      <c r="Q376" s="6">
        <v>0</v>
      </c>
      <c r="R376" s="6">
        <v>0</v>
      </c>
      <c r="S376" s="6">
        <v>0</v>
      </c>
      <c r="T376" s="6">
        <v>22.287302047579601</v>
      </c>
    </row>
    <row r="377" spans="1:20" ht="13" x14ac:dyDescent="0.15">
      <c r="A377" s="6">
        <v>375</v>
      </c>
      <c r="B377" s="7">
        <v>43704</v>
      </c>
      <c r="C377" s="6">
        <v>17.344432746741401</v>
      </c>
      <c r="D377" s="6">
        <v>-11.0780893053638</v>
      </c>
      <c r="E377" s="6">
        <v>52.385740651101699</v>
      </c>
      <c r="F377" s="6">
        <v>17.344432746741401</v>
      </c>
      <c r="G377" s="6">
        <v>17.344432746741401</v>
      </c>
      <c r="H377" s="6">
        <v>3.73725971062037</v>
      </c>
      <c r="I377" s="6">
        <v>3.73725971062037</v>
      </c>
      <c r="J377" s="6">
        <v>3.73725971062037</v>
      </c>
      <c r="K377" s="6">
        <v>0.84522403106426403</v>
      </c>
      <c r="L377" s="6">
        <v>0.84522403106426403</v>
      </c>
      <c r="M377" s="6">
        <v>0.84522403106426403</v>
      </c>
      <c r="N377" s="6">
        <v>2.8920356795561002</v>
      </c>
      <c r="O377" s="6">
        <v>2.8920356795561002</v>
      </c>
      <c r="P377" s="6">
        <v>2.8920356795561002</v>
      </c>
      <c r="Q377" s="6">
        <v>0</v>
      </c>
      <c r="R377" s="6">
        <v>0</v>
      </c>
      <c r="S377" s="6">
        <v>0</v>
      </c>
      <c r="T377" s="6">
        <v>21.081692457361701</v>
      </c>
    </row>
    <row r="378" spans="1:20" ht="13" x14ac:dyDescent="0.15">
      <c r="A378" s="6">
        <v>376</v>
      </c>
      <c r="B378" s="7">
        <v>43705</v>
      </c>
      <c r="C378" s="6">
        <v>17.340027336213598</v>
      </c>
      <c r="D378" s="6">
        <v>-12.7952888728829</v>
      </c>
      <c r="E378" s="6">
        <v>54.3938303342061</v>
      </c>
      <c r="F378" s="6">
        <v>17.340027336213598</v>
      </c>
      <c r="G378" s="6">
        <v>17.340027336213598</v>
      </c>
      <c r="H378" s="6">
        <v>3.6664656094320698</v>
      </c>
      <c r="I378" s="6">
        <v>3.6664656094320698</v>
      </c>
      <c r="J378" s="6">
        <v>3.6664656094320698</v>
      </c>
      <c r="K378" s="6">
        <v>0.94874688043811095</v>
      </c>
      <c r="L378" s="6">
        <v>0.94874688043811095</v>
      </c>
      <c r="M378" s="6">
        <v>0.94874688043811095</v>
      </c>
      <c r="N378" s="6">
        <v>2.7177187289939599</v>
      </c>
      <c r="O378" s="6">
        <v>2.7177187289939599</v>
      </c>
      <c r="P378" s="6">
        <v>2.7177187289939599</v>
      </c>
      <c r="Q378" s="6">
        <v>0</v>
      </c>
      <c r="R378" s="6">
        <v>0</v>
      </c>
      <c r="S378" s="6">
        <v>0</v>
      </c>
      <c r="T378" s="6">
        <v>21.0064929456457</v>
      </c>
    </row>
    <row r="379" spans="1:20" ht="13" x14ac:dyDescent="0.15">
      <c r="A379" s="6">
        <v>377</v>
      </c>
      <c r="B379" s="7">
        <v>43706</v>
      </c>
      <c r="C379" s="6">
        <v>17.3356219256858</v>
      </c>
      <c r="D379" s="6">
        <v>-11.978288976448299</v>
      </c>
      <c r="E379" s="6">
        <v>52.975321363189501</v>
      </c>
      <c r="F379" s="6">
        <v>17.3356219256858</v>
      </c>
      <c r="G379" s="6">
        <v>17.3356219256858</v>
      </c>
      <c r="H379" s="6">
        <v>3.0943656412650302</v>
      </c>
      <c r="I379" s="6">
        <v>3.0943656412650302</v>
      </c>
      <c r="J379" s="6">
        <v>3.0943656412650302</v>
      </c>
      <c r="K379" s="6">
        <v>0.49015521355879899</v>
      </c>
      <c r="L379" s="6">
        <v>0.49015521355879899</v>
      </c>
      <c r="M379" s="6">
        <v>0.49015521355879899</v>
      </c>
      <c r="N379" s="6">
        <v>2.6042104277062301</v>
      </c>
      <c r="O379" s="6">
        <v>2.6042104277062301</v>
      </c>
      <c r="P379" s="6">
        <v>2.6042104277062301</v>
      </c>
      <c r="Q379" s="6">
        <v>0</v>
      </c>
      <c r="R379" s="6">
        <v>0</v>
      </c>
      <c r="S379" s="6">
        <v>0</v>
      </c>
      <c r="T379" s="6">
        <v>20.429987566950899</v>
      </c>
    </row>
    <row r="380" spans="1:20" ht="13" x14ac:dyDescent="0.15">
      <c r="A380" s="6">
        <v>378</v>
      </c>
      <c r="B380" s="7">
        <v>43707</v>
      </c>
      <c r="C380" s="6">
        <v>17.331216515158001</v>
      </c>
      <c r="D380" s="6">
        <v>-12.5130024669714</v>
      </c>
      <c r="E380" s="6">
        <v>51.699346803908902</v>
      </c>
      <c r="F380" s="6">
        <v>17.331216515158001</v>
      </c>
      <c r="G380" s="6">
        <v>17.331216515158001</v>
      </c>
      <c r="H380" s="6">
        <v>2.5381159323005802</v>
      </c>
      <c r="I380" s="6">
        <v>2.5381159323005802</v>
      </c>
      <c r="J380" s="6">
        <v>2.5381159323005802</v>
      </c>
      <c r="K380" s="6">
        <v>-2.2976765060148899E-2</v>
      </c>
      <c r="L380" s="6">
        <v>-2.2976765060148899E-2</v>
      </c>
      <c r="M380" s="6">
        <v>-2.2976765060148899E-2</v>
      </c>
      <c r="N380" s="6">
        <v>2.56109269736073</v>
      </c>
      <c r="O380" s="6">
        <v>2.56109269736073</v>
      </c>
      <c r="P380" s="6">
        <v>2.56109269736073</v>
      </c>
      <c r="Q380" s="6">
        <v>0</v>
      </c>
      <c r="R380" s="6">
        <v>0</v>
      </c>
      <c r="S380" s="6">
        <v>0</v>
      </c>
      <c r="T380" s="6">
        <v>19.8693324474586</v>
      </c>
    </row>
    <row r="381" spans="1:20" ht="13" x14ac:dyDescent="0.15">
      <c r="A381" s="6">
        <v>379</v>
      </c>
      <c r="B381" s="7">
        <v>43711</v>
      </c>
      <c r="C381" s="6">
        <v>17.313594873046899</v>
      </c>
      <c r="D381" s="6">
        <v>-11.104639650452899</v>
      </c>
      <c r="E381" s="6">
        <v>51.688622754843202</v>
      </c>
      <c r="F381" s="6">
        <v>17.313594873046899</v>
      </c>
      <c r="G381" s="6">
        <v>17.313594873046899</v>
      </c>
      <c r="H381" s="6">
        <v>4.04186031163509</v>
      </c>
      <c r="I381" s="6">
        <v>4.04186031163509</v>
      </c>
      <c r="J381" s="6">
        <v>4.04186031163509</v>
      </c>
      <c r="K381" s="6">
        <v>0.845224031064431</v>
      </c>
      <c r="L381" s="6">
        <v>0.845224031064431</v>
      </c>
      <c r="M381" s="6">
        <v>0.845224031064431</v>
      </c>
      <c r="N381" s="6">
        <v>3.1966362805706598</v>
      </c>
      <c r="O381" s="6">
        <v>3.1966362805706598</v>
      </c>
      <c r="P381" s="6">
        <v>3.1966362805706598</v>
      </c>
      <c r="Q381" s="6">
        <v>0</v>
      </c>
      <c r="R381" s="6">
        <v>0</v>
      </c>
      <c r="S381" s="6">
        <v>0</v>
      </c>
      <c r="T381" s="6">
        <v>21.355455184682</v>
      </c>
    </row>
    <row r="382" spans="1:20" ht="13" x14ac:dyDescent="0.15">
      <c r="A382" s="6">
        <v>380</v>
      </c>
      <c r="B382" s="7">
        <v>43712</v>
      </c>
      <c r="C382" s="6">
        <v>17.3091894625191</v>
      </c>
      <c r="D382" s="6">
        <v>-11.391230654814899</v>
      </c>
      <c r="E382" s="6">
        <v>51.144575106577797</v>
      </c>
      <c r="F382" s="6">
        <v>17.3091894625191</v>
      </c>
      <c r="G382" s="6">
        <v>17.3091894625191</v>
      </c>
      <c r="H382" s="6">
        <v>4.5076005004770403</v>
      </c>
      <c r="I382" s="6">
        <v>4.5076005004770403</v>
      </c>
      <c r="J382" s="6">
        <v>4.5076005004770403</v>
      </c>
      <c r="K382" s="6">
        <v>0.94874688043520805</v>
      </c>
      <c r="L382" s="6">
        <v>0.94874688043520805</v>
      </c>
      <c r="M382" s="6">
        <v>0.94874688043520805</v>
      </c>
      <c r="N382" s="6">
        <v>3.5588536200418299</v>
      </c>
      <c r="O382" s="6">
        <v>3.5588536200418299</v>
      </c>
      <c r="P382" s="6">
        <v>3.5588536200418299</v>
      </c>
      <c r="Q382" s="6">
        <v>0</v>
      </c>
      <c r="R382" s="6">
        <v>0</v>
      </c>
      <c r="S382" s="6">
        <v>0</v>
      </c>
      <c r="T382" s="6">
        <v>21.8167899629962</v>
      </c>
    </row>
    <row r="383" spans="1:20" ht="13" x14ac:dyDescent="0.15">
      <c r="A383" s="6">
        <v>381</v>
      </c>
      <c r="B383" s="7">
        <v>43713</v>
      </c>
      <c r="C383" s="6">
        <v>17.304784051991401</v>
      </c>
      <c r="D383" s="6">
        <v>-9.1153462291921592</v>
      </c>
      <c r="E383" s="6">
        <v>55.924498490118602</v>
      </c>
      <c r="F383" s="6">
        <v>17.304784051991401</v>
      </c>
      <c r="G383" s="6">
        <v>17.304784051991401</v>
      </c>
      <c r="H383" s="6">
        <v>4.4827726865803399</v>
      </c>
      <c r="I383" s="6">
        <v>4.4827726865803399</v>
      </c>
      <c r="J383" s="6">
        <v>4.4827726865803399</v>
      </c>
      <c r="K383" s="6">
        <v>0.490155213555233</v>
      </c>
      <c r="L383" s="6">
        <v>0.490155213555233</v>
      </c>
      <c r="M383" s="6">
        <v>0.490155213555233</v>
      </c>
      <c r="N383" s="6">
        <v>3.9926174730251098</v>
      </c>
      <c r="O383" s="6">
        <v>3.9926174730251098</v>
      </c>
      <c r="P383" s="6">
        <v>3.9926174730251098</v>
      </c>
      <c r="Q383" s="6">
        <v>0</v>
      </c>
      <c r="R383" s="6">
        <v>0</v>
      </c>
      <c r="S383" s="6">
        <v>0</v>
      </c>
      <c r="T383" s="6">
        <v>21.787556738571698</v>
      </c>
    </row>
    <row r="384" spans="1:20" ht="13" x14ac:dyDescent="0.15">
      <c r="A384" s="6">
        <v>382</v>
      </c>
      <c r="B384" s="7">
        <v>43714</v>
      </c>
      <c r="C384" s="6">
        <v>17.300378641463599</v>
      </c>
      <c r="D384" s="6">
        <v>-8.6156228076816301</v>
      </c>
      <c r="E384" s="6">
        <v>52.581549673690098</v>
      </c>
      <c r="F384" s="6">
        <v>17.300378641463599</v>
      </c>
      <c r="G384" s="6">
        <v>17.300378641463599</v>
      </c>
      <c r="H384" s="6">
        <v>4.4650481955238801</v>
      </c>
      <c r="I384" s="6">
        <v>4.4650481955238801</v>
      </c>
      <c r="J384" s="6">
        <v>4.4650481955238801</v>
      </c>
      <c r="K384" s="6">
        <v>-2.2976765062761102E-2</v>
      </c>
      <c r="L384" s="6">
        <v>-2.2976765062761102E-2</v>
      </c>
      <c r="M384" s="6">
        <v>-2.2976765062761102E-2</v>
      </c>
      <c r="N384" s="6">
        <v>4.4880249605866398</v>
      </c>
      <c r="O384" s="6">
        <v>4.4880249605866398</v>
      </c>
      <c r="P384" s="6">
        <v>4.4880249605866398</v>
      </c>
      <c r="Q384" s="6">
        <v>0</v>
      </c>
      <c r="R384" s="6">
        <v>0</v>
      </c>
      <c r="S384" s="6">
        <v>0</v>
      </c>
      <c r="T384" s="6">
        <v>21.765426836987501</v>
      </c>
    </row>
    <row r="385" spans="1:20" ht="13" x14ac:dyDescent="0.15">
      <c r="A385" s="6">
        <v>383</v>
      </c>
      <c r="B385" s="7">
        <v>43717</v>
      </c>
      <c r="C385" s="6">
        <v>17.287162409880199</v>
      </c>
      <c r="D385" s="6">
        <v>-7.4419063160066097</v>
      </c>
      <c r="E385" s="6">
        <v>55.642070252346599</v>
      </c>
      <c r="F385" s="6">
        <v>17.287162409880199</v>
      </c>
      <c r="G385" s="6">
        <v>17.287162409880199</v>
      </c>
      <c r="H385" s="6">
        <v>8.0314023666490701</v>
      </c>
      <c r="I385" s="6">
        <v>8.0314023666490701</v>
      </c>
      <c r="J385" s="6">
        <v>8.0314023666490701</v>
      </c>
      <c r="K385" s="6">
        <v>1.82289060893924</v>
      </c>
      <c r="L385" s="6">
        <v>1.82289060893924</v>
      </c>
      <c r="M385" s="6">
        <v>1.82289060893924</v>
      </c>
      <c r="N385" s="6">
        <v>6.2085117577098297</v>
      </c>
      <c r="O385" s="6">
        <v>6.2085117577098297</v>
      </c>
      <c r="P385" s="6">
        <v>6.2085117577098297</v>
      </c>
      <c r="Q385" s="6">
        <v>0</v>
      </c>
      <c r="R385" s="6">
        <v>0</v>
      </c>
      <c r="S385" s="6">
        <v>0</v>
      </c>
      <c r="T385" s="6">
        <v>25.3185647765293</v>
      </c>
    </row>
    <row r="386" spans="1:20" ht="13" x14ac:dyDescent="0.15">
      <c r="A386" s="6">
        <v>384</v>
      </c>
      <c r="B386" s="7">
        <v>43718</v>
      </c>
      <c r="C386" s="6">
        <v>17.2827569993525</v>
      </c>
      <c r="D386" s="6">
        <v>-6.1371837205092303</v>
      </c>
      <c r="E386" s="6">
        <v>58.489135872547898</v>
      </c>
      <c r="F386" s="6">
        <v>17.2827569993525</v>
      </c>
      <c r="G386" s="6">
        <v>17.2827569993525</v>
      </c>
      <c r="H386" s="6">
        <v>7.6504331225138698</v>
      </c>
      <c r="I386" s="6">
        <v>7.6504331225138698</v>
      </c>
      <c r="J386" s="6">
        <v>7.6504331225138698</v>
      </c>
      <c r="K386" s="6">
        <v>0.84522403106526001</v>
      </c>
      <c r="L386" s="6">
        <v>0.84522403106526001</v>
      </c>
      <c r="M386" s="6">
        <v>0.84522403106526001</v>
      </c>
      <c r="N386" s="6">
        <v>6.8052090914486101</v>
      </c>
      <c r="O386" s="6">
        <v>6.8052090914486101</v>
      </c>
      <c r="P386" s="6">
        <v>6.8052090914486101</v>
      </c>
      <c r="Q386" s="6">
        <v>0</v>
      </c>
      <c r="R386" s="6">
        <v>0</v>
      </c>
      <c r="S386" s="6">
        <v>0</v>
      </c>
      <c r="T386" s="6">
        <v>24.9331901218663</v>
      </c>
    </row>
    <row r="387" spans="1:20" ht="13" x14ac:dyDescent="0.15">
      <c r="A387" s="6">
        <v>385</v>
      </c>
      <c r="B387" s="7">
        <v>43719</v>
      </c>
      <c r="C387" s="6">
        <v>17.278351588824702</v>
      </c>
      <c r="D387" s="6">
        <v>-6.67504468160437</v>
      </c>
      <c r="E387" s="6">
        <v>57.693447750440399</v>
      </c>
      <c r="F387" s="6">
        <v>17.278351588824702</v>
      </c>
      <c r="G387" s="6">
        <v>17.278351588824702</v>
      </c>
      <c r="H387" s="6">
        <v>8.3315199881529107</v>
      </c>
      <c r="I387" s="6">
        <v>8.3315199881529107</v>
      </c>
      <c r="J387" s="6">
        <v>8.3315199881529107</v>
      </c>
      <c r="K387" s="6">
        <v>0.94874688043705702</v>
      </c>
      <c r="L387" s="6">
        <v>0.94874688043705702</v>
      </c>
      <c r="M387" s="6">
        <v>0.94874688043705702</v>
      </c>
      <c r="N387" s="6">
        <v>7.3827731077158498</v>
      </c>
      <c r="O387" s="6">
        <v>7.3827731077158498</v>
      </c>
      <c r="P387" s="6">
        <v>7.3827731077158498</v>
      </c>
      <c r="Q387" s="6">
        <v>0</v>
      </c>
      <c r="R387" s="6">
        <v>0</v>
      </c>
      <c r="S387" s="6">
        <v>0</v>
      </c>
      <c r="T387" s="6">
        <v>25.6098715769776</v>
      </c>
    </row>
    <row r="388" spans="1:20" ht="13" x14ac:dyDescent="0.15">
      <c r="A388" s="6">
        <v>386</v>
      </c>
      <c r="B388" s="7">
        <v>43720</v>
      </c>
      <c r="C388" s="6">
        <v>17.273946178296899</v>
      </c>
      <c r="D388" s="6">
        <v>-8.4960673268812403</v>
      </c>
      <c r="E388" s="6">
        <v>57.594555536595003</v>
      </c>
      <c r="F388" s="6">
        <v>17.273946178296899</v>
      </c>
      <c r="G388" s="6">
        <v>17.273946178296899</v>
      </c>
      <c r="H388" s="6">
        <v>8.4120135755581504</v>
      </c>
      <c r="I388" s="6">
        <v>8.4120135755581504</v>
      </c>
      <c r="J388" s="6">
        <v>8.4120135755581504</v>
      </c>
      <c r="K388" s="6">
        <v>0.49015521355641201</v>
      </c>
      <c r="L388" s="6">
        <v>0.49015521355641201</v>
      </c>
      <c r="M388" s="6">
        <v>0.49015521355641201</v>
      </c>
      <c r="N388" s="6">
        <v>7.92185836200174</v>
      </c>
      <c r="O388" s="6">
        <v>7.92185836200174</v>
      </c>
      <c r="P388" s="6">
        <v>7.92185836200174</v>
      </c>
      <c r="Q388" s="6">
        <v>0</v>
      </c>
      <c r="R388" s="6">
        <v>0</v>
      </c>
      <c r="S388" s="6">
        <v>0</v>
      </c>
      <c r="T388" s="6">
        <v>25.685959753854998</v>
      </c>
    </row>
    <row r="389" spans="1:20" ht="13" x14ac:dyDescent="0.15">
      <c r="A389" s="6">
        <v>387</v>
      </c>
      <c r="B389" s="7">
        <v>43721</v>
      </c>
      <c r="C389" s="6">
        <v>17.269540767769101</v>
      </c>
      <c r="D389" s="6">
        <v>-3.4532198937965299</v>
      </c>
      <c r="E389" s="6">
        <v>59.433503151258599</v>
      </c>
      <c r="F389" s="6">
        <v>17.269540767769101</v>
      </c>
      <c r="G389" s="6">
        <v>17.269540767769101</v>
      </c>
      <c r="H389" s="6">
        <v>8.3803111537749402</v>
      </c>
      <c r="I389" s="6">
        <v>8.3803111537749402</v>
      </c>
      <c r="J389" s="6">
        <v>8.3803111537749402</v>
      </c>
      <c r="K389" s="6">
        <v>-2.29767650653733E-2</v>
      </c>
      <c r="L389" s="6">
        <v>-2.29767650653733E-2</v>
      </c>
      <c r="M389" s="6">
        <v>-2.29767650653733E-2</v>
      </c>
      <c r="N389" s="6">
        <v>8.4032879188403093</v>
      </c>
      <c r="O389" s="6">
        <v>8.4032879188403093</v>
      </c>
      <c r="P389" s="6">
        <v>8.4032879188403093</v>
      </c>
      <c r="Q389" s="6">
        <v>0</v>
      </c>
      <c r="R389" s="6">
        <v>0</v>
      </c>
      <c r="S389" s="6">
        <v>0</v>
      </c>
      <c r="T389" s="6">
        <v>25.649851921544101</v>
      </c>
    </row>
    <row r="390" spans="1:20" ht="13" x14ac:dyDescent="0.15">
      <c r="A390" s="6">
        <v>388</v>
      </c>
      <c r="B390" s="7">
        <v>43724</v>
      </c>
      <c r="C390" s="6">
        <v>17.256324536185801</v>
      </c>
      <c r="D390" s="6">
        <v>-0.821474995166521</v>
      </c>
      <c r="E390" s="6">
        <v>59.608037973192403</v>
      </c>
      <c r="F390" s="6">
        <v>17.256324536185801</v>
      </c>
      <c r="G390" s="6">
        <v>17.256324536185801</v>
      </c>
      <c r="H390" s="6">
        <v>11.1471170267444</v>
      </c>
      <c r="I390" s="6">
        <v>11.1471170267444</v>
      </c>
      <c r="J390" s="6">
        <v>11.1471170267444</v>
      </c>
      <c r="K390" s="6">
        <v>1.8228906089357799</v>
      </c>
      <c r="L390" s="6">
        <v>1.8228906089357799</v>
      </c>
      <c r="M390" s="6">
        <v>1.8228906089357799</v>
      </c>
      <c r="N390" s="6">
        <v>9.3242264178086796</v>
      </c>
      <c r="O390" s="6">
        <v>9.3242264178086796</v>
      </c>
      <c r="P390" s="6">
        <v>9.3242264178086796</v>
      </c>
      <c r="Q390" s="6">
        <v>0</v>
      </c>
      <c r="R390" s="6">
        <v>0</v>
      </c>
      <c r="S390" s="6">
        <v>0</v>
      </c>
      <c r="T390" s="6">
        <v>28.403441562930201</v>
      </c>
    </row>
    <row r="391" spans="1:20" ht="13" x14ac:dyDescent="0.15">
      <c r="A391" s="6">
        <v>389</v>
      </c>
      <c r="B391" s="7">
        <v>43725</v>
      </c>
      <c r="C391" s="6">
        <v>17.251919125657999</v>
      </c>
      <c r="D391" s="6">
        <v>-2.5628725742180798</v>
      </c>
      <c r="E391" s="6">
        <v>57.3554211929549</v>
      </c>
      <c r="F391" s="6">
        <v>17.251919125657999</v>
      </c>
      <c r="G391" s="6">
        <v>17.251919125657999</v>
      </c>
      <c r="H391" s="6">
        <v>10.2513976926223</v>
      </c>
      <c r="I391" s="6">
        <v>10.2513976926223</v>
      </c>
      <c r="J391" s="6">
        <v>10.2513976926223</v>
      </c>
      <c r="K391" s="6">
        <v>0.84522403106461497</v>
      </c>
      <c r="L391" s="6">
        <v>0.84522403106461497</v>
      </c>
      <c r="M391" s="6">
        <v>0.84522403106461497</v>
      </c>
      <c r="N391" s="6">
        <v>9.40617366155778</v>
      </c>
      <c r="O391" s="6">
        <v>9.40617366155778</v>
      </c>
      <c r="P391" s="6">
        <v>9.40617366155778</v>
      </c>
      <c r="Q391" s="6">
        <v>0</v>
      </c>
      <c r="R391" s="6">
        <v>0</v>
      </c>
      <c r="S391" s="6">
        <v>0</v>
      </c>
      <c r="T391" s="6">
        <v>27.5033168182804</v>
      </c>
    </row>
    <row r="392" spans="1:20" ht="13" x14ac:dyDescent="0.15">
      <c r="A392" s="6">
        <v>390</v>
      </c>
      <c r="B392" s="7">
        <v>43726</v>
      </c>
      <c r="C392" s="6">
        <v>17.2475137151302</v>
      </c>
      <c r="D392" s="6">
        <v>-4.2274284458383002</v>
      </c>
      <c r="E392" s="6">
        <v>59.4078475327928</v>
      </c>
      <c r="F392" s="6">
        <v>17.2475137151302</v>
      </c>
      <c r="G392" s="6">
        <v>17.2475137151302</v>
      </c>
      <c r="H392" s="6">
        <v>10.305045492124099</v>
      </c>
      <c r="I392" s="6">
        <v>10.305045492124099</v>
      </c>
      <c r="J392" s="6">
        <v>10.305045492124099</v>
      </c>
      <c r="K392" s="6">
        <v>0.94874688043622701</v>
      </c>
      <c r="L392" s="6">
        <v>0.94874688043622701</v>
      </c>
      <c r="M392" s="6">
        <v>0.94874688043622701</v>
      </c>
      <c r="N392" s="6">
        <v>9.3562986116879294</v>
      </c>
      <c r="O392" s="6">
        <v>9.3562986116879294</v>
      </c>
      <c r="P392" s="6">
        <v>9.3562986116879294</v>
      </c>
      <c r="Q392" s="6">
        <v>0</v>
      </c>
      <c r="R392" s="6">
        <v>0</v>
      </c>
      <c r="S392" s="6">
        <v>0</v>
      </c>
      <c r="T392" s="6">
        <v>27.552559207254401</v>
      </c>
    </row>
    <row r="393" spans="1:20" ht="13" x14ac:dyDescent="0.15">
      <c r="A393" s="6">
        <v>391</v>
      </c>
      <c r="B393" s="7">
        <v>43727</v>
      </c>
      <c r="C393" s="6">
        <v>17.243108304602401</v>
      </c>
      <c r="D393" s="6">
        <v>-6.15718679237595</v>
      </c>
      <c r="E393" s="6">
        <v>57.627347827289697</v>
      </c>
      <c r="F393" s="6">
        <v>17.243108304602401</v>
      </c>
      <c r="G393" s="6">
        <v>17.243108304602401</v>
      </c>
      <c r="H393" s="6">
        <v>9.6576277144495002</v>
      </c>
      <c r="I393" s="6">
        <v>9.6576277144495002</v>
      </c>
      <c r="J393" s="6">
        <v>9.6576277144495002</v>
      </c>
      <c r="K393" s="6">
        <v>0.490155213553574</v>
      </c>
      <c r="L393" s="6">
        <v>0.490155213553574</v>
      </c>
      <c r="M393" s="6">
        <v>0.490155213553574</v>
      </c>
      <c r="N393" s="6">
        <v>9.1674725008959204</v>
      </c>
      <c r="O393" s="6">
        <v>9.1674725008959204</v>
      </c>
      <c r="P393" s="6">
        <v>9.1674725008959204</v>
      </c>
      <c r="Q393" s="6">
        <v>0</v>
      </c>
      <c r="R393" s="6">
        <v>0</v>
      </c>
      <c r="S393" s="6">
        <v>0</v>
      </c>
      <c r="T393" s="6">
        <v>26.900736019051902</v>
      </c>
    </row>
    <row r="394" spans="1:20" ht="13" x14ac:dyDescent="0.15">
      <c r="A394" s="6">
        <v>392</v>
      </c>
      <c r="B394" s="7">
        <v>43728</v>
      </c>
      <c r="C394" s="6">
        <v>17.238702894074699</v>
      </c>
      <c r="D394" s="6">
        <v>-4.5130296751600101</v>
      </c>
      <c r="E394" s="6">
        <v>58.994948676441602</v>
      </c>
      <c r="F394" s="6">
        <v>17.238702894074699</v>
      </c>
      <c r="G394" s="6">
        <v>17.238702894074699</v>
      </c>
      <c r="H394" s="6">
        <v>8.8129984003734094</v>
      </c>
      <c r="I394" s="6">
        <v>8.8129984003734094</v>
      </c>
      <c r="J394" s="6">
        <v>8.8129984003734094</v>
      </c>
      <c r="K394" s="6">
        <v>-2.2976765067985301E-2</v>
      </c>
      <c r="L394" s="6">
        <v>-2.2976765067985301E-2</v>
      </c>
      <c r="M394" s="6">
        <v>-2.2976765067985301E-2</v>
      </c>
      <c r="N394" s="6">
        <v>8.8359751654414005</v>
      </c>
      <c r="O394" s="6">
        <v>8.8359751654414005</v>
      </c>
      <c r="P394" s="6">
        <v>8.8359751654414005</v>
      </c>
      <c r="Q394" s="6">
        <v>0</v>
      </c>
      <c r="R394" s="6">
        <v>0</v>
      </c>
      <c r="S394" s="6">
        <v>0</v>
      </c>
      <c r="T394" s="6">
        <v>26.051701294448101</v>
      </c>
    </row>
    <row r="395" spans="1:20" ht="13" x14ac:dyDescent="0.15">
      <c r="A395" s="6">
        <v>393</v>
      </c>
      <c r="B395" s="7">
        <v>43731</v>
      </c>
      <c r="C395" s="6">
        <v>17.225486662491299</v>
      </c>
      <c r="D395" s="6">
        <v>-6.8017081361738896</v>
      </c>
      <c r="E395" s="6">
        <v>58.510810478086398</v>
      </c>
      <c r="F395" s="6">
        <v>17.225486662491299</v>
      </c>
      <c r="G395" s="6">
        <v>17.225486662491299</v>
      </c>
      <c r="H395" s="6">
        <v>8.8257408795150702</v>
      </c>
      <c r="I395" s="6">
        <v>8.8257408795150702</v>
      </c>
      <c r="J395" s="6">
        <v>8.8257408795150702</v>
      </c>
      <c r="K395" s="6">
        <v>1.8228906089375001</v>
      </c>
      <c r="L395" s="6">
        <v>1.8228906089375001</v>
      </c>
      <c r="M395" s="6">
        <v>1.8228906089375001</v>
      </c>
      <c r="N395" s="6">
        <v>7.0028502705775697</v>
      </c>
      <c r="O395" s="6">
        <v>7.0028502705775697</v>
      </c>
      <c r="P395" s="6">
        <v>7.0028502705775697</v>
      </c>
      <c r="Q395" s="6">
        <v>0</v>
      </c>
      <c r="R395" s="6">
        <v>0</v>
      </c>
      <c r="S395" s="6">
        <v>0</v>
      </c>
      <c r="T395" s="6">
        <v>26.051227542006401</v>
      </c>
    </row>
    <row r="396" spans="1:20" ht="13" x14ac:dyDescent="0.15">
      <c r="A396" s="6">
        <v>394</v>
      </c>
      <c r="B396" s="7">
        <v>43732</v>
      </c>
      <c r="C396" s="6">
        <v>17.221081251963501</v>
      </c>
      <c r="D396" s="6">
        <v>-9.1190189547653198</v>
      </c>
      <c r="E396" s="6">
        <v>55.901842038060998</v>
      </c>
      <c r="F396" s="6">
        <v>17.221081251963501</v>
      </c>
      <c r="G396" s="6">
        <v>17.221081251963501</v>
      </c>
      <c r="H396" s="6">
        <v>6.9817207604404503</v>
      </c>
      <c r="I396" s="6">
        <v>6.9817207604404503</v>
      </c>
      <c r="J396" s="6">
        <v>6.9817207604404503</v>
      </c>
      <c r="K396" s="6">
        <v>0.84522403106625499</v>
      </c>
      <c r="L396" s="6">
        <v>0.84522403106625499</v>
      </c>
      <c r="M396" s="6">
        <v>0.84522403106625499</v>
      </c>
      <c r="N396" s="6">
        <v>6.1364967293742003</v>
      </c>
      <c r="O396" s="6">
        <v>6.1364967293742003</v>
      </c>
      <c r="P396" s="6">
        <v>6.1364967293742003</v>
      </c>
      <c r="Q396" s="6">
        <v>0</v>
      </c>
      <c r="R396" s="6">
        <v>0</v>
      </c>
      <c r="S396" s="6">
        <v>0</v>
      </c>
      <c r="T396" s="6">
        <v>24.202802012404</v>
      </c>
    </row>
    <row r="397" spans="1:20" ht="13" x14ac:dyDescent="0.15">
      <c r="A397" s="6">
        <v>395</v>
      </c>
      <c r="B397" s="7">
        <v>43733</v>
      </c>
      <c r="C397" s="6">
        <v>17.216675841435698</v>
      </c>
      <c r="D397" s="6">
        <v>-8.0996787210874199</v>
      </c>
      <c r="E397" s="6">
        <v>54.653755477110998</v>
      </c>
      <c r="F397" s="6">
        <v>17.216675841435698</v>
      </c>
      <c r="G397" s="6">
        <v>17.216675841435698</v>
      </c>
      <c r="H397" s="6">
        <v>6.1122127070152699</v>
      </c>
      <c r="I397" s="6">
        <v>6.1122127070152699</v>
      </c>
      <c r="J397" s="6">
        <v>6.1122127070152699</v>
      </c>
      <c r="K397" s="6">
        <v>0.94874688043539601</v>
      </c>
      <c r="L397" s="6">
        <v>0.94874688043539601</v>
      </c>
      <c r="M397" s="6">
        <v>0.94874688043539601</v>
      </c>
      <c r="N397" s="6">
        <v>5.1634658265798699</v>
      </c>
      <c r="O397" s="6">
        <v>5.1634658265798699</v>
      </c>
      <c r="P397" s="6">
        <v>5.1634658265798699</v>
      </c>
      <c r="Q397" s="6">
        <v>0</v>
      </c>
      <c r="R397" s="6">
        <v>0</v>
      </c>
      <c r="S397" s="6">
        <v>0</v>
      </c>
      <c r="T397" s="6">
        <v>23.328888548451001</v>
      </c>
    </row>
    <row r="398" spans="1:20" ht="13" x14ac:dyDescent="0.15">
      <c r="A398" s="6">
        <v>396</v>
      </c>
      <c r="B398" s="7">
        <v>43734</v>
      </c>
      <c r="C398" s="6">
        <v>17.212270430907999</v>
      </c>
      <c r="D398" s="6">
        <v>-10.734365082299099</v>
      </c>
      <c r="E398" s="6">
        <v>53.724058461248099</v>
      </c>
      <c r="F398" s="6">
        <v>17.212270430907999</v>
      </c>
      <c r="G398" s="6">
        <v>17.212270430907999</v>
      </c>
      <c r="H398" s="6">
        <v>4.5913264544778398</v>
      </c>
      <c r="I398" s="6">
        <v>4.5913264544778398</v>
      </c>
      <c r="J398" s="6">
        <v>4.5913264544778398</v>
      </c>
      <c r="K398" s="6">
        <v>0.49015521355804098</v>
      </c>
      <c r="L398" s="6">
        <v>0.49015521355804098</v>
      </c>
      <c r="M398" s="6">
        <v>0.49015521355804098</v>
      </c>
      <c r="N398" s="6">
        <v>4.1011712409197996</v>
      </c>
      <c r="O398" s="6">
        <v>4.1011712409197996</v>
      </c>
      <c r="P398" s="6">
        <v>4.1011712409197996</v>
      </c>
      <c r="Q398" s="6">
        <v>0</v>
      </c>
      <c r="R398" s="6">
        <v>0</v>
      </c>
      <c r="S398" s="6">
        <v>0</v>
      </c>
      <c r="T398" s="6">
        <v>21.803596885385801</v>
      </c>
    </row>
    <row r="399" spans="1:20" ht="13" x14ac:dyDescent="0.15">
      <c r="A399" s="6">
        <v>397</v>
      </c>
      <c r="B399" s="7">
        <v>43735</v>
      </c>
      <c r="C399" s="6">
        <v>17.207865020380201</v>
      </c>
      <c r="D399" s="6">
        <v>-11.848155399969601</v>
      </c>
      <c r="E399" s="6">
        <v>51.880826598589998</v>
      </c>
      <c r="F399" s="6">
        <v>17.207865020380201</v>
      </c>
      <c r="G399" s="6">
        <v>17.207865020380201</v>
      </c>
      <c r="H399" s="6">
        <v>2.94676700269653</v>
      </c>
      <c r="I399" s="6">
        <v>2.94676700269653</v>
      </c>
      <c r="J399" s="6">
        <v>2.94676700269653</v>
      </c>
      <c r="K399" s="6">
        <v>-2.29767650617036E-2</v>
      </c>
      <c r="L399" s="6">
        <v>-2.29767650617036E-2</v>
      </c>
      <c r="M399" s="6">
        <v>-2.29767650617036E-2</v>
      </c>
      <c r="N399" s="6">
        <v>2.9697437677582301</v>
      </c>
      <c r="O399" s="6">
        <v>2.9697437677582301</v>
      </c>
      <c r="P399" s="6">
        <v>2.9697437677582301</v>
      </c>
      <c r="Q399" s="6">
        <v>0</v>
      </c>
      <c r="R399" s="6">
        <v>0</v>
      </c>
      <c r="S399" s="6">
        <v>0</v>
      </c>
      <c r="T399" s="6">
        <v>20.154632023076701</v>
      </c>
    </row>
    <row r="400" spans="1:20" ht="13" x14ac:dyDescent="0.15">
      <c r="A400" s="6">
        <v>398</v>
      </c>
      <c r="B400" s="7">
        <v>43738</v>
      </c>
      <c r="C400" s="6">
        <v>17.194648788796801</v>
      </c>
      <c r="D400" s="6">
        <v>-13.5228755299831</v>
      </c>
      <c r="E400" s="6">
        <v>50.383031942514997</v>
      </c>
      <c r="F400" s="6">
        <v>17.194648788796801</v>
      </c>
      <c r="G400" s="6">
        <v>17.194648788796801</v>
      </c>
      <c r="H400" s="6">
        <v>1.2153572366883301</v>
      </c>
      <c r="I400" s="6">
        <v>1.2153572366883301</v>
      </c>
      <c r="J400" s="6">
        <v>1.2153572366883301</v>
      </c>
      <c r="K400" s="6">
        <v>1.8228906089379999</v>
      </c>
      <c r="L400" s="6">
        <v>1.8228906089379999</v>
      </c>
      <c r="M400" s="6">
        <v>1.8228906089379999</v>
      </c>
      <c r="N400" s="6">
        <v>-0.60753337224966097</v>
      </c>
      <c r="O400" s="6">
        <v>-0.60753337224966097</v>
      </c>
      <c r="P400" s="6">
        <v>-0.60753337224966097</v>
      </c>
      <c r="Q400" s="6">
        <v>0</v>
      </c>
      <c r="R400" s="6">
        <v>0</v>
      </c>
      <c r="S400" s="6">
        <v>0</v>
      </c>
      <c r="T400" s="6">
        <v>18.410006025485199</v>
      </c>
    </row>
    <row r="401" spans="1:20" ht="13" x14ac:dyDescent="0.15">
      <c r="A401" s="6">
        <v>399</v>
      </c>
      <c r="B401" s="7">
        <v>43739</v>
      </c>
      <c r="C401" s="6">
        <v>17.190243378269098</v>
      </c>
      <c r="D401" s="6">
        <v>-15.1746581318778</v>
      </c>
      <c r="E401" s="6">
        <v>48.615859884568003</v>
      </c>
      <c r="F401" s="6">
        <v>17.190243378269098</v>
      </c>
      <c r="G401" s="6">
        <v>17.190243378269098</v>
      </c>
      <c r="H401" s="6">
        <v>-0.93227316455088505</v>
      </c>
      <c r="I401" s="6">
        <v>-0.93227316455088505</v>
      </c>
      <c r="J401" s="6">
        <v>-0.93227316455088505</v>
      </c>
      <c r="K401" s="6">
        <v>0.84522403106789501</v>
      </c>
      <c r="L401" s="6">
        <v>0.84522403106789501</v>
      </c>
      <c r="M401" s="6">
        <v>0.84522403106789501</v>
      </c>
      <c r="N401" s="6">
        <v>-1.7774971956187799</v>
      </c>
      <c r="O401" s="6">
        <v>-1.7774971956187799</v>
      </c>
      <c r="P401" s="6">
        <v>-1.7774971956187799</v>
      </c>
      <c r="Q401" s="6">
        <v>0</v>
      </c>
      <c r="R401" s="6">
        <v>0</v>
      </c>
      <c r="S401" s="6">
        <v>0</v>
      </c>
      <c r="T401" s="6">
        <v>16.257970213718199</v>
      </c>
    </row>
    <row r="402" spans="1:20" ht="13" x14ac:dyDescent="0.15">
      <c r="A402" s="6">
        <v>400</v>
      </c>
      <c r="B402" s="7">
        <v>43740</v>
      </c>
      <c r="C402" s="6">
        <v>17.1858379677413</v>
      </c>
      <c r="D402" s="6">
        <v>-16.0392620101414</v>
      </c>
      <c r="E402" s="6">
        <v>48.027218808614997</v>
      </c>
      <c r="F402" s="6">
        <v>17.1858379677413</v>
      </c>
      <c r="G402" s="6">
        <v>17.1858379677413</v>
      </c>
      <c r="H402" s="6">
        <v>-1.9448276740886801</v>
      </c>
      <c r="I402" s="6">
        <v>-1.9448276740886801</v>
      </c>
      <c r="J402" s="6">
        <v>-1.9448276740886801</v>
      </c>
      <c r="K402" s="6">
        <v>0.94874688043517197</v>
      </c>
      <c r="L402" s="6">
        <v>0.94874688043517197</v>
      </c>
      <c r="M402" s="6">
        <v>0.94874688043517197</v>
      </c>
      <c r="N402" s="6">
        <v>-2.89357455452385</v>
      </c>
      <c r="O402" s="6">
        <v>-2.89357455452385</v>
      </c>
      <c r="P402" s="6">
        <v>-2.89357455452385</v>
      </c>
      <c r="Q402" s="6">
        <v>0</v>
      </c>
      <c r="R402" s="6">
        <v>0</v>
      </c>
      <c r="S402" s="6">
        <v>0</v>
      </c>
      <c r="T402" s="6">
        <v>15.2410102936526</v>
      </c>
    </row>
    <row r="403" spans="1:20" ht="13" x14ac:dyDescent="0.15">
      <c r="A403" s="6">
        <v>401</v>
      </c>
      <c r="B403" s="7">
        <v>43741</v>
      </c>
      <c r="C403" s="6">
        <v>17.181432557213501</v>
      </c>
      <c r="D403" s="6">
        <v>-19.482969186873699</v>
      </c>
      <c r="E403" s="6">
        <v>49.012483327609203</v>
      </c>
      <c r="F403" s="6">
        <v>17.181432557213501</v>
      </c>
      <c r="G403" s="6">
        <v>17.181432557213501</v>
      </c>
      <c r="H403" s="6">
        <v>-3.4408148170039201</v>
      </c>
      <c r="I403" s="6">
        <v>-3.4408148170039201</v>
      </c>
      <c r="J403" s="6">
        <v>-3.4408148170039201</v>
      </c>
      <c r="K403" s="6">
        <v>0.49015521355520297</v>
      </c>
      <c r="L403" s="6">
        <v>0.49015521355520297</v>
      </c>
      <c r="M403" s="6">
        <v>0.49015521355520297</v>
      </c>
      <c r="N403" s="6">
        <v>-3.93097003055912</v>
      </c>
      <c r="O403" s="6">
        <v>-3.93097003055912</v>
      </c>
      <c r="P403" s="6">
        <v>-3.93097003055912</v>
      </c>
      <c r="Q403" s="6">
        <v>0</v>
      </c>
      <c r="R403" s="6">
        <v>0</v>
      </c>
      <c r="S403" s="6">
        <v>0</v>
      </c>
      <c r="T403" s="6">
        <v>13.740617740209601</v>
      </c>
    </row>
    <row r="404" spans="1:20" ht="13" x14ac:dyDescent="0.15">
      <c r="A404" s="6">
        <v>402</v>
      </c>
      <c r="B404" s="7">
        <v>43742</v>
      </c>
      <c r="C404" s="6">
        <v>17.177027146685699</v>
      </c>
      <c r="D404" s="6">
        <v>-19.272739292770101</v>
      </c>
      <c r="E404" s="6">
        <v>43.259953075921501</v>
      </c>
      <c r="F404" s="6">
        <v>17.177027146685699</v>
      </c>
      <c r="G404" s="6">
        <v>17.177027146685699</v>
      </c>
      <c r="H404" s="6">
        <v>-4.8892907198430402</v>
      </c>
      <c r="I404" s="6">
        <v>-4.8892907198430402</v>
      </c>
      <c r="J404" s="6">
        <v>-4.8892907198430402</v>
      </c>
      <c r="K404" s="6">
        <v>-2.2976765064315698E-2</v>
      </c>
      <c r="L404" s="6">
        <v>-2.2976765064315698E-2</v>
      </c>
      <c r="M404" s="6">
        <v>-2.2976765064315698E-2</v>
      </c>
      <c r="N404" s="6">
        <v>-4.86631395477872</v>
      </c>
      <c r="O404" s="6">
        <v>-4.86631395477872</v>
      </c>
      <c r="P404" s="6">
        <v>-4.86631395477872</v>
      </c>
      <c r="Q404" s="6">
        <v>0</v>
      </c>
      <c r="R404" s="6">
        <v>0</v>
      </c>
      <c r="S404" s="6">
        <v>0</v>
      </c>
      <c r="T404" s="6">
        <v>12.287736426842701</v>
      </c>
    </row>
    <row r="405" spans="1:20" ht="13" x14ac:dyDescent="0.15">
      <c r="A405" s="6">
        <v>403</v>
      </c>
      <c r="B405" s="7">
        <v>43745</v>
      </c>
      <c r="C405" s="6">
        <v>17.165286321881201</v>
      </c>
      <c r="D405" s="6">
        <v>-19.1724819948247</v>
      </c>
      <c r="E405" s="6">
        <v>44.048231098593</v>
      </c>
      <c r="F405" s="6">
        <v>17.165286321881201</v>
      </c>
      <c r="G405" s="6">
        <v>17.165286321881201</v>
      </c>
      <c r="H405" s="6">
        <v>-5.0371282958836998</v>
      </c>
      <c r="I405" s="6">
        <v>-5.0371282958836998</v>
      </c>
      <c r="J405" s="6">
        <v>-5.0371282958836998</v>
      </c>
      <c r="K405" s="6">
        <v>1.8228906089369701</v>
      </c>
      <c r="L405" s="6">
        <v>1.8228906089369701</v>
      </c>
      <c r="M405" s="6">
        <v>1.8228906089369701</v>
      </c>
      <c r="N405" s="6">
        <v>-6.8600189048206701</v>
      </c>
      <c r="O405" s="6">
        <v>-6.8600189048206701</v>
      </c>
      <c r="P405" s="6">
        <v>-6.8600189048206701</v>
      </c>
      <c r="Q405" s="6">
        <v>0</v>
      </c>
      <c r="R405" s="6">
        <v>0</v>
      </c>
      <c r="S405" s="6">
        <v>0</v>
      </c>
      <c r="T405" s="6">
        <v>12.1281580259975</v>
      </c>
    </row>
    <row r="406" spans="1:20" ht="13" x14ac:dyDescent="0.15">
      <c r="A406" s="6">
        <v>404</v>
      </c>
      <c r="B406" s="7">
        <v>43746</v>
      </c>
      <c r="C406" s="6">
        <v>17.161372713613002</v>
      </c>
      <c r="D406" s="6">
        <v>-20.982667638508101</v>
      </c>
      <c r="E406" s="6">
        <v>44.818588921246203</v>
      </c>
      <c r="F406" s="6">
        <v>17.161372713613002</v>
      </c>
      <c r="G406" s="6">
        <v>17.161372713613002</v>
      </c>
      <c r="H406" s="6">
        <v>-6.3567032605693399</v>
      </c>
      <c r="I406" s="6">
        <v>-6.3567032605693399</v>
      </c>
      <c r="J406" s="6">
        <v>-6.3567032605693399</v>
      </c>
      <c r="K406" s="6">
        <v>0.84522403106724997</v>
      </c>
      <c r="L406" s="6">
        <v>0.84522403106724997</v>
      </c>
      <c r="M406" s="6">
        <v>0.84522403106724997</v>
      </c>
      <c r="N406" s="6">
        <v>-7.20192729163659</v>
      </c>
      <c r="O406" s="6">
        <v>-7.20192729163659</v>
      </c>
      <c r="P406" s="6">
        <v>-7.20192729163659</v>
      </c>
      <c r="Q406" s="6">
        <v>0</v>
      </c>
      <c r="R406" s="6">
        <v>0</v>
      </c>
      <c r="S406" s="6">
        <v>0</v>
      </c>
      <c r="T406" s="6">
        <v>10.804669453043701</v>
      </c>
    </row>
    <row r="407" spans="1:20" ht="13" x14ac:dyDescent="0.15">
      <c r="A407" s="6">
        <v>405</v>
      </c>
      <c r="B407" s="7">
        <v>43747</v>
      </c>
      <c r="C407" s="6">
        <v>17.157459105344898</v>
      </c>
      <c r="D407" s="6">
        <v>-21.133146713971001</v>
      </c>
      <c r="E407" s="6">
        <v>44.377681443823299</v>
      </c>
      <c r="F407" s="6">
        <v>17.157459105344898</v>
      </c>
      <c r="G407" s="6">
        <v>17.157459105344898</v>
      </c>
      <c r="H407" s="6">
        <v>-6.4166391123249999</v>
      </c>
      <c r="I407" s="6">
        <v>-6.4166391123249999</v>
      </c>
      <c r="J407" s="6">
        <v>-6.4166391123249999</v>
      </c>
      <c r="K407" s="6">
        <v>0.94874688043702204</v>
      </c>
      <c r="L407" s="6">
        <v>0.94874688043702204</v>
      </c>
      <c r="M407" s="6">
        <v>0.94874688043702204</v>
      </c>
      <c r="N407" s="6">
        <v>-7.36538599276202</v>
      </c>
      <c r="O407" s="6">
        <v>-7.36538599276202</v>
      </c>
      <c r="P407" s="6">
        <v>-7.36538599276202</v>
      </c>
      <c r="Q407" s="6">
        <v>0</v>
      </c>
      <c r="R407" s="6">
        <v>0</v>
      </c>
      <c r="S407" s="6">
        <v>0</v>
      </c>
      <c r="T407" s="6">
        <v>10.740819993019899</v>
      </c>
    </row>
    <row r="408" spans="1:20" ht="13" x14ac:dyDescent="0.15">
      <c r="A408" s="6">
        <v>406</v>
      </c>
      <c r="B408" s="7">
        <v>43748</v>
      </c>
      <c r="C408" s="6">
        <v>17.153545497076699</v>
      </c>
      <c r="D408" s="6">
        <v>-23.975147516273001</v>
      </c>
      <c r="E408" s="6">
        <v>45.017420773626597</v>
      </c>
      <c r="F408" s="6">
        <v>17.153545497076699</v>
      </c>
      <c r="G408" s="6">
        <v>17.153545497076699</v>
      </c>
      <c r="H408" s="6">
        <v>-6.8558653409700296</v>
      </c>
      <c r="I408" s="6">
        <v>-6.8558653409700296</v>
      </c>
      <c r="J408" s="6">
        <v>-6.8558653409700296</v>
      </c>
      <c r="K408" s="6">
        <v>0.49015521355638197</v>
      </c>
      <c r="L408" s="6">
        <v>0.49015521355638197</v>
      </c>
      <c r="M408" s="6">
        <v>0.49015521355638197</v>
      </c>
      <c r="N408" s="6">
        <v>-7.3460205545264099</v>
      </c>
      <c r="O408" s="6">
        <v>-7.3460205545264099</v>
      </c>
      <c r="P408" s="6">
        <v>-7.3460205545264099</v>
      </c>
      <c r="Q408" s="6">
        <v>0</v>
      </c>
      <c r="R408" s="6">
        <v>0</v>
      </c>
      <c r="S408" s="6">
        <v>0</v>
      </c>
      <c r="T408" s="6">
        <v>10.297680156106701</v>
      </c>
    </row>
    <row r="409" spans="1:20" ht="13" x14ac:dyDescent="0.15">
      <c r="A409" s="6">
        <v>407</v>
      </c>
      <c r="B409" s="7">
        <v>43749</v>
      </c>
      <c r="C409" s="6">
        <v>17.1496318888085</v>
      </c>
      <c r="D409" s="6">
        <v>-22.524597892527702</v>
      </c>
      <c r="E409" s="6">
        <v>41.940136162716797</v>
      </c>
      <c r="F409" s="6">
        <v>17.1496318888085</v>
      </c>
      <c r="G409" s="6">
        <v>17.1496318888085</v>
      </c>
      <c r="H409" s="6">
        <v>-7.1665784116691098</v>
      </c>
      <c r="I409" s="6">
        <v>-7.1665784116691098</v>
      </c>
      <c r="J409" s="6">
        <v>-7.1665784116691098</v>
      </c>
      <c r="K409" s="6">
        <v>-2.2976765062592299E-2</v>
      </c>
      <c r="L409" s="6">
        <v>-2.2976765062592299E-2</v>
      </c>
      <c r="M409" s="6">
        <v>-2.2976765062592299E-2</v>
      </c>
      <c r="N409" s="6">
        <v>-7.1436016466065198</v>
      </c>
      <c r="O409" s="6">
        <v>-7.1436016466065198</v>
      </c>
      <c r="P409" s="6">
        <v>-7.1436016466065198</v>
      </c>
      <c r="Q409" s="6">
        <v>0</v>
      </c>
      <c r="R409" s="6">
        <v>0</v>
      </c>
      <c r="S409" s="6">
        <v>0</v>
      </c>
      <c r="T409" s="6">
        <v>9.9830534771394603</v>
      </c>
    </row>
    <row r="410" spans="1:20" ht="13" x14ac:dyDescent="0.15">
      <c r="A410" s="6">
        <v>408</v>
      </c>
      <c r="B410" s="7">
        <v>43752</v>
      </c>
      <c r="C410" s="6">
        <v>17.137891064003998</v>
      </c>
      <c r="D410" s="6">
        <v>-19.120472869675499</v>
      </c>
      <c r="E410" s="6">
        <v>47.195155249123097</v>
      </c>
      <c r="F410" s="6">
        <v>17.137891064003998</v>
      </c>
      <c r="G410" s="6">
        <v>17.137891064003998</v>
      </c>
      <c r="H410" s="6">
        <v>-3.6744400106896098</v>
      </c>
      <c r="I410" s="6">
        <v>-3.6744400106896098</v>
      </c>
      <c r="J410" s="6">
        <v>-3.6744400106896098</v>
      </c>
      <c r="K410" s="6">
        <v>1.8228906089374599</v>
      </c>
      <c r="L410" s="6">
        <v>1.8228906089374599</v>
      </c>
      <c r="M410" s="6">
        <v>1.8228906089374599</v>
      </c>
      <c r="N410" s="6">
        <v>-5.4973306196270801</v>
      </c>
      <c r="O410" s="6">
        <v>-5.4973306196270801</v>
      </c>
      <c r="P410" s="6">
        <v>-5.4973306196270801</v>
      </c>
      <c r="Q410" s="6">
        <v>0</v>
      </c>
      <c r="R410" s="6">
        <v>0</v>
      </c>
      <c r="S410" s="6">
        <v>0</v>
      </c>
      <c r="T410" s="6">
        <v>13.463451053314399</v>
      </c>
    </row>
    <row r="411" spans="1:20" ht="13" x14ac:dyDescent="0.15">
      <c r="A411" s="6">
        <v>409</v>
      </c>
      <c r="B411" s="7">
        <v>43753</v>
      </c>
      <c r="C411" s="6">
        <v>17.133977455735899</v>
      </c>
      <c r="D411" s="6">
        <v>-18.141542542701899</v>
      </c>
      <c r="E411" s="6">
        <v>47.215547018510897</v>
      </c>
      <c r="F411" s="6">
        <v>17.133977455735899</v>
      </c>
      <c r="G411" s="6">
        <v>17.133977455735899</v>
      </c>
      <c r="H411" s="6">
        <v>-3.79611627437122</v>
      </c>
      <c r="I411" s="6">
        <v>-3.79611627437122</v>
      </c>
      <c r="J411" s="6">
        <v>-3.79611627437122</v>
      </c>
      <c r="K411" s="6">
        <v>0.84522403106660504</v>
      </c>
      <c r="L411" s="6">
        <v>0.84522403106660504</v>
      </c>
      <c r="M411" s="6">
        <v>0.84522403106660504</v>
      </c>
      <c r="N411" s="6">
        <v>-4.6413403054378302</v>
      </c>
      <c r="O411" s="6">
        <v>-4.6413403054378302</v>
      </c>
      <c r="P411" s="6">
        <v>-4.6413403054378302</v>
      </c>
      <c r="Q411" s="6">
        <v>0</v>
      </c>
      <c r="R411" s="6">
        <v>0</v>
      </c>
      <c r="S411" s="6">
        <v>0</v>
      </c>
      <c r="T411" s="6">
        <v>13.3378611813646</v>
      </c>
    </row>
    <row r="412" spans="1:20" ht="13" x14ac:dyDescent="0.15">
      <c r="A412" s="6">
        <v>410</v>
      </c>
      <c r="B412" s="7">
        <v>43754</v>
      </c>
      <c r="C412" s="6">
        <v>17.130063847467699</v>
      </c>
      <c r="D412" s="6">
        <v>-19.693767012226001</v>
      </c>
      <c r="E412" s="6">
        <v>46.740841001908301</v>
      </c>
      <c r="F412" s="6">
        <v>17.130063847467699</v>
      </c>
      <c r="G412" s="6">
        <v>17.130063847467699</v>
      </c>
      <c r="H412" s="6">
        <v>-2.7111339489687101</v>
      </c>
      <c r="I412" s="6">
        <v>-2.7111339489687101</v>
      </c>
      <c r="J412" s="6">
        <v>-2.7111339489687101</v>
      </c>
      <c r="K412" s="6">
        <v>0.94874688043887101</v>
      </c>
      <c r="L412" s="6">
        <v>0.94874688043887101</v>
      </c>
      <c r="M412" s="6">
        <v>0.94874688043887101</v>
      </c>
      <c r="N412" s="6">
        <v>-3.6598808294075802</v>
      </c>
      <c r="O412" s="6">
        <v>-3.6598808294075802</v>
      </c>
      <c r="P412" s="6">
        <v>-3.6598808294075802</v>
      </c>
      <c r="Q412" s="6">
        <v>0</v>
      </c>
      <c r="R412" s="6">
        <v>0</v>
      </c>
      <c r="S412" s="6">
        <v>0</v>
      </c>
      <c r="T412" s="6">
        <v>14.418929898499</v>
      </c>
    </row>
    <row r="413" spans="1:20" ht="13" x14ac:dyDescent="0.15">
      <c r="A413" s="6">
        <v>411</v>
      </c>
      <c r="B413" s="7">
        <v>43755</v>
      </c>
      <c r="C413" s="6">
        <v>17.1261502391995</v>
      </c>
      <c r="D413" s="6">
        <v>-16.006734237365901</v>
      </c>
      <c r="E413" s="6">
        <v>45.659368491293698</v>
      </c>
      <c r="F413" s="6">
        <v>17.1261502391995</v>
      </c>
      <c r="G413" s="6">
        <v>17.1261502391995</v>
      </c>
      <c r="H413" s="6">
        <v>-2.0839439998831502</v>
      </c>
      <c r="I413" s="6">
        <v>-2.0839439998831502</v>
      </c>
      <c r="J413" s="6">
        <v>-2.0839439998831502</v>
      </c>
      <c r="K413" s="6">
        <v>0.49015521355756098</v>
      </c>
      <c r="L413" s="6">
        <v>0.49015521355756098</v>
      </c>
      <c r="M413" s="6">
        <v>0.49015521355756098</v>
      </c>
      <c r="N413" s="6">
        <v>-2.5740992134407099</v>
      </c>
      <c r="O413" s="6">
        <v>-2.5740992134407099</v>
      </c>
      <c r="P413" s="6">
        <v>-2.5740992134407099</v>
      </c>
      <c r="Q413" s="6">
        <v>0</v>
      </c>
      <c r="R413" s="6">
        <v>0</v>
      </c>
      <c r="S413" s="6">
        <v>0</v>
      </c>
      <c r="T413" s="6">
        <v>15.0422062393164</v>
      </c>
    </row>
    <row r="414" spans="1:20" ht="13" x14ac:dyDescent="0.15">
      <c r="A414" s="6">
        <v>412</v>
      </c>
      <c r="B414" s="7">
        <v>43756</v>
      </c>
      <c r="C414" s="6">
        <v>17.122236630931301</v>
      </c>
      <c r="D414" s="6">
        <v>-16.537153180805301</v>
      </c>
      <c r="E414" s="6">
        <v>46.510091474220097</v>
      </c>
      <c r="F414" s="6">
        <v>17.122236630931301</v>
      </c>
      <c r="G414" s="6">
        <v>17.122236630931301</v>
      </c>
      <c r="H414" s="6">
        <v>-1.4302169042325901</v>
      </c>
      <c r="I414" s="6">
        <v>-1.4302169042325901</v>
      </c>
      <c r="J414" s="6">
        <v>-1.4302169042325901</v>
      </c>
      <c r="K414" s="6">
        <v>-2.2976765065427202E-2</v>
      </c>
      <c r="L414" s="6">
        <v>-2.2976765065427202E-2</v>
      </c>
      <c r="M414" s="6">
        <v>-2.2976765065427202E-2</v>
      </c>
      <c r="N414" s="6">
        <v>-1.4072401391671601</v>
      </c>
      <c r="O414" s="6">
        <v>-1.4072401391671601</v>
      </c>
      <c r="P414" s="6">
        <v>-1.4072401391671601</v>
      </c>
      <c r="Q414" s="6">
        <v>0</v>
      </c>
      <c r="R414" s="6">
        <v>0</v>
      </c>
      <c r="S414" s="6">
        <v>0</v>
      </c>
      <c r="T414" s="6">
        <v>15.692019726698801</v>
      </c>
    </row>
    <row r="415" spans="1:20" ht="13" x14ac:dyDescent="0.15">
      <c r="A415" s="6">
        <v>413</v>
      </c>
      <c r="B415" s="7">
        <v>43759</v>
      </c>
      <c r="C415" s="6">
        <v>17.110495806126799</v>
      </c>
      <c r="D415" s="6">
        <v>-12.805611055915101</v>
      </c>
      <c r="E415" s="6">
        <v>54.756019897320101</v>
      </c>
      <c r="F415" s="6">
        <v>17.110495806126799</v>
      </c>
      <c r="G415" s="6">
        <v>17.110495806126799</v>
      </c>
      <c r="H415" s="6">
        <v>4.1517664719378802</v>
      </c>
      <c r="I415" s="6">
        <v>4.1517664719378802</v>
      </c>
      <c r="J415" s="6">
        <v>4.1517664719378802</v>
      </c>
      <c r="K415" s="6">
        <v>1.8228906089364301</v>
      </c>
      <c r="L415" s="6">
        <v>1.8228906089364301</v>
      </c>
      <c r="M415" s="6">
        <v>1.8228906089364301</v>
      </c>
      <c r="N415" s="6">
        <v>2.3288758630014401</v>
      </c>
      <c r="O415" s="6">
        <v>2.3288758630014401</v>
      </c>
      <c r="P415" s="6">
        <v>2.3288758630014401</v>
      </c>
      <c r="Q415" s="6">
        <v>0</v>
      </c>
      <c r="R415" s="6">
        <v>0</v>
      </c>
      <c r="S415" s="6">
        <v>0</v>
      </c>
      <c r="T415" s="6">
        <v>21.2622622780647</v>
      </c>
    </row>
    <row r="416" spans="1:20" ht="13" x14ac:dyDescent="0.15">
      <c r="A416" s="6">
        <v>414</v>
      </c>
      <c r="B416" s="7">
        <v>43760</v>
      </c>
      <c r="C416" s="6">
        <v>17.1065821978587</v>
      </c>
      <c r="D416" s="6">
        <v>-10.6069712778294</v>
      </c>
      <c r="E416" s="6">
        <v>54.128109348613599</v>
      </c>
      <c r="F416" s="6">
        <v>17.1065821978587</v>
      </c>
      <c r="G416" s="6">
        <v>17.1065821978587</v>
      </c>
      <c r="H416" s="6">
        <v>4.4127618415555201</v>
      </c>
      <c r="I416" s="6">
        <v>4.4127618415555201</v>
      </c>
      <c r="J416" s="6">
        <v>4.4127618415555201</v>
      </c>
      <c r="K416" s="6">
        <v>0.84522403106514798</v>
      </c>
      <c r="L416" s="6">
        <v>0.84522403106514798</v>
      </c>
      <c r="M416" s="6">
        <v>0.84522403106514798</v>
      </c>
      <c r="N416" s="6">
        <v>3.5675378104903701</v>
      </c>
      <c r="O416" s="6">
        <v>3.5675378104903701</v>
      </c>
      <c r="P416" s="6">
        <v>3.5675378104903701</v>
      </c>
      <c r="Q416" s="6">
        <v>0</v>
      </c>
      <c r="R416" s="6">
        <v>0</v>
      </c>
      <c r="S416" s="6">
        <v>0</v>
      </c>
      <c r="T416" s="6">
        <v>21.5193440394142</v>
      </c>
    </row>
    <row r="417" spans="1:20" ht="13" x14ac:dyDescent="0.15">
      <c r="A417" s="6">
        <v>415</v>
      </c>
      <c r="B417" s="7">
        <v>43761</v>
      </c>
      <c r="C417" s="6">
        <v>17.1026685895905</v>
      </c>
      <c r="D417" s="6">
        <v>-10.7135861464829</v>
      </c>
      <c r="E417" s="6">
        <v>52.853374905078098</v>
      </c>
      <c r="F417" s="6">
        <v>17.1026685895905</v>
      </c>
      <c r="G417" s="6">
        <v>17.1026685895905</v>
      </c>
      <c r="H417" s="6">
        <v>5.7104955362165803</v>
      </c>
      <c r="I417" s="6">
        <v>5.7104955362165803</v>
      </c>
      <c r="J417" s="6">
        <v>5.7104955362165803</v>
      </c>
      <c r="K417" s="6">
        <v>0.94874688043864797</v>
      </c>
      <c r="L417" s="6">
        <v>0.94874688043864797</v>
      </c>
      <c r="M417" s="6">
        <v>0.94874688043864797</v>
      </c>
      <c r="N417" s="6">
        <v>4.7617486557779296</v>
      </c>
      <c r="O417" s="6">
        <v>4.7617486557779296</v>
      </c>
      <c r="P417" s="6">
        <v>4.7617486557779296</v>
      </c>
      <c r="Q417" s="6">
        <v>0</v>
      </c>
      <c r="R417" s="6">
        <v>0</v>
      </c>
      <c r="S417" s="6">
        <v>0</v>
      </c>
      <c r="T417" s="6">
        <v>22.813164125807099</v>
      </c>
    </row>
    <row r="418" spans="1:20" ht="13" x14ac:dyDescent="0.15">
      <c r="A418" s="6">
        <v>416</v>
      </c>
      <c r="B418" s="7">
        <v>43762</v>
      </c>
      <c r="C418" s="6">
        <v>17.098754981322301</v>
      </c>
      <c r="D418" s="6">
        <v>-8.62396546146811</v>
      </c>
      <c r="E418" s="6">
        <v>55.460043654258698</v>
      </c>
      <c r="F418" s="6">
        <v>17.098754981322301</v>
      </c>
      <c r="G418" s="6">
        <v>17.098754981322301</v>
      </c>
      <c r="H418" s="6">
        <v>6.3792431878028601</v>
      </c>
      <c r="I418" s="6">
        <v>6.3792431878028601</v>
      </c>
      <c r="J418" s="6">
        <v>6.3792431878028601</v>
      </c>
      <c r="K418" s="6">
        <v>0.490155213558012</v>
      </c>
      <c r="L418" s="6">
        <v>0.490155213558012</v>
      </c>
      <c r="M418" s="6">
        <v>0.490155213558012</v>
      </c>
      <c r="N418" s="6">
        <v>5.8890879742448501</v>
      </c>
      <c r="O418" s="6">
        <v>5.8890879742448501</v>
      </c>
      <c r="P418" s="6">
        <v>5.8890879742448501</v>
      </c>
      <c r="Q418" s="6">
        <v>0</v>
      </c>
      <c r="R418" s="6">
        <v>0</v>
      </c>
      <c r="S418" s="6">
        <v>0</v>
      </c>
      <c r="T418" s="6">
        <v>23.4779981691252</v>
      </c>
    </row>
    <row r="419" spans="1:20" ht="13" x14ac:dyDescent="0.15">
      <c r="A419" s="6">
        <v>417</v>
      </c>
      <c r="B419" s="7">
        <v>43763</v>
      </c>
      <c r="C419" s="6">
        <v>17.094841373054201</v>
      </c>
      <c r="D419" s="6">
        <v>-8.2996979454563498</v>
      </c>
      <c r="E419" s="6">
        <v>56.619328115371196</v>
      </c>
      <c r="F419" s="6">
        <v>17.094841373054201</v>
      </c>
      <c r="G419" s="6">
        <v>17.094841373054201</v>
      </c>
      <c r="H419" s="6">
        <v>6.9064562935610496</v>
      </c>
      <c r="I419" s="6">
        <v>6.9064562935610496</v>
      </c>
      <c r="J419" s="6">
        <v>6.9064562935610496</v>
      </c>
      <c r="K419" s="6">
        <v>-2.2976765063481001E-2</v>
      </c>
      <c r="L419" s="6">
        <v>-2.2976765063481001E-2</v>
      </c>
      <c r="M419" s="6">
        <v>-2.2976765063481001E-2</v>
      </c>
      <c r="N419" s="6">
        <v>6.9294330586245296</v>
      </c>
      <c r="O419" s="6">
        <v>6.9294330586245296</v>
      </c>
      <c r="P419" s="6">
        <v>6.9294330586245296</v>
      </c>
      <c r="Q419" s="6">
        <v>0</v>
      </c>
      <c r="R419" s="6">
        <v>0</v>
      </c>
      <c r="S419" s="6">
        <v>0</v>
      </c>
      <c r="T419" s="6">
        <v>24.001297666615201</v>
      </c>
    </row>
    <row r="420" spans="1:20" ht="13" x14ac:dyDescent="0.15">
      <c r="A420" s="6">
        <v>418</v>
      </c>
      <c r="B420" s="7">
        <v>43766</v>
      </c>
      <c r="C420" s="6">
        <v>17.0831005482497</v>
      </c>
      <c r="D420" s="6">
        <v>-5.0612946257467497</v>
      </c>
      <c r="E420" s="6">
        <v>60.630793593238003</v>
      </c>
      <c r="F420" s="6">
        <v>17.0831005482497</v>
      </c>
      <c r="G420" s="6">
        <v>17.0831005482497</v>
      </c>
      <c r="H420" s="6">
        <v>11.1943836130632</v>
      </c>
      <c r="I420" s="6">
        <v>11.1943836130632</v>
      </c>
      <c r="J420" s="6">
        <v>11.1943836130632</v>
      </c>
      <c r="K420" s="6">
        <v>1.8228906089329699</v>
      </c>
      <c r="L420" s="6">
        <v>1.8228906089329699</v>
      </c>
      <c r="M420" s="6">
        <v>1.8228906089329699</v>
      </c>
      <c r="N420" s="6">
        <v>9.3714930041302598</v>
      </c>
      <c r="O420" s="6">
        <v>9.3714930041302598</v>
      </c>
      <c r="P420" s="6">
        <v>9.3714930041302598</v>
      </c>
      <c r="Q420" s="6">
        <v>0</v>
      </c>
      <c r="R420" s="6">
        <v>0</v>
      </c>
      <c r="S420" s="6">
        <v>0</v>
      </c>
      <c r="T420" s="6">
        <v>28.277484161312898</v>
      </c>
    </row>
    <row r="421" spans="1:20" ht="13" x14ac:dyDescent="0.15">
      <c r="A421" s="6">
        <v>419</v>
      </c>
      <c r="B421" s="7">
        <v>43767</v>
      </c>
      <c r="C421" s="6">
        <v>17.079186939981501</v>
      </c>
      <c r="D421" s="6">
        <v>-3.5063491399847502</v>
      </c>
      <c r="E421" s="6">
        <v>60.128489881783501</v>
      </c>
      <c r="F421" s="6">
        <v>17.079186939981501</v>
      </c>
      <c r="G421" s="6">
        <v>17.079186939981501</v>
      </c>
      <c r="H421" s="6">
        <v>10.769252756753801</v>
      </c>
      <c r="I421" s="6">
        <v>10.769252756753801</v>
      </c>
      <c r="J421" s="6">
        <v>10.769252756753801</v>
      </c>
      <c r="K421" s="6">
        <v>0.84522403106760002</v>
      </c>
      <c r="L421" s="6">
        <v>0.84522403106760002</v>
      </c>
      <c r="M421" s="6">
        <v>0.84522403106760002</v>
      </c>
      <c r="N421" s="6">
        <v>9.9240287256862008</v>
      </c>
      <c r="O421" s="6">
        <v>9.9240287256862008</v>
      </c>
      <c r="P421" s="6">
        <v>9.9240287256862008</v>
      </c>
      <c r="Q421" s="6">
        <v>0</v>
      </c>
      <c r="R421" s="6">
        <v>0</v>
      </c>
      <c r="S421" s="6">
        <v>0</v>
      </c>
      <c r="T421" s="6">
        <v>27.848439696735301</v>
      </c>
    </row>
    <row r="422" spans="1:20" ht="13" x14ac:dyDescent="0.15">
      <c r="A422" s="6">
        <v>420</v>
      </c>
      <c r="B422" s="7">
        <v>43768</v>
      </c>
      <c r="C422" s="6">
        <v>17.075273331713301</v>
      </c>
      <c r="D422" s="6">
        <v>-3.1449883111891301</v>
      </c>
      <c r="E422" s="6">
        <v>62.027122234063697</v>
      </c>
      <c r="F422" s="6">
        <v>17.075273331713301</v>
      </c>
      <c r="G422" s="6">
        <v>17.075273331713301</v>
      </c>
      <c r="H422" s="6">
        <v>11.2863366792559</v>
      </c>
      <c r="I422" s="6">
        <v>11.2863366792559</v>
      </c>
      <c r="J422" s="6">
        <v>11.2863366792559</v>
      </c>
      <c r="K422" s="6">
        <v>0.94874688043781696</v>
      </c>
      <c r="L422" s="6">
        <v>0.94874688043781696</v>
      </c>
      <c r="M422" s="6">
        <v>0.94874688043781696</v>
      </c>
      <c r="N422" s="6">
        <v>10.337589798818</v>
      </c>
      <c r="O422" s="6">
        <v>10.337589798818</v>
      </c>
      <c r="P422" s="6">
        <v>10.337589798818</v>
      </c>
      <c r="Q422" s="6">
        <v>0</v>
      </c>
      <c r="R422" s="6">
        <v>0</v>
      </c>
      <c r="S422" s="6">
        <v>0</v>
      </c>
      <c r="T422" s="6">
        <v>28.361610010969201</v>
      </c>
    </row>
    <row r="423" spans="1:20" ht="13" x14ac:dyDescent="0.15">
      <c r="A423" s="6">
        <v>421</v>
      </c>
      <c r="B423" s="7">
        <v>43769</v>
      </c>
      <c r="C423" s="6">
        <v>17.071359723445099</v>
      </c>
      <c r="D423" s="6">
        <v>-3.1496580985949398</v>
      </c>
      <c r="E423" s="6">
        <v>61.8886841659113</v>
      </c>
      <c r="F423" s="6">
        <v>17.071359723445099</v>
      </c>
      <c r="G423" s="6">
        <v>17.071359723445099</v>
      </c>
      <c r="H423" s="6">
        <v>11.1031583871394</v>
      </c>
      <c r="I423" s="6">
        <v>11.1031583871394</v>
      </c>
      <c r="J423" s="6">
        <v>11.1031583871394</v>
      </c>
      <c r="K423" s="6">
        <v>0.490155213555174</v>
      </c>
      <c r="L423" s="6">
        <v>0.490155213555174</v>
      </c>
      <c r="M423" s="6">
        <v>0.490155213555174</v>
      </c>
      <c r="N423" s="6">
        <v>10.6130031735842</v>
      </c>
      <c r="O423" s="6">
        <v>10.6130031735842</v>
      </c>
      <c r="P423" s="6">
        <v>10.6130031735842</v>
      </c>
      <c r="Q423" s="6">
        <v>0</v>
      </c>
      <c r="R423" s="6">
        <v>0</v>
      </c>
      <c r="S423" s="6">
        <v>0</v>
      </c>
      <c r="T423" s="6">
        <v>28.1745181105846</v>
      </c>
    </row>
    <row r="424" spans="1:20" ht="13" x14ac:dyDescent="0.15">
      <c r="A424" s="6">
        <v>422</v>
      </c>
      <c r="B424" s="7">
        <v>43770</v>
      </c>
      <c r="C424" s="6">
        <v>17.067446115176999</v>
      </c>
      <c r="D424" s="6">
        <v>-4.7324372663216803</v>
      </c>
      <c r="E424" s="6">
        <v>62.534215386775898</v>
      </c>
      <c r="F424" s="6">
        <v>17.067446115176999</v>
      </c>
      <c r="G424" s="6">
        <v>17.067446115176999</v>
      </c>
      <c r="H424" s="6">
        <v>10.731866532889599</v>
      </c>
      <c r="I424" s="6">
        <v>10.731866532889599</v>
      </c>
      <c r="J424" s="6">
        <v>10.731866532889599</v>
      </c>
      <c r="K424" s="6">
        <v>-2.2976765066092902E-2</v>
      </c>
      <c r="L424" s="6">
        <v>-2.2976765066092902E-2</v>
      </c>
      <c r="M424" s="6">
        <v>-2.2976765066092902E-2</v>
      </c>
      <c r="N424" s="6">
        <v>10.754843297955601</v>
      </c>
      <c r="O424" s="6">
        <v>10.754843297955601</v>
      </c>
      <c r="P424" s="6">
        <v>10.754843297955601</v>
      </c>
      <c r="Q424" s="6">
        <v>0</v>
      </c>
      <c r="R424" s="6">
        <v>0</v>
      </c>
      <c r="S424" s="6">
        <v>0</v>
      </c>
      <c r="T424" s="6">
        <v>27.7993126480666</v>
      </c>
    </row>
    <row r="425" spans="1:20" ht="13" x14ac:dyDescent="0.15">
      <c r="A425" s="6">
        <v>423</v>
      </c>
      <c r="B425" s="7">
        <v>43773</v>
      </c>
      <c r="C425" s="6">
        <v>17.055705290372501</v>
      </c>
      <c r="D425" s="6">
        <v>-5.9861350120444303</v>
      </c>
      <c r="E425" s="6">
        <v>61.905012814705103</v>
      </c>
      <c r="F425" s="6">
        <v>17.055705290372501</v>
      </c>
      <c r="G425" s="6">
        <v>17.055705290372501</v>
      </c>
      <c r="H425" s="6">
        <v>12.298678116884</v>
      </c>
      <c r="I425" s="6">
        <v>12.298678116884</v>
      </c>
      <c r="J425" s="6">
        <v>12.298678116884</v>
      </c>
      <c r="K425" s="6">
        <v>1.8228906089346899</v>
      </c>
      <c r="L425" s="6">
        <v>1.8228906089346899</v>
      </c>
      <c r="M425" s="6">
        <v>1.8228906089346899</v>
      </c>
      <c r="N425" s="6">
        <v>10.475787507949301</v>
      </c>
      <c r="O425" s="6">
        <v>10.475787507949301</v>
      </c>
      <c r="P425" s="6">
        <v>10.475787507949301</v>
      </c>
      <c r="Q425" s="6">
        <v>0</v>
      </c>
      <c r="R425" s="6">
        <v>0</v>
      </c>
      <c r="S425" s="6">
        <v>0</v>
      </c>
      <c r="T425" s="6">
        <v>29.354383407256499</v>
      </c>
    </row>
    <row r="426" spans="1:20" ht="13" x14ac:dyDescent="0.15">
      <c r="A426" s="6">
        <v>424</v>
      </c>
      <c r="B426" s="7">
        <v>43774</v>
      </c>
      <c r="C426" s="6">
        <v>17.051791682104302</v>
      </c>
      <c r="D426" s="6">
        <v>-2.0801443708330698</v>
      </c>
      <c r="E426" s="6">
        <v>62.310328355790602</v>
      </c>
      <c r="F426" s="6">
        <v>17.051791682104302</v>
      </c>
      <c r="G426" s="6">
        <v>17.051791682104302</v>
      </c>
      <c r="H426" s="6">
        <v>11.0398980218663</v>
      </c>
      <c r="I426" s="6">
        <v>11.0398980218663</v>
      </c>
      <c r="J426" s="6">
        <v>11.0398980218663</v>
      </c>
      <c r="K426" s="6">
        <v>0.84522403106614297</v>
      </c>
      <c r="L426" s="6">
        <v>0.84522403106614297</v>
      </c>
      <c r="M426" s="6">
        <v>0.84522403106614297</v>
      </c>
      <c r="N426" s="6">
        <v>10.194673990800201</v>
      </c>
      <c r="O426" s="6">
        <v>10.194673990800201</v>
      </c>
      <c r="P426" s="6">
        <v>10.194673990800201</v>
      </c>
      <c r="Q426" s="6">
        <v>0</v>
      </c>
      <c r="R426" s="6">
        <v>0</v>
      </c>
      <c r="S426" s="6">
        <v>0</v>
      </c>
      <c r="T426" s="6">
        <v>28.091689703970701</v>
      </c>
    </row>
    <row r="427" spans="1:20" ht="13" x14ac:dyDescent="0.15">
      <c r="A427" s="6">
        <v>425</v>
      </c>
      <c r="B427" s="7">
        <v>43775</v>
      </c>
      <c r="C427" s="6">
        <v>17.047878073836099</v>
      </c>
      <c r="D427" s="6">
        <v>-4.3760088502457997</v>
      </c>
      <c r="E427" s="6">
        <v>58.958016307106</v>
      </c>
      <c r="F427" s="6">
        <v>17.047878073836099</v>
      </c>
      <c r="G427" s="6">
        <v>17.047878073836099</v>
      </c>
      <c r="H427" s="6">
        <v>10.797232161239601</v>
      </c>
      <c r="I427" s="6">
        <v>10.797232161239601</v>
      </c>
      <c r="J427" s="6">
        <v>10.797232161239601</v>
      </c>
      <c r="K427" s="6">
        <v>0.94874688043698696</v>
      </c>
      <c r="L427" s="6">
        <v>0.94874688043698696</v>
      </c>
      <c r="M427" s="6">
        <v>0.94874688043698696</v>
      </c>
      <c r="N427" s="6">
        <v>9.8484852808026897</v>
      </c>
      <c r="O427" s="6">
        <v>9.8484852808026897</v>
      </c>
      <c r="P427" s="6">
        <v>9.8484852808026897</v>
      </c>
      <c r="Q427" s="6">
        <v>0</v>
      </c>
      <c r="R427" s="6">
        <v>0</v>
      </c>
      <c r="S427" s="6">
        <v>0</v>
      </c>
      <c r="T427" s="6">
        <v>27.845110235075801</v>
      </c>
    </row>
    <row r="428" spans="1:20" ht="13" x14ac:dyDescent="0.15">
      <c r="A428" s="6">
        <v>426</v>
      </c>
      <c r="B428" s="7">
        <v>43776</v>
      </c>
      <c r="C428" s="6">
        <v>17.043964465567999</v>
      </c>
      <c r="D428" s="6">
        <v>-4.3236175411274997</v>
      </c>
      <c r="E428" s="6">
        <v>58.761342699654101</v>
      </c>
      <c r="F428" s="6">
        <v>17.043964465567999</v>
      </c>
      <c r="G428" s="6">
        <v>17.043964465567999</v>
      </c>
      <c r="H428" s="6">
        <v>9.9469562432277492</v>
      </c>
      <c r="I428" s="6">
        <v>9.9469562432277492</v>
      </c>
      <c r="J428" s="6">
        <v>9.9469562432277492</v>
      </c>
      <c r="K428" s="6">
        <v>0.49015521355964098</v>
      </c>
      <c r="L428" s="6">
        <v>0.49015521355964098</v>
      </c>
      <c r="M428" s="6">
        <v>0.49015521355964098</v>
      </c>
      <c r="N428" s="6">
        <v>9.4568010296681102</v>
      </c>
      <c r="O428" s="6">
        <v>9.4568010296681102</v>
      </c>
      <c r="P428" s="6">
        <v>9.4568010296681102</v>
      </c>
      <c r="Q428" s="6">
        <v>0</v>
      </c>
      <c r="R428" s="6">
        <v>0</v>
      </c>
      <c r="S428" s="6">
        <v>0</v>
      </c>
      <c r="T428" s="6">
        <v>26.990920708795699</v>
      </c>
    </row>
    <row r="429" spans="1:20" ht="13" x14ac:dyDescent="0.15">
      <c r="A429" s="6">
        <v>427</v>
      </c>
      <c r="B429" s="7">
        <v>43777</v>
      </c>
      <c r="C429" s="6">
        <v>17.0400508572998</v>
      </c>
      <c r="D429" s="6">
        <v>-5.7469807405813702</v>
      </c>
      <c r="E429" s="6">
        <v>59.325586455541902</v>
      </c>
      <c r="F429" s="6">
        <v>17.0400508572998</v>
      </c>
      <c r="G429" s="6">
        <v>17.0400508572998</v>
      </c>
      <c r="H429" s="6">
        <v>9.0168420743205893</v>
      </c>
      <c r="I429" s="6">
        <v>9.0168420743205893</v>
      </c>
      <c r="J429" s="6">
        <v>9.0168420743205893</v>
      </c>
      <c r="K429" s="6">
        <v>-2.2976765059811301E-2</v>
      </c>
      <c r="L429" s="6">
        <v>-2.2976765059811301E-2</v>
      </c>
      <c r="M429" s="6">
        <v>-2.2976765059811301E-2</v>
      </c>
      <c r="N429" s="6">
        <v>9.0398188393804002</v>
      </c>
      <c r="O429" s="6">
        <v>9.0398188393804002</v>
      </c>
      <c r="P429" s="6">
        <v>9.0398188393804002</v>
      </c>
      <c r="Q429" s="6">
        <v>0</v>
      </c>
      <c r="R429" s="6">
        <v>0</v>
      </c>
      <c r="S429" s="6">
        <v>0</v>
      </c>
      <c r="T429" s="6">
        <v>26.0568929316204</v>
      </c>
    </row>
    <row r="430" spans="1:20" ht="13" x14ac:dyDescent="0.15">
      <c r="A430" s="6">
        <v>428</v>
      </c>
      <c r="B430" s="7">
        <v>43780</v>
      </c>
      <c r="C430" s="6">
        <v>17.028310032495298</v>
      </c>
      <c r="D430" s="6">
        <v>-5.6477804581383602</v>
      </c>
      <c r="E430" s="6">
        <v>60.028342734477</v>
      </c>
      <c r="F430" s="6">
        <v>17.028310032495298</v>
      </c>
      <c r="G430" s="6">
        <v>17.028310032495298</v>
      </c>
      <c r="H430" s="6">
        <v>9.6581047502858492</v>
      </c>
      <c r="I430" s="6">
        <v>9.6581047502858492</v>
      </c>
      <c r="J430" s="6">
        <v>9.6581047502858492</v>
      </c>
      <c r="K430" s="6">
        <v>1.8228906089364001</v>
      </c>
      <c r="L430" s="6">
        <v>1.8228906089364001</v>
      </c>
      <c r="M430" s="6">
        <v>1.8228906089364001</v>
      </c>
      <c r="N430" s="6">
        <v>7.8352141413494403</v>
      </c>
      <c r="O430" s="6">
        <v>7.8352141413494403</v>
      </c>
      <c r="P430" s="6">
        <v>7.8352141413494403</v>
      </c>
      <c r="Q430" s="6">
        <v>0</v>
      </c>
      <c r="R430" s="6">
        <v>0</v>
      </c>
      <c r="S430" s="6">
        <v>0</v>
      </c>
      <c r="T430" s="6">
        <v>26.6864147827811</v>
      </c>
    </row>
    <row r="431" spans="1:20" ht="13" x14ac:dyDescent="0.15">
      <c r="A431" s="6">
        <v>429</v>
      </c>
      <c r="B431" s="7">
        <v>43781</v>
      </c>
      <c r="C431" s="6">
        <v>17.024396424227099</v>
      </c>
      <c r="D431" s="6">
        <v>-7.7546670761346901</v>
      </c>
      <c r="E431" s="6">
        <v>57.719954933763297</v>
      </c>
      <c r="F431" s="6">
        <v>17.024396424227099</v>
      </c>
      <c r="G431" s="6">
        <v>17.024396424227099</v>
      </c>
      <c r="H431" s="6">
        <v>8.3548927833941509</v>
      </c>
      <c r="I431" s="6">
        <v>8.3548927833941509</v>
      </c>
      <c r="J431" s="6">
        <v>8.3548927833941509</v>
      </c>
      <c r="K431" s="6">
        <v>0.84522403106549804</v>
      </c>
      <c r="L431" s="6">
        <v>0.84522403106549804</v>
      </c>
      <c r="M431" s="6">
        <v>0.84522403106549804</v>
      </c>
      <c r="N431" s="6">
        <v>7.5096687523286496</v>
      </c>
      <c r="O431" s="6">
        <v>7.5096687523286496</v>
      </c>
      <c r="P431" s="6">
        <v>7.5096687523286496</v>
      </c>
      <c r="Q431" s="6">
        <v>0</v>
      </c>
      <c r="R431" s="6">
        <v>0</v>
      </c>
      <c r="S431" s="6">
        <v>0</v>
      </c>
      <c r="T431" s="6">
        <v>25.379289207621301</v>
      </c>
    </row>
    <row r="432" spans="1:20" ht="13" x14ac:dyDescent="0.15">
      <c r="A432" s="6">
        <v>430</v>
      </c>
      <c r="B432" s="7">
        <v>43782</v>
      </c>
      <c r="C432" s="6">
        <v>17.0204828159589</v>
      </c>
      <c r="D432" s="6">
        <v>-7.25203582415444</v>
      </c>
      <c r="E432" s="6">
        <v>56.738567220596103</v>
      </c>
      <c r="F432" s="6">
        <v>17.0204828159589</v>
      </c>
      <c r="G432" s="6">
        <v>17.0204828159589</v>
      </c>
      <c r="H432" s="6">
        <v>8.1964575185180095</v>
      </c>
      <c r="I432" s="6">
        <v>8.1964575185180095</v>
      </c>
      <c r="J432" s="6">
        <v>8.1964575185180095</v>
      </c>
      <c r="K432" s="6">
        <v>0.94874688043883604</v>
      </c>
      <c r="L432" s="6">
        <v>0.94874688043883604</v>
      </c>
      <c r="M432" s="6">
        <v>0.94874688043883604</v>
      </c>
      <c r="N432" s="6">
        <v>7.2477106380791696</v>
      </c>
      <c r="O432" s="6">
        <v>7.2477106380791696</v>
      </c>
      <c r="P432" s="6">
        <v>7.2477106380791696</v>
      </c>
      <c r="Q432" s="6">
        <v>0</v>
      </c>
      <c r="R432" s="6">
        <v>0</v>
      </c>
      <c r="S432" s="6">
        <v>0</v>
      </c>
      <c r="T432" s="6">
        <v>25.216940334476899</v>
      </c>
    </row>
    <row r="433" spans="1:20" ht="13" x14ac:dyDescent="0.15">
      <c r="A433" s="6">
        <v>431</v>
      </c>
      <c r="B433" s="7">
        <v>43783</v>
      </c>
      <c r="C433" s="6">
        <v>17.0165692076908</v>
      </c>
      <c r="D433" s="6">
        <v>-6.4770448956850499</v>
      </c>
      <c r="E433" s="6">
        <v>54.914131646665098</v>
      </c>
      <c r="F433" s="6">
        <v>17.0165692076908</v>
      </c>
      <c r="G433" s="6">
        <v>17.0165692076908</v>
      </c>
      <c r="H433" s="6">
        <v>7.5510528033350504</v>
      </c>
      <c r="I433" s="6">
        <v>7.5510528033350504</v>
      </c>
      <c r="J433" s="6">
        <v>7.5510528033350504</v>
      </c>
      <c r="K433" s="6">
        <v>0.490155213556074</v>
      </c>
      <c r="L433" s="6">
        <v>0.490155213556074</v>
      </c>
      <c r="M433" s="6">
        <v>0.490155213556074</v>
      </c>
      <c r="N433" s="6">
        <v>7.0608975897789703</v>
      </c>
      <c r="O433" s="6">
        <v>7.0608975897789703</v>
      </c>
      <c r="P433" s="6">
        <v>7.0608975897789703</v>
      </c>
      <c r="Q433" s="6">
        <v>0</v>
      </c>
      <c r="R433" s="6">
        <v>0</v>
      </c>
      <c r="S433" s="6">
        <v>0</v>
      </c>
      <c r="T433" s="6">
        <v>24.567622011025801</v>
      </c>
    </row>
    <row r="434" spans="1:20" ht="13" x14ac:dyDescent="0.15">
      <c r="A434" s="6">
        <v>432</v>
      </c>
      <c r="B434" s="7">
        <v>43784</v>
      </c>
      <c r="C434" s="6">
        <v>17.012655599422601</v>
      </c>
      <c r="D434" s="6">
        <v>-6.2934811622409699</v>
      </c>
      <c r="E434" s="6">
        <v>56.707610274809298</v>
      </c>
      <c r="F434" s="6">
        <v>17.012655599422601</v>
      </c>
      <c r="G434" s="6">
        <v>17.012655599422601</v>
      </c>
      <c r="H434" s="6">
        <v>6.9347624535939696</v>
      </c>
      <c r="I434" s="6">
        <v>6.9347624535939696</v>
      </c>
      <c r="J434" s="6">
        <v>6.9347624535939696</v>
      </c>
      <c r="K434" s="6">
        <v>-2.2976765062423299E-2</v>
      </c>
      <c r="L434" s="6">
        <v>-2.2976765062423299E-2</v>
      </c>
      <c r="M434" s="6">
        <v>-2.2976765062423299E-2</v>
      </c>
      <c r="N434" s="6">
        <v>6.9577392186563998</v>
      </c>
      <c r="O434" s="6">
        <v>6.9577392186563998</v>
      </c>
      <c r="P434" s="6">
        <v>6.9577392186563998</v>
      </c>
      <c r="Q434" s="6">
        <v>0</v>
      </c>
      <c r="R434" s="6">
        <v>0</v>
      </c>
      <c r="S434" s="6">
        <v>0</v>
      </c>
      <c r="T434" s="6">
        <v>23.947418053016602</v>
      </c>
    </row>
    <row r="435" spans="1:20" ht="13" x14ac:dyDescent="0.15">
      <c r="A435" s="6">
        <v>433</v>
      </c>
      <c r="B435" s="7">
        <v>43787</v>
      </c>
      <c r="C435" s="6">
        <v>17.000914774618099</v>
      </c>
      <c r="D435" s="6">
        <v>-7.7792729019862596</v>
      </c>
      <c r="E435" s="6">
        <v>60.318325640523199</v>
      </c>
      <c r="F435" s="6">
        <v>17.000914774618099</v>
      </c>
      <c r="G435" s="6">
        <v>17.000914774618099</v>
      </c>
      <c r="H435" s="6">
        <v>9.0079806665600994</v>
      </c>
      <c r="I435" s="6">
        <v>9.0079806665600994</v>
      </c>
      <c r="J435" s="6">
        <v>9.0079806665600994</v>
      </c>
      <c r="K435" s="6">
        <v>1.82289060893812</v>
      </c>
      <c r="L435" s="6">
        <v>1.82289060893812</v>
      </c>
      <c r="M435" s="6">
        <v>1.82289060893812</v>
      </c>
      <c r="N435" s="6">
        <v>7.1850900576219701</v>
      </c>
      <c r="O435" s="6">
        <v>7.1850900576219701</v>
      </c>
      <c r="P435" s="6">
        <v>7.1850900576219701</v>
      </c>
      <c r="Q435" s="6">
        <v>0</v>
      </c>
      <c r="R435" s="6">
        <v>0</v>
      </c>
      <c r="S435" s="6">
        <v>0</v>
      </c>
      <c r="T435" s="6">
        <v>26.008895441178201</v>
      </c>
    </row>
    <row r="436" spans="1:20" ht="13" x14ac:dyDescent="0.15">
      <c r="A436" s="6">
        <v>434</v>
      </c>
      <c r="B436" s="7">
        <v>43788</v>
      </c>
      <c r="C436" s="6">
        <v>16.9970011663499</v>
      </c>
      <c r="D436" s="6">
        <v>-4.7710114832794099</v>
      </c>
      <c r="E436" s="6">
        <v>58.071560237369603</v>
      </c>
      <c r="F436" s="6">
        <v>16.9970011663499</v>
      </c>
      <c r="G436" s="6">
        <v>16.9970011663499</v>
      </c>
      <c r="H436" s="6">
        <v>8.2794116779635107</v>
      </c>
      <c r="I436" s="6">
        <v>8.2794116779635107</v>
      </c>
      <c r="J436" s="6">
        <v>8.2794116779635107</v>
      </c>
      <c r="K436" s="6">
        <v>0.84522403106632604</v>
      </c>
      <c r="L436" s="6">
        <v>0.84522403106632604</v>
      </c>
      <c r="M436" s="6">
        <v>0.84522403106632604</v>
      </c>
      <c r="N436" s="6">
        <v>7.4341876468971799</v>
      </c>
      <c r="O436" s="6">
        <v>7.4341876468971799</v>
      </c>
      <c r="P436" s="6">
        <v>7.4341876468971799</v>
      </c>
      <c r="Q436" s="6">
        <v>0</v>
      </c>
      <c r="R436" s="6">
        <v>0</v>
      </c>
      <c r="S436" s="6">
        <v>0</v>
      </c>
      <c r="T436" s="6">
        <v>25.276412844313398</v>
      </c>
    </row>
    <row r="437" spans="1:20" ht="13" x14ac:dyDescent="0.15">
      <c r="A437" s="6">
        <v>435</v>
      </c>
      <c r="B437" s="7">
        <v>43789</v>
      </c>
      <c r="C437" s="6">
        <v>16.993087558081701</v>
      </c>
      <c r="D437" s="6">
        <v>-5.9287363999492699</v>
      </c>
      <c r="E437" s="6">
        <v>56.022569138554097</v>
      </c>
      <c r="F437" s="6">
        <v>16.993087558081701</v>
      </c>
      <c r="G437" s="6">
        <v>16.993087558081701</v>
      </c>
      <c r="H437" s="6">
        <v>8.7074734825518405</v>
      </c>
      <c r="I437" s="6">
        <v>8.7074734825518405</v>
      </c>
      <c r="J437" s="6">
        <v>8.7074734825518405</v>
      </c>
      <c r="K437" s="6">
        <v>0.94874688043593303</v>
      </c>
      <c r="L437" s="6">
        <v>0.94874688043593303</v>
      </c>
      <c r="M437" s="6">
        <v>0.94874688043593303</v>
      </c>
      <c r="N437" s="6">
        <v>7.7587266021158996</v>
      </c>
      <c r="O437" s="6">
        <v>7.7587266021158996</v>
      </c>
      <c r="P437" s="6">
        <v>7.7587266021158996</v>
      </c>
      <c r="Q437" s="6">
        <v>0</v>
      </c>
      <c r="R437" s="6">
        <v>0</v>
      </c>
      <c r="S437" s="6">
        <v>0</v>
      </c>
      <c r="T437" s="6">
        <v>25.700561040633598</v>
      </c>
    </row>
    <row r="438" spans="1:20" ht="13" x14ac:dyDescent="0.15">
      <c r="A438" s="6">
        <v>436</v>
      </c>
      <c r="B438" s="7">
        <v>43790</v>
      </c>
      <c r="C438" s="6">
        <v>16.989173949813601</v>
      </c>
      <c r="D438" s="6">
        <v>-5.0388650976627902</v>
      </c>
      <c r="E438" s="6">
        <v>58.410837818510402</v>
      </c>
      <c r="F438" s="6">
        <v>16.989173949813601</v>
      </c>
      <c r="G438" s="6">
        <v>16.989173949813601</v>
      </c>
      <c r="H438" s="6">
        <v>8.6375171205571597</v>
      </c>
      <c r="I438" s="6">
        <v>8.6375171205571597</v>
      </c>
      <c r="J438" s="6">
        <v>8.6375171205571597</v>
      </c>
      <c r="K438" s="6">
        <v>0.49015521356127001</v>
      </c>
      <c r="L438" s="6">
        <v>0.49015521356127001</v>
      </c>
      <c r="M438" s="6">
        <v>0.49015521356127001</v>
      </c>
      <c r="N438" s="6">
        <v>8.14736190699589</v>
      </c>
      <c r="O438" s="6">
        <v>8.14736190699589</v>
      </c>
      <c r="P438" s="6">
        <v>8.14736190699589</v>
      </c>
      <c r="Q438" s="6">
        <v>0</v>
      </c>
      <c r="R438" s="6">
        <v>0</v>
      </c>
      <c r="S438" s="6">
        <v>0</v>
      </c>
      <c r="T438" s="6">
        <v>25.6266910703707</v>
      </c>
    </row>
    <row r="439" spans="1:20" ht="13" x14ac:dyDescent="0.15">
      <c r="A439" s="6">
        <v>437</v>
      </c>
      <c r="B439" s="7">
        <v>43791</v>
      </c>
      <c r="C439" s="6">
        <v>16.985260341545398</v>
      </c>
      <c r="D439" s="6">
        <v>-6.2470195795630996</v>
      </c>
      <c r="E439" s="6">
        <v>59.713218485961796</v>
      </c>
      <c r="F439" s="6">
        <v>16.985260341545398</v>
      </c>
      <c r="G439" s="6">
        <v>16.985260341545398</v>
      </c>
      <c r="H439" s="6">
        <v>8.5631562850494802</v>
      </c>
      <c r="I439" s="6">
        <v>8.5631562850494802</v>
      </c>
      <c r="J439" s="6">
        <v>8.5631562850494802</v>
      </c>
      <c r="K439" s="6">
        <v>-2.2976765065035602E-2</v>
      </c>
      <c r="L439" s="6">
        <v>-2.2976765065035602E-2</v>
      </c>
      <c r="M439" s="6">
        <v>-2.2976765065035602E-2</v>
      </c>
      <c r="N439" s="6">
        <v>8.5861330501145208</v>
      </c>
      <c r="O439" s="6">
        <v>8.5861330501145208</v>
      </c>
      <c r="P439" s="6">
        <v>8.5861330501145208</v>
      </c>
      <c r="Q439" s="6">
        <v>0</v>
      </c>
      <c r="R439" s="6">
        <v>0</v>
      </c>
      <c r="S439" s="6">
        <v>0</v>
      </c>
      <c r="T439" s="6">
        <v>25.5484166265949</v>
      </c>
    </row>
    <row r="440" spans="1:20" ht="13" x14ac:dyDescent="0.15">
      <c r="A440" s="6">
        <v>438</v>
      </c>
      <c r="B440" s="7">
        <v>43794</v>
      </c>
      <c r="C440" s="6">
        <v>16.9735195167409</v>
      </c>
      <c r="D440" s="6">
        <v>-4.01815376774426</v>
      </c>
      <c r="E440" s="6">
        <v>61.307541310749301</v>
      </c>
      <c r="F440" s="6">
        <v>16.9735195167409</v>
      </c>
      <c r="G440" s="6">
        <v>16.9735195167409</v>
      </c>
      <c r="H440" s="6">
        <v>11.8570287839191</v>
      </c>
      <c r="I440" s="6">
        <v>11.8570287839191</v>
      </c>
      <c r="J440" s="6">
        <v>11.8570287839191</v>
      </c>
      <c r="K440" s="6">
        <v>1.8228906089346499</v>
      </c>
      <c r="L440" s="6">
        <v>1.8228906089346499</v>
      </c>
      <c r="M440" s="6">
        <v>1.8228906089346499</v>
      </c>
      <c r="N440" s="6">
        <v>10.034138174984401</v>
      </c>
      <c r="O440" s="6">
        <v>10.034138174984401</v>
      </c>
      <c r="P440" s="6">
        <v>10.034138174984401</v>
      </c>
      <c r="Q440" s="6">
        <v>0</v>
      </c>
      <c r="R440" s="6">
        <v>0</v>
      </c>
      <c r="S440" s="6">
        <v>0</v>
      </c>
      <c r="T440" s="6">
        <v>28.830548300659999</v>
      </c>
    </row>
    <row r="441" spans="1:20" ht="13" x14ac:dyDescent="0.15">
      <c r="A441" s="6">
        <v>439</v>
      </c>
      <c r="B441" s="7">
        <v>43795</v>
      </c>
      <c r="C441" s="6">
        <v>16.969605908472701</v>
      </c>
      <c r="D441" s="6">
        <v>-3.2141826004121801</v>
      </c>
      <c r="E441" s="6">
        <v>59.204931996932601</v>
      </c>
      <c r="F441" s="6">
        <v>16.969605908472701</v>
      </c>
      <c r="G441" s="6">
        <v>16.969605908472701</v>
      </c>
      <c r="H441" s="6">
        <v>11.3434987110717</v>
      </c>
      <c r="I441" s="6">
        <v>11.3434987110717</v>
      </c>
      <c r="J441" s="6">
        <v>11.3434987110717</v>
      </c>
      <c r="K441" s="6">
        <v>0.845224031065681</v>
      </c>
      <c r="L441" s="6">
        <v>0.845224031065681</v>
      </c>
      <c r="M441" s="6">
        <v>0.845224031065681</v>
      </c>
      <c r="N441" s="6">
        <v>10.498274680006</v>
      </c>
      <c r="O441" s="6">
        <v>10.498274680006</v>
      </c>
      <c r="P441" s="6">
        <v>10.498274680006</v>
      </c>
      <c r="Q441" s="6">
        <v>0</v>
      </c>
      <c r="R441" s="6">
        <v>0</v>
      </c>
      <c r="S441" s="6">
        <v>0</v>
      </c>
      <c r="T441" s="6">
        <v>28.3131046195445</v>
      </c>
    </row>
    <row r="442" spans="1:20" ht="13" x14ac:dyDescent="0.15">
      <c r="A442" s="6">
        <v>440</v>
      </c>
      <c r="B442" s="7">
        <v>43796</v>
      </c>
      <c r="C442" s="6">
        <v>16.965692300204601</v>
      </c>
      <c r="D442" s="6">
        <v>-4.9347758182744004</v>
      </c>
      <c r="E442" s="6">
        <v>60.016972493462397</v>
      </c>
      <c r="F442" s="6">
        <v>16.965692300204601</v>
      </c>
      <c r="G442" s="6">
        <v>16.965692300204601</v>
      </c>
      <c r="H442" s="6">
        <v>11.869719314349201</v>
      </c>
      <c r="I442" s="6">
        <v>11.869719314349201</v>
      </c>
      <c r="J442" s="6">
        <v>11.869719314349201</v>
      </c>
      <c r="K442" s="6">
        <v>0.94874688043778199</v>
      </c>
      <c r="L442" s="6">
        <v>0.94874688043778199</v>
      </c>
      <c r="M442" s="6">
        <v>0.94874688043778199</v>
      </c>
      <c r="N442" s="6">
        <v>10.9209724339114</v>
      </c>
      <c r="O442" s="6">
        <v>10.9209724339114</v>
      </c>
      <c r="P442" s="6">
        <v>10.9209724339114</v>
      </c>
      <c r="Q442" s="6">
        <v>0</v>
      </c>
      <c r="R442" s="6">
        <v>0</v>
      </c>
      <c r="S442" s="6">
        <v>0</v>
      </c>
      <c r="T442" s="6">
        <v>28.835411614553799</v>
      </c>
    </row>
    <row r="443" spans="1:20" ht="13" x14ac:dyDescent="0.15">
      <c r="A443" s="6">
        <v>441</v>
      </c>
      <c r="B443" s="7">
        <v>43798</v>
      </c>
      <c r="C443" s="6">
        <v>16.957865083668199</v>
      </c>
      <c r="D443" s="6">
        <v>-3.2439859199038699</v>
      </c>
      <c r="E443" s="6">
        <v>59.275236082323097</v>
      </c>
      <c r="F443" s="6">
        <v>16.957865083668199</v>
      </c>
      <c r="G443" s="6">
        <v>16.957865083668199</v>
      </c>
      <c r="H443" s="6">
        <v>11.546012987537701</v>
      </c>
      <c r="I443" s="6">
        <v>11.546012987537701</v>
      </c>
      <c r="J443" s="6">
        <v>11.546012987537701</v>
      </c>
      <c r="K443" s="6">
        <v>-2.2976765067647599E-2</v>
      </c>
      <c r="L443" s="6">
        <v>-2.2976765067647599E-2</v>
      </c>
      <c r="M443" s="6">
        <v>-2.2976765067647599E-2</v>
      </c>
      <c r="N443" s="6">
        <v>11.5689897526054</v>
      </c>
      <c r="O443" s="6">
        <v>11.5689897526054</v>
      </c>
      <c r="P443" s="6">
        <v>11.5689897526054</v>
      </c>
      <c r="Q443" s="6">
        <v>0</v>
      </c>
      <c r="R443" s="6">
        <v>0</v>
      </c>
      <c r="S443" s="6">
        <v>0</v>
      </c>
      <c r="T443" s="6">
        <v>28.503878071206</v>
      </c>
    </row>
    <row r="444" spans="1:20" ht="13" x14ac:dyDescent="0.15">
      <c r="A444" s="6">
        <v>442</v>
      </c>
      <c r="B444" s="7">
        <v>43801</v>
      </c>
      <c r="C444" s="6">
        <v>16.946124258863701</v>
      </c>
      <c r="D444" s="6">
        <v>-2.2814743445088701</v>
      </c>
      <c r="E444" s="6">
        <v>64.430586251559205</v>
      </c>
      <c r="F444" s="6">
        <v>16.946124258863701</v>
      </c>
      <c r="G444" s="6">
        <v>16.946124258863701</v>
      </c>
      <c r="H444" s="6">
        <v>13.6423654463603</v>
      </c>
      <c r="I444" s="6">
        <v>13.6423654463603</v>
      </c>
      <c r="J444" s="6">
        <v>13.6423654463603</v>
      </c>
      <c r="K444" s="6">
        <v>1.82289060893759</v>
      </c>
      <c r="L444" s="6">
        <v>1.82289060893759</v>
      </c>
      <c r="M444" s="6">
        <v>1.82289060893759</v>
      </c>
      <c r="N444" s="6">
        <v>11.819474837422799</v>
      </c>
      <c r="O444" s="6">
        <v>11.819474837422799</v>
      </c>
      <c r="P444" s="6">
        <v>11.819474837422799</v>
      </c>
      <c r="Q444" s="6">
        <v>0</v>
      </c>
      <c r="R444" s="6">
        <v>0</v>
      </c>
      <c r="S444" s="6">
        <v>0</v>
      </c>
      <c r="T444" s="6">
        <v>30.588489705224099</v>
      </c>
    </row>
    <row r="445" spans="1:20" ht="13" x14ac:dyDescent="0.15">
      <c r="A445" s="6">
        <v>443</v>
      </c>
      <c r="B445" s="7">
        <v>43802</v>
      </c>
      <c r="C445" s="6">
        <v>17.079113673997998</v>
      </c>
      <c r="D445" s="6">
        <v>0.17263284991962399</v>
      </c>
      <c r="E445" s="6">
        <v>58.312208787586698</v>
      </c>
      <c r="F445" s="6">
        <v>17.079113673997998</v>
      </c>
      <c r="G445" s="6">
        <v>17.079113673997998</v>
      </c>
      <c r="H445" s="6">
        <v>12.5126923856738</v>
      </c>
      <c r="I445" s="6">
        <v>12.5126923856738</v>
      </c>
      <c r="J445" s="6">
        <v>12.5126923856738</v>
      </c>
      <c r="K445" s="6">
        <v>0.84522403106503596</v>
      </c>
      <c r="L445" s="6">
        <v>0.84522403106503596</v>
      </c>
      <c r="M445" s="6">
        <v>0.84522403106503596</v>
      </c>
      <c r="N445" s="6">
        <v>11.667468354608699</v>
      </c>
      <c r="O445" s="6">
        <v>11.667468354608699</v>
      </c>
      <c r="P445" s="6">
        <v>11.667468354608699</v>
      </c>
      <c r="Q445" s="6">
        <v>0</v>
      </c>
      <c r="R445" s="6">
        <v>0</v>
      </c>
      <c r="S445" s="6">
        <v>0</v>
      </c>
      <c r="T445" s="6">
        <v>29.5918060596718</v>
      </c>
    </row>
    <row r="446" spans="1:20" ht="13" x14ac:dyDescent="0.15">
      <c r="A446" s="6">
        <v>444</v>
      </c>
      <c r="B446" s="7">
        <v>43803</v>
      </c>
      <c r="C446" s="6">
        <v>17.212103089132199</v>
      </c>
      <c r="D446" s="6">
        <v>-3.3393308492579199</v>
      </c>
      <c r="E446" s="6">
        <v>61.776481598506003</v>
      </c>
      <c r="F446" s="6">
        <v>17.212103089132199</v>
      </c>
      <c r="G446" s="6">
        <v>17.212103089132199</v>
      </c>
      <c r="H446" s="6">
        <v>12.337675482772401</v>
      </c>
      <c r="I446" s="6">
        <v>12.337675482772401</v>
      </c>
      <c r="J446" s="6">
        <v>12.337675482772401</v>
      </c>
      <c r="K446" s="6">
        <v>0.94874688043487898</v>
      </c>
      <c r="L446" s="6">
        <v>0.94874688043487898</v>
      </c>
      <c r="M446" s="6">
        <v>0.94874688043487898</v>
      </c>
      <c r="N446" s="6">
        <v>11.388928602337501</v>
      </c>
      <c r="O446" s="6">
        <v>11.388928602337501</v>
      </c>
      <c r="P446" s="6">
        <v>11.388928602337501</v>
      </c>
      <c r="Q446" s="6">
        <v>0</v>
      </c>
      <c r="R446" s="6">
        <v>0</v>
      </c>
      <c r="S446" s="6">
        <v>0</v>
      </c>
      <c r="T446" s="6">
        <v>29.549778571904699</v>
      </c>
    </row>
    <row r="447" spans="1:20" ht="13" x14ac:dyDescent="0.15">
      <c r="A447" s="6">
        <v>445</v>
      </c>
      <c r="B447" s="7">
        <v>43804</v>
      </c>
      <c r="C447" s="6">
        <v>17.3450925042665</v>
      </c>
      <c r="D447" s="6">
        <v>-1.4172943035982699</v>
      </c>
      <c r="E447" s="6">
        <v>61.291463475668799</v>
      </c>
      <c r="F447" s="6">
        <v>17.3450925042665</v>
      </c>
      <c r="G447" s="6">
        <v>17.3450925042665</v>
      </c>
      <c r="H447" s="6">
        <v>11.4740537514372</v>
      </c>
      <c r="I447" s="6">
        <v>11.4740537514372</v>
      </c>
      <c r="J447" s="6">
        <v>11.4740537514372</v>
      </c>
      <c r="K447" s="6">
        <v>0.49015521355486602</v>
      </c>
      <c r="L447" s="6">
        <v>0.49015521355486602</v>
      </c>
      <c r="M447" s="6">
        <v>0.49015521355486602</v>
      </c>
      <c r="N447" s="6">
        <v>10.9838985378823</v>
      </c>
      <c r="O447" s="6">
        <v>10.9838985378823</v>
      </c>
      <c r="P447" s="6">
        <v>10.9838985378823</v>
      </c>
      <c r="Q447" s="6">
        <v>0</v>
      </c>
      <c r="R447" s="6">
        <v>0</v>
      </c>
      <c r="S447" s="6">
        <v>0</v>
      </c>
      <c r="T447" s="6">
        <v>28.8191462557037</v>
      </c>
    </row>
    <row r="448" spans="1:20" ht="13" x14ac:dyDescent="0.15">
      <c r="A448" s="6">
        <v>446</v>
      </c>
      <c r="B448" s="7">
        <v>43805</v>
      </c>
      <c r="C448" s="6">
        <v>17.478081919400701</v>
      </c>
      <c r="D448" s="6">
        <v>-4.6290919044481003</v>
      </c>
      <c r="E448" s="6">
        <v>58.577883038066297</v>
      </c>
      <c r="F448" s="6">
        <v>17.478081919400701</v>
      </c>
      <c r="G448" s="6">
        <v>17.478081919400701</v>
      </c>
      <c r="H448" s="6">
        <v>10.433121821158499</v>
      </c>
      <c r="I448" s="6">
        <v>10.433121821158499</v>
      </c>
      <c r="J448" s="6">
        <v>10.433121821158499</v>
      </c>
      <c r="K448" s="6">
        <v>-2.29767650613657E-2</v>
      </c>
      <c r="L448" s="6">
        <v>-2.29767650613657E-2</v>
      </c>
      <c r="M448" s="6">
        <v>-2.29767650613657E-2</v>
      </c>
      <c r="N448" s="6">
        <v>10.456098586219801</v>
      </c>
      <c r="O448" s="6">
        <v>10.456098586219801</v>
      </c>
      <c r="P448" s="6">
        <v>10.456098586219801</v>
      </c>
      <c r="Q448" s="6">
        <v>0</v>
      </c>
      <c r="R448" s="6">
        <v>0</v>
      </c>
      <c r="S448" s="6">
        <v>0</v>
      </c>
      <c r="T448" s="6">
        <v>27.911203740559198</v>
      </c>
    </row>
    <row r="449" spans="1:20" ht="13" x14ac:dyDescent="0.15">
      <c r="A449" s="6">
        <v>447</v>
      </c>
      <c r="B449" s="7">
        <v>43808</v>
      </c>
      <c r="C449" s="6">
        <v>17.877050164803499</v>
      </c>
      <c r="D449" s="6">
        <v>-4.32473337344463</v>
      </c>
      <c r="E449" s="6">
        <v>60.405112503839199</v>
      </c>
      <c r="F449" s="6">
        <v>17.877050164803499</v>
      </c>
      <c r="G449" s="6">
        <v>17.877050164803499</v>
      </c>
      <c r="H449" s="6">
        <v>10.049648840516401</v>
      </c>
      <c r="I449" s="6">
        <v>10.049648840516401</v>
      </c>
      <c r="J449" s="6">
        <v>10.049648840516401</v>
      </c>
      <c r="K449" s="6">
        <v>1.8228906089380901</v>
      </c>
      <c r="L449" s="6">
        <v>1.8228906089380901</v>
      </c>
      <c r="M449" s="6">
        <v>1.8228906089380901</v>
      </c>
      <c r="N449" s="6">
        <v>8.2267582315783798</v>
      </c>
      <c r="O449" s="6">
        <v>8.2267582315783798</v>
      </c>
      <c r="P449" s="6">
        <v>8.2267582315783798</v>
      </c>
      <c r="Q449" s="6">
        <v>0</v>
      </c>
      <c r="R449" s="6">
        <v>0</v>
      </c>
      <c r="S449" s="6">
        <v>0</v>
      </c>
      <c r="T449" s="6">
        <v>27.92669900532</v>
      </c>
    </row>
    <row r="450" spans="1:20" ht="13" x14ac:dyDescent="0.15">
      <c r="A450" s="6">
        <v>448</v>
      </c>
      <c r="B450" s="7">
        <v>43809</v>
      </c>
      <c r="C450" s="6">
        <v>18.0100395799378</v>
      </c>
      <c r="D450" s="6">
        <v>-7.4228773948670499</v>
      </c>
      <c r="E450" s="6">
        <v>56.453910585395597</v>
      </c>
      <c r="F450" s="6">
        <v>18.0100395799378</v>
      </c>
      <c r="G450" s="6">
        <v>18.0100395799378</v>
      </c>
      <c r="H450" s="6">
        <v>8.1600753968949693</v>
      </c>
      <c r="I450" s="6">
        <v>8.1600753968949693</v>
      </c>
      <c r="J450" s="6">
        <v>8.1600753968949693</v>
      </c>
      <c r="K450" s="6">
        <v>0.84522403106439103</v>
      </c>
      <c r="L450" s="6">
        <v>0.84522403106439103</v>
      </c>
      <c r="M450" s="6">
        <v>0.84522403106439103</v>
      </c>
      <c r="N450" s="6">
        <v>7.3148513658305703</v>
      </c>
      <c r="O450" s="6">
        <v>7.3148513658305703</v>
      </c>
      <c r="P450" s="6">
        <v>7.3148513658305703</v>
      </c>
      <c r="Q450" s="6">
        <v>0</v>
      </c>
      <c r="R450" s="6">
        <v>0</v>
      </c>
      <c r="S450" s="6">
        <v>0</v>
      </c>
      <c r="T450" s="6">
        <v>26.1701149768327</v>
      </c>
    </row>
    <row r="451" spans="1:20" ht="13" x14ac:dyDescent="0.15">
      <c r="A451" s="6">
        <v>449</v>
      </c>
      <c r="B451" s="7">
        <v>43810</v>
      </c>
      <c r="C451" s="6">
        <v>18.143028995072001</v>
      </c>
      <c r="D451" s="6">
        <v>-7.2334532744858899</v>
      </c>
      <c r="E451" s="6">
        <v>56.790057890438703</v>
      </c>
      <c r="F451" s="6">
        <v>18.143028995072001</v>
      </c>
      <c r="G451" s="6">
        <v>18.143028995072001</v>
      </c>
      <c r="H451" s="6">
        <v>7.2974891890628699</v>
      </c>
      <c r="I451" s="6">
        <v>7.2974891890628699</v>
      </c>
      <c r="J451" s="6">
        <v>7.2974891890628699</v>
      </c>
      <c r="K451" s="6">
        <v>0.94874688043733502</v>
      </c>
      <c r="L451" s="6">
        <v>0.94874688043733502</v>
      </c>
      <c r="M451" s="6">
        <v>0.94874688043733502</v>
      </c>
      <c r="N451" s="6">
        <v>6.3487423086255301</v>
      </c>
      <c r="O451" s="6">
        <v>6.3487423086255301</v>
      </c>
      <c r="P451" s="6">
        <v>6.3487423086255301</v>
      </c>
      <c r="Q451" s="6">
        <v>0</v>
      </c>
      <c r="R451" s="6">
        <v>0</v>
      </c>
      <c r="S451" s="6">
        <v>0</v>
      </c>
      <c r="T451" s="6">
        <v>25.440518184134898</v>
      </c>
    </row>
    <row r="452" spans="1:20" ht="13" x14ac:dyDescent="0.15">
      <c r="A452" s="6">
        <v>450</v>
      </c>
      <c r="B452" s="7">
        <v>43811</v>
      </c>
      <c r="C452" s="6">
        <v>18.276018410206301</v>
      </c>
      <c r="D452" s="6">
        <v>-9.5356363761293892</v>
      </c>
      <c r="E452" s="6">
        <v>57.449347637013098</v>
      </c>
      <c r="F452" s="6">
        <v>18.276018410206301</v>
      </c>
      <c r="G452" s="6">
        <v>18.276018410206301</v>
      </c>
      <c r="H452" s="6">
        <v>5.8399030497434996</v>
      </c>
      <c r="I452" s="6">
        <v>5.8399030497434996</v>
      </c>
      <c r="J452" s="6">
        <v>5.8399030497434996</v>
      </c>
      <c r="K452" s="6">
        <v>0.49015521355604502</v>
      </c>
      <c r="L452" s="6">
        <v>0.49015521355604502</v>
      </c>
      <c r="M452" s="6">
        <v>0.49015521355604502</v>
      </c>
      <c r="N452" s="6">
        <v>5.3497478361874498</v>
      </c>
      <c r="O452" s="6">
        <v>5.3497478361874498</v>
      </c>
      <c r="P452" s="6">
        <v>5.3497478361874498</v>
      </c>
      <c r="Q452" s="6">
        <v>0</v>
      </c>
      <c r="R452" s="6">
        <v>0</v>
      </c>
      <c r="S452" s="6">
        <v>0</v>
      </c>
      <c r="T452" s="6">
        <v>24.115921459949799</v>
      </c>
    </row>
    <row r="453" spans="1:20" ht="13" x14ac:dyDescent="0.15">
      <c r="A453" s="6">
        <v>451</v>
      </c>
      <c r="B453" s="7">
        <v>43812</v>
      </c>
      <c r="C453" s="6">
        <v>18.409007825340499</v>
      </c>
      <c r="D453" s="6">
        <v>-9.0170825931497909</v>
      </c>
      <c r="E453" s="6">
        <v>58.514355999443303</v>
      </c>
      <c r="F453" s="6">
        <v>18.409007825340499</v>
      </c>
      <c r="G453" s="6">
        <v>18.409007825340499</v>
      </c>
      <c r="H453" s="6">
        <v>4.3175761664745202</v>
      </c>
      <c r="I453" s="6">
        <v>4.3175761664745202</v>
      </c>
      <c r="J453" s="6">
        <v>4.3175761664745202</v>
      </c>
      <c r="K453" s="6">
        <v>-2.2976765068536301E-2</v>
      </c>
      <c r="L453" s="6">
        <v>-2.2976765068536301E-2</v>
      </c>
      <c r="M453" s="6">
        <v>-2.2976765068536301E-2</v>
      </c>
      <c r="N453" s="6">
        <v>4.3405529315430602</v>
      </c>
      <c r="O453" s="6">
        <v>4.3405529315430602</v>
      </c>
      <c r="P453" s="6">
        <v>4.3405529315430602</v>
      </c>
      <c r="Q453" s="6">
        <v>0</v>
      </c>
      <c r="R453" s="6">
        <v>0</v>
      </c>
      <c r="S453" s="6">
        <v>0</v>
      </c>
      <c r="T453" s="6">
        <v>22.726583991815101</v>
      </c>
    </row>
    <row r="454" spans="1:20" ht="13" x14ac:dyDescent="0.15">
      <c r="A454" s="6">
        <v>452</v>
      </c>
      <c r="B454" s="7">
        <v>43815</v>
      </c>
      <c r="C454" s="6">
        <v>18.807976070743301</v>
      </c>
      <c r="D454" s="6">
        <v>-10.2114517769241</v>
      </c>
      <c r="E454" s="6">
        <v>52.188722018343498</v>
      </c>
      <c r="F454" s="6">
        <v>18.807976070743301</v>
      </c>
      <c r="G454" s="6">
        <v>18.807976070743301</v>
      </c>
      <c r="H454" s="6">
        <v>3.3090726967210502</v>
      </c>
      <c r="I454" s="6">
        <v>3.3090726967210502</v>
      </c>
      <c r="J454" s="6">
        <v>3.3090726967210502</v>
      </c>
      <c r="K454" s="6">
        <v>1.82289060893462</v>
      </c>
      <c r="L454" s="6">
        <v>1.82289060893462</v>
      </c>
      <c r="M454" s="6">
        <v>1.82289060893462</v>
      </c>
      <c r="N454" s="6">
        <v>1.48618208778642</v>
      </c>
      <c r="O454" s="6">
        <v>1.48618208778642</v>
      </c>
      <c r="P454" s="6">
        <v>1.48618208778642</v>
      </c>
      <c r="Q454" s="6">
        <v>0</v>
      </c>
      <c r="R454" s="6">
        <v>0</v>
      </c>
      <c r="S454" s="6">
        <v>0</v>
      </c>
      <c r="T454" s="6">
        <v>22.1170487674644</v>
      </c>
    </row>
    <row r="455" spans="1:20" ht="13" x14ac:dyDescent="0.15">
      <c r="A455" s="6">
        <v>453</v>
      </c>
      <c r="B455" s="7">
        <v>43816</v>
      </c>
      <c r="C455" s="6">
        <v>18.940965485877602</v>
      </c>
      <c r="D455" s="6">
        <v>-12.6670979463096</v>
      </c>
      <c r="E455" s="6">
        <v>52.545010843667299</v>
      </c>
      <c r="F455" s="6">
        <v>18.940965485877602</v>
      </c>
      <c r="G455" s="6">
        <v>18.940965485877602</v>
      </c>
      <c r="H455" s="6">
        <v>1.5138919312144099</v>
      </c>
      <c r="I455" s="6">
        <v>1.5138919312144099</v>
      </c>
      <c r="J455" s="6">
        <v>1.5138919312144099</v>
      </c>
      <c r="K455" s="6">
        <v>0.84522403106521904</v>
      </c>
      <c r="L455" s="6">
        <v>0.84522403106521904</v>
      </c>
      <c r="M455" s="6">
        <v>0.84522403106521904</v>
      </c>
      <c r="N455" s="6">
        <v>0.66866790014919397</v>
      </c>
      <c r="O455" s="6">
        <v>0.66866790014919397</v>
      </c>
      <c r="P455" s="6">
        <v>0.66866790014919397</v>
      </c>
      <c r="Q455" s="6">
        <v>0</v>
      </c>
      <c r="R455" s="6">
        <v>0</v>
      </c>
      <c r="S455" s="6">
        <v>0</v>
      </c>
      <c r="T455" s="6">
        <v>20.454857417092001</v>
      </c>
    </row>
    <row r="456" spans="1:20" ht="13" x14ac:dyDescent="0.15">
      <c r="A456" s="6">
        <v>454</v>
      </c>
      <c r="B456" s="7">
        <v>43817</v>
      </c>
      <c r="C456" s="6">
        <v>19.073954901011799</v>
      </c>
      <c r="D456" s="6">
        <v>-11.111012187907599</v>
      </c>
      <c r="E456" s="6">
        <v>53.350020329841101</v>
      </c>
      <c r="F456" s="6">
        <v>19.073954901011799</v>
      </c>
      <c r="G456" s="6">
        <v>19.073954901011799</v>
      </c>
      <c r="H456" s="6">
        <v>0.90182037823544103</v>
      </c>
      <c r="I456" s="6">
        <v>0.90182037823544103</v>
      </c>
      <c r="J456" s="6">
        <v>0.90182037823544103</v>
      </c>
      <c r="K456" s="6">
        <v>0.94874688043650501</v>
      </c>
      <c r="L456" s="6">
        <v>0.94874688043650501</v>
      </c>
      <c r="M456" s="6">
        <v>0.94874688043650501</v>
      </c>
      <c r="N456" s="6">
        <v>-4.6926502201063702E-2</v>
      </c>
      <c r="O456" s="6">
        <v>-4.6926502201063702E-2</v>
      </c>
      <c r="P456" s="6">
        <v>-4.6926502201063702E-2</v>
      </c>
      <c r="Q456" s="6">
        <v>0</v>
      </c>
      <c r="R456" s="6">
        <v>0</v>
      </c>
      <c r="S456" s="6">
        <v>0</v>
      </c>
      <c r="T456" s="6">
        <v>19.975775279247301</v>
      </c>
    </row>
    <row r="457" spans="1:20" ht="13" x14ac:dyDescent="0.15">
      <c r="A457" s="6">
        <v>455</v>
      </c>
      <c r="B457" s="7">
        <v>43818</v>
      </c>
      <c r="C457" s="6">
        <v>19.2069443161461</v>
      </c>
      <c r="D457" s="6">
        <v>-12.436432270400401</v>
      </c>
      <c r="E457" s="6">
        <v>52.018839758567204</v>
      </c>
      <c r="F457" s="6">
        <v>19.2069443161461</v>
      </c>
      <c r="G457" s="6">
        <v>19.2069443161461</v>
      </c>
      <c r="H457" s="6">
        <v>-0.15259196115127699</v>
      </c>
      <c r="I457" s="6">
        <v>-0.15259196115127699</v>
      </c>
      <c r="J457" s="6">
        <v>-0.15259196115127699</v>
      </c>
      <c r="K457" s="6">
        <v>0.49015521355320701</v>
      </c>
      <c r="L457" s="6">
        <v>0.49015521355320701</v>
      </c>
      <c r="M457" s="6">
        <v>0.49015521355320701</v>
      </c>
      <c r="N457" s="6">
        <v>-0.64274717470448395</v>
      </c>
      <c r="O457" s="6">
        <v>-0.64274717470448395</v>
      </c>
      <c r="P457" s="6">
        <v>-0.64274717470448395</v>
      </c>
      <c r="Q457" s="6">
        <v>0</v>
      </c>
      <c r="R457" s="6">
        <v>0</v>
      </c>
      <c r="S457" s="6">
        <v>0</v>
      </c>
      <c r="T457" s="6">
        <v>19.054352354994801</v>
      </c>
    </row>
    <row r="458" spans="1:20" ht="13" x14ac:dyDescent="0.15">
      <c r="A458" s="6">
        <v>456</v>
      </c>
      <c r="B458" s="7">
        <v>43819</v>
      </c>
      <c r="C458" s="6">
        <v>19.3399337312804</v>
      </c>
      <c r="D458" s="6">
        <v>-14.7216723418383</v>
      </c>
      <c r="E458" s="6">
        <v>49.520581453235998</v>
      </c>
      <c r="F458" s="6">
        <v>19.3399337312804</v>
      </c>
      <c r="G458" s="6">
        <v>19.3399337312804</v>
      </c>
      <c r="H458" s="6">
        <v>-1.12670856957931</v>
      </c>
      <c r="I458" s="6">
        <v>-1.12670856957931</v>
      </c>
      <c r="J458" s="6">
        <v>-1.12670856957931</v>
      </c>
      <c r="K458" s="6">
        <v>-2.29767650665899E-2</v>
      </c>
      <c r="L458" s="6">
        <v>-2.29767650665899E-2</v>
      </c>
      <c r="M458" s="6">
        <v>-2.29767650665899E-2</v>
      </c>
      <c r="N458" s="6">
        <v>-1.10373180451272</v>
      </c>
      <c r="O458" s="6">
        <v>-1.10373180451272</v>
      </c>
      <c r="P458" s="6">
        <v>-1.10373180451272</v>
      </c>
      <c r="Q458" s="6">
        <v>0</v>
      </c>
      <c r="R458" s="6">
        <v>0</v>
      </c>
      <c r="S458" s="6">
        <v>0</v>
      </c>
      <c r="T458" s="6">
        <v>18.213225161701001</v>
      </c>
    </row>
    <row r="459" spans="1:20" ht="13" x14ac:dyDescent="0.15">
      <c r="A459" s="6">
        <v>457</v>
      </c>
      <c r="B459" s="7">
        <v>43822</v>
      </c>
      <c r="C459" s="6">
        <v>19.738901976683099</v>
      </c>
      <c r="D459" s="6">
        <v>-11.9741087051331</v>
      </c>
      <c r="E459" s="6">
        <v>54.5701732396926</v>
      </c>
      <c r="F459" s="6">
        <v>19.738901976683099</v>
      </c>
      <c r="G459" s="6">
        <v>19.738901976683099</v>
      </c>
      <c r="H459" s="6">
        <v>0.24592522684069601</v>
      </c>
      <c r="I459" s="6">
        <v>0.24592522684069601</v>
      </c>
      <c r="J459" s="6">
        <v>0.24592522684069601</v>
      </c>
      <c r="K459" s="6">
        <v>1.8228906089363399</v>
      </c>
      <c r="L459" s="6">
        <v>1.8228906089363399</v>
      </c>
      <c r="M459" s="6">
        <v>1.8228906089363399</v>
      </c>
      <c r="N459" s="6">
        <v>-1.57696538209564</v>
      </c>
      <c r="O459" s="6">
        <v>-1.57696538209564</v>
      </c>
      <c r="P459" s="6">
        <v>-1.57696538209564</v>
      </c>
      <c r="Q459" s="6">
        <v>0</v>
      </c>
      <c r="R459" s="6">
        <v>0</v>
      </c>
      <c r="S459" s="6">
        <v>0</v>
      </c>
      <c r="T459" s="6">
        <v>19.9848272035238</v>
      </c>
    </row>
    <row r="460" spans="1:20" ht="13" x14ac:dyDescent="0.15">
      <c r="A460" s="6">
        <v>458</v>
      </c>
      <c r="B460" s="7">
        <v>43823</v>
      </c>
      <c r="C460" s="6">
        <v>19.8718913918174</v>
      </c>
      <c r="D460" s="6">
        <v>-11.569915281021499</v>
      </c>
      <c r="E460" s="6">
        <v>50.322102758761801</v>
      </c>
      <c r="F460" s="6">
        <v>19.8718913918174</v>
      </c>
      <c r="G460" s="6">
        <v>19.8718913918174</v>
      </c>
      <c r="H460" s="6">
        <v>-0.57111949371429105</v>
      </c>
      <c r="I460" s="6">
        <v>-0.57111949371429105</v>
      </c>
      <c r="J460" s="6">
        <v>-0.57111949371429105</v>
      </c>
      <c r="K460" s="6">
        <v>0.84522403106538602</v>
      </c>
      <c r="L460" s="6">
        <v>0.84522403106538602</v>
      </c>
      <c r="M460" s="6">
        <v>0.84522403106538602</v>
      </c>
      <c r="N460" s="6">
        <v>-1.4163435247796701</v>
      </c>
      <c r="O460" s="6">
        <v>-1.4163435247796701</v>
      </c>
      <c r="P460" s="6">
        <v>-1.4163435247796701</v>
      </c>
      <c r="Q460" s="6">
        <v>0</v>
      </c>
      <c r="R460" s="6">
        <v>0</v>
      </c>
      <c r="S460" s="6">
        <v>0</v>
      </c>
      <c r="T460" s="6">
        <v>19.3007718981031</v>
      </c>
    </row>
    <row r="461" spans="1:20" ht="13" x14ac:dyDescent="0.15">
      <c r="A461" s="6">
        <v>459</v>
      </c>
      <c r="B461" s="7">
        <v>43825</v>
      </c>
      <c r="C461" s="6">
        <v>20.137870222085901</v>
      </c>
      <c r="D461" s="6">
        <v>-10.5051850860439</v>
      </c>
      <c r="E461" s="6">
        <v>50.393645872646204</v>
      </c>
      <c r="F461" s="6">
        <v>20.137870222085901</v>
      </c>
      <c r="G461" s="6">
        <v>20.137870222085901</v>
      </c>
      <c r="H461" s="6">
        <v>-0.140597773257085</v>
      </c>
      <c r="I461" s="6">
        <v>-0.140597773257085</v>
      </c>
      <c r="J461" s="6">
        <v>-0.140597773257085</v>
      </c>
      <c r="K461" s="6">
        <v>0.490155213557674</v>
      </c>
      <c r="L461" s="6">
        <v>0.490155213557674</v>
      </c>
      <c r="M461" s="6">
        <v>0.490155213557674</v>
      </c>
      <c r="N461" s="6">
        <v>-0.630752986814759</v>
      </c>
      <c r="O461" s="6">
        <v>-0.630752986814759</v>
      </c>
      <c r="P461" s="6">
        <v>-0.630752986814759</v>
      </c>
      <c r="Q461" s="6">
        <v>0</v>
      </c>
      <c r="R461" s="6">
        <v>0</v>
      </c>
      <c r="S461" s="6">
        <v>0</v>
      </c>
      <c r="T461" s="6">
        <v>19.997272448828799</v>
      </c>
    </row>
    <row r="462" spans="1:20" ht="13" x14ac:dyDescent="0.15">
      <c r="A462" s="6">
        <v>460</v>
      </c>
      <c r="B462" s="7">
        <v>43826</v>
      </c>
      <c r="C462" s="6">
        <v>20.270859637220202</v>
      </c>
      <c r="D462" s="6">
        <v>-12.9275082640698</v>
      </c>
      <c r="E462" s="6">
        <v>53.164238937864098</v>
      </c>
      <c r="F462" s="6">
        <v>20.270859637220202</v>
      </c>
      <c r="G462" s="6">
        <v>20.270859637220202</v>
      </c>
      <c r="H462" s="6">
        <v>-4.62990608268301E-2</v>
      </c>
      <c r="I462" s="6">
        <v>-4.62990608268301E-2</v>
      </c>
      <c r="J462" s="6">
        <v>-4.62990608268301E-2</v>
      </c>
      <c r="K462" s="6">
        <v>-2.29767650646437E-2</v>
      </c>
      <c r="L462" s="6">
        <v>-2.29767650646437E-2</v>
      </c>
      <c r="M462" s="6">
        <v>-2.29767650646437E-2</v>
      </c>
      <c r="N462" s="6">
        <v>-2.3322295762186401E-2</v>
      </c>
      <c r="O462" s="6">
        <v>-2.3322295762186401E-2</v>
      </c>
      <c r="P462" s="6">
        <v>-2.3322295762186401E-2</v>
      </c>
      <c r="Q462" s="6">
        <v>0</v>
      </c>
      <c r="R462" s="6">
        <v>0</v>
      </c>
      <c r="S462" s="6">
        <v>0</v>
      </c>
      <c r="T462" s="6">
        <v>20.224560576393301</v>
      </c>
    </row>
    <row r="463" spans="1:20" ht="13" x14ac:dyDescent="0.15">
      <c r="A463" s="6">
        <v>461</v>
      </c>
      <c r="B463" s="7">
        <v>43829</v>
      </c>
      <c r="C463" s="6">
        <v>20.669827882622901</v>
      </c>
      <c r="D463" s="6">
        <v>-7.1471417932731498</v>
      </c>
      <c r="E463" s="6">
        <v>55.311912992888402</v>
      </c>
      <c r="F463" s="6">
        <v>20.669827882622901</v>
      </c>
      <c r="G463" s="6">
        <v>20.669827882622901</v>
      </c>
      <c r="H463" s="6">
        <v>4.3069090392739904</v>
      </c>
      <c r="I463" s="6">
        <v>4.3069090392739904</v>
      </c>
      <c r="J463" s="6">
        <v>4.3069090392739904</v>
      </c>
      <c r="K463" s="6">
        <v>1.82289060893288</v>
      </c>
      <c r="L463" s="6">
        <v>1.82289060893288</v>
      </c>
      <c r="M463" s="6">
        <v>1.82289060893288</v>
      </c>
      <c r="N463" s="6">
        <v>2.4840184303411101</v>
      </c>
      <c r="O463" s="6">
        <v>2.4840184303411101</v>
      </c>
      <c r="P463" s="6">
        <v>2.4840184303411101</v>
      </c>
      <c r="Q463" s="6">
        <v>0</v>
      </c>
      <c r="R463" s="6">
        <v>0</v>
      </c>
      <c r="S463" s="6">
        <v>0</v>
      </c>
      <c r="T463" s="6">
        <v>24.976736921896901</v>
      </c>
    </row>
    <row r="464" spans="1:20" ht="13" x14ac:dyDescent="0.15">
      <c r="A464" s="6">
        <v>462</v>
      </c>
      <c r="B464" s="7">
        <v>43830</v>
      </c>
      <c r="C464" s="6">
        <v>20.802817297757201</v>
      </c>
      <c r="D464" s="6">
        <v>-6.3590958741641801</v>
      </c>
      <c r="E464" s="6">
        <v>57.350340520310901</v>
      </c>
      <c r="F464" s="6">
        <v>20.802817297757201</v>
      </c>
      <c r="G464" s="6">
        <v>20.802817297757201</v>
      </c>
      <c r="H464" s="6">
        <v>4.3301330146245798</v>
      </c>
      <c r="I464" s="6">
        <v>4.3301330146245798</v>
      </c>
      <c r="J464" s="6">
        <v>4.3301330146245798</v>
      </c>
      <c r="K464" s="6">
        <v>0.84522403106392896</v>
      </c>
      <c r="L464" s="6">
        <v>0.84522403106392896</v>
      </c>
      <c r="M464" s="6">
        <v>0.84522403106392896</v>
      </c>
      <c r="N464" s="6">
        <v>3.4849089835606502</v>
      </c>
      <c r="O464" s="6">
        <v>3.4849089835606502</v>
      </c>
      <c r="P464" s="6">
        <v>3.4849089835606502</v>
      </c>
      <c r="Q464" s="6">
        <v>0</v>
      </c>
      <c r="R464" s="6">
        <v>0</v>
      </c>
      <c r="S464" s="6">
        <v>0</v>
      </c>
      <c r="T464" s="6">
        <v>25.132950312381801</v>
      </c>
    </row>
    <row r="465" spans="1:20" ht="13" x14ac:dyDescent="0.15">
      <c r="A465" s="6">
        <v>463</v>
      </c>
      <c r="B465" s="7">
        <v>43832</v>
      </c>
      <c r="C465" s="6">
        <v>21.068796128025699</v>
      </c>
      <c r="D465" s="6">
        <v>-8.2663978927602599</v>
      </c>
      <c r="E465" s="6">
        <v>56.213792802140198</v>
      </c>
      <c r="F465" s="6">
        <v>21.068796128025699</v>
      </c>
      <c r="G465" s="6">
        <v>21.068796128025699</v>
      </c>
      <c r="H465" s="6">
        <v>6.09372557330612</v>
      </c>
      <c r="I465" s="6">
        <v>6.09372557330612</v>
      </c>
      <c r="J465" s="6">
        <v>6.09372557330612</v>
      </c>
      <c r="K465" s="6">
        <v>0.49015521355483599</v>
      </c>
      <c r="L465" s="6">
        <v>0.49015521355483599</v>
      </c>
      <c r="M465" s="6">
        <v>0.49015521355483599</v>
      </c>
      <c r="N465" s="6">
        <v>5.6035703597512896</v>
      </c>
      <c r="O465" s="6">
        <v>5.6035703597512896</v>
      </c>
      <c r="P465" s="6">
        <v>5.6035703597512896</v>
      </c>
      <c r="Q465" s="6">
        <v>0</v>
      </c>
      <c r="R465" s="6">
        <v>0</v>
      </c>
      <c r="S465" s="6">
        <v>0</v>
      </c>
      <c r="T465" s="6">
        <v>27.162521701331801</v>
      </c>
    </row>
    <row r="466" spans="1:20" ht="13" x14ac:dyDescent="0.15">
      <c r="A466" s="6">
        <v>464</v>
      </c>
      <c r="B466" s="7">
        <v>43833</v>
      </c>
      <c r="C466" s="6">
        <v>21.20178554316</v>
      </c>
      <c r="D466" s="6">
        <v>-3.9869150876121302</v>
      </c>
      <c r="E466" s="6">
        <v>57.677099738778402</v>
      </c>
      <c r="F466" s="6">
        <v>21.20178554316</v>
      </c>
      <c r="G466" s="6">
        <v>21.20178554316</v>
      </c>
      <c r="H466" s="6">
        <v>6.6525446931588199</v>
      </c>
      <c r="I466" s="6">
        <v>6.6525446931588199</v>
      </c>
      <c r="J466" s="6">
        <v>6.6525446931588199</v>
      </c>
      <c r="K466" s="6">
        <v>-2.29767650672556E-2</v>
      </c>
      <c r="L466" s="6">
        <v>-2.29767650672556E-2</v>
      </c>
      <c r="M466" s="6">
        <v>-2.29767650672556E-2</v>
      </c>
      <c r="N466" s="6">
        <v>6.6755214582260702</v>
      </c>
      <c r="O466" s="6">
        <v>6.6755214582260702</v>
      </c>
      <c r="P466" s="6">
        <v>6.6755214582260702</v>
      </c>
      <c r="Q466" s="6">
        <v>0</v>
      </c>
      <c r="R466" s="6">
        <v>0</v>
      </c>
      <c r="S466" s="6">
        <v>0</v>
      </c>
      <c r="T466" s="6">
        <v>27.854330236318798</v>
      </c>
    </row>
    <row r="467" spans="1:20" ht="13" x14ac:dyDescent="0.15">
      <c r="A467" s="6">
        <v>465</v>
      </c>
      <c r="B467" s="7">
        <v>43836</v>
      </c>
      <c r="C467" s="6">
        <v>21.600753788562699</v>
      </c>
      <c r="D467" s="6">
        <v>3.3339078866617098</v>
      </c>
      <c r="E467" s="6">
        <v>65.008420197961996</v>
      </c>
      <c r="F467" s="6">
        <v>21.600753788562699</v>
      </c>
      <c r="G467" s="6">
        <v>21.600753788562699</v>
      </c>
      <c r="H467" s="6">
        <v>11.5031730513199</v>
      </c>
      <c r="I467" s="6">
        <v>11.5031730513199</v>
      </c>
      <c r="J467" s="6">
        <v>11.5031730513199</v>
      </c>
      <c r="K467" s="6">
        <v>1.8228906089358099</v>
      </c>
      <c r="L467" s="6">
        <v>1.8228906089358099</v>
      </c>
      <c r="M467" s="6">
        <v>1.8228906089358099</v>
      </c>
      <c r="N467" s="6">
        <v>9.6802824423841098</v>
      </c>
      <c r="O467" s="6">
        <v>9.6802824423841098</v>
      </c>
      <c r="P467" s="6">
        <v>9.6802824423841098</v>
      </c>
      <c r="Q467" s="6">
        <v>0</v>
      </c>
      <c r="R467" s="6">
        <v>0</v>
      </c>
      <c r="S467" s="6">
        <v>0</v>
      </c>
      <c r="T467" s="6">
        <v>33.103926839882597</v>
      </c>
    </row>
    <row r="468" spans="1:20" ht="13" x14ac:dyDescent="0.15">
      <c r="A468" s="6">
        <v>466</v>
      </c>
      <c r="B468" s="7">
        <v>43837</v>
      </c>
      <c r="C468" s="6">
        <v>21.733743203696999</v>
      </c>
      <c r="D468" s="6">
        <v>-0.39087688503602502</v>
      </c>
      <c r="E468" s="6">
        <v>67.2004036175842</v>
      </c>
      <c r="F468" s="6">
        <v>21.733743203696999</v>
      </c>
      <c r="G468" s="6">
        <v>21.733743203696999</v>
      </c>
      <c r="H468" s="6">
        <v>11.393391061607</v>
      </c>
      <c r="I468" s="6">
        <v>11.393391061607</v>
      </c>
      <c r="J468" s="6">
        <v>11.393391061607</v>
      </c>
      <c r="K468" s="6">
        <v>0.84522403106866695</v>
      </c>
      <c r="L468" s="6">
        <v>0.84522403106866695</v>
      </c>
      <c r="M468" s="6">
        <v>0.84522403106866695</v>
      </c>
      <c r="N468" s="6">
        <v>10.5481670305384</v>
      </c>
      <c r="O468" s="6">
        <v>10.5481670305384</v>
      </c>
      <c r="P468" s="6">
        <v>10.5481670305384</v>
      </c>
      <c r="Q468" s="6">
        <v>0</v>
      </c>
      <c r="R468" s="6">
        <v>0</v>
      </c>
      <c r="S468" s="6">
        <v>0</v>
      </c>
      <c r="T468" s="6">
        <v>33.1271342653041</v>
      </c>
    </row>
    <row r="469" spans="1:20" ht="13" x14ac:dyDescent="0.15">
      <c r="A469" s="6">
        <v>467</v>
      </c>
      <c r="B469" s="7">
        <v>43838</v>
      </c>
      <c r="C469" s="6">
        <v>21.8667326188312</v>
      </c>
      <c r="D469" s="6">
        <v>4.6980398251103797</v>
      </c>
      <c r="E469" s="6">
        <v>65.761205978659703</v>
      </c>
      <c r="F469" s="6">
        <v>21.8667326188312</v>
      </c>
      <c r="G469" s="6">
        <v>21.8667326188312</v>
      </c>
      <c r="H469" s="6">
        <v>12.2723873504601</v>
      </c>
      <c r="I469" s="6">
        <v>12.2723873504601</v>
      </c>
      <c r="J469" s="6">
        <v>12.2723873504601</v>
      </c>
      <c r="K469" s="6">
        <v>0.94874688043669297</v>
      </c>
      <c r="L469" s="6">
        <v>0.94874688043669297</v>
      </c>
      <c r="M469" s="6">
        <v>0.94874688043669297</v>
      </c>
      <c r="N469" s="6">
        <v>11.323640470023401</v>
      </c>
      <c r="O469" s="6">
        <v>11.323640470023401</v>
      </c>
      <c r="P469" s="6">
        <v>11.323640470023401</v>
      </c>
      <c r="Q469" s="6">
        <v>0</v>
      </c>
      <c r="R469" s="6">
        <v>0</v>
      </c>
      <c r="S469" s="6">
        <v>0</v>
      </c>
      <c r="T469" s="6">
        <v>34.1391199692914</v>
      </c>
    </row>
    <row r="470" spans="1:20" ht="13" x14ac:dyDescent="0.15">
      <c r="A470" s="6">
        <v>468</v>
      </c>
      <c r="B470" s="7">
        <v>43839</v>
      </c>
      <c r="C470" s="6">
        <v>21.999722033965501</v>
      </c>
      <c r="D470" s="6">
        <v>2.4421378966657401</v>
      </c>
      <c r="E470" s="6">
        <v>65.853306450279405</v>
      </c>
      <c r="F470" s="6">
        <v>21.999722033965501</v>
      </c>
      <c r="G470" s="6">
        <v>21.999722033965501</v>
      </c>
      <c r="H470" s="6">
        <v>12.4860748199876</v>
      </c>
      <c r="I470" s="6">
        <v>12.4860748199876</v>
      </c>
      <c r="J470" s="6">
        <v>12.4860748199876</v>
      </c>
      <c r="K470" s="6">
        <v>0.49015521355601499</v>
      </c>
      <c r="L470" s="6">
        <v>0.49015521355601499</v>
      </c>
      <c r="M470" s="6">
        <v>0.49015521355601499</v>
      </c>
      <c r="N470" s="6">
        <v>11.995919606431601</v>
      </c>
      <c r="O470" s="6">
        <v>11.995919606431601</v>
      </c>
      <c r="P470" s="6">
        <v>11.995919606431601</v>
      </c>
      <c r="Q470" s="6">
        <v>0</v>
      </c>
      <c r="R470" s="6">
        <v>0</v>
      </c>
      <c r="S470" s="6">
        <v>0</v>
      </c>
      <c r="T470" s="6">
        <v>34.485796853953197</v>
      </c>
    </row>
    <row r="471" spans="1:20" ht="13" x14ac:dyDescent="0.15">
      <c r="A471" s="6">
        <v>469</v>
      </c>
      <c r="B471" s="7">
        <v>43840</v>
      </c>
      <c r="C471" s="6">
        <v>22.132711449099801</v>
      </c>
      <c r="D471" s="6">
        <v>4.3782503956406602</v>
      </c>
      <c r="E471" s="6">
        <v>67.879648701791496</v>
      </c>
      <c r="F471" s="6">
        <v>22.132711449099801</v>
      </c>
      <c r="G471" s="6">
        <v>22.132711449099801</v>
      </c>
      <c r="H471" s="6">
        <v>12.5347052534417</v>
      </c>
      <c r="I471" s="6">
        <v>12.5347052534417</v>
      </c>
      <c r="J471" s="6">
        <v>12.5347052534417</v>
      </c>
      <c r="K471" s="6">
        <v>-2.2976765056638399E-2</v>
      </c>
      <c r="L471" s="6">
        <v>-2.2976765056638399E-2</v>
      </c>
      <c r="M471" s="6">
        <v>-2.2976765056638399E-2</v>
      </c>
      <c r="N471" s="6">
        <v>12.5576820184983</v>
      </c>
      <c r="O471" s="6">
        <v>12.5576820184983</v>
      </c>
      <c r="P471" s="6">
        <v>12.5576820184983</v>
      </c>
      <c r="Q471" s="6">
        <v>0</v>
      </c>
      <c r="R471" s="6">
        <v>0</v>
      </c>
      <c r="S471" s="6">
        <v>0</v>
      </c>
      <c r="T471" s="6">
        <v>34.667416702541502</v>
      </c>
    </row>
    <row r="472" spans="1:20" ht="13" x14ac:dyDescent="0.15">
      <c r="A472" s="6">
        <v>470</v>
      </c>
      <c r="B472" s="7">
        <v>43843</v>
      </c>
      <c r="C472" s="6">
        <v>22.5316796945025</v>
      </c>
      <c r="D472" s="6">
        <v>7.6110918979807698</v>
      </c>
      <c r="E472" s="6">
        <v>71.070885237292899</v>
      </c>
      <c r="F472" s="6">
        <v>22.5316796945025</v>
      </c>
      <c r="G472" s="6">
        <v>22.5316796945025</v>
      </c>
      <c r="H472" s="6">
        <v>15.3842442738994</v>
      </c>
      <c r="I472" s="6">
        <v>15.3842442738994</v>
      </c>
      <c r="J472" s="6">
        <v>15.3842442738994</v>
      </c>
      <c r="K472" s="6">
        <v>1.8228906089363099</v>
      </c>
      <c r="L472" s="6">
        <v>1.8228906089363099</v>
      </c>
      <c r="M472" s="6">
        <v>1.8228906089363099</v>
      </c>
      <c r="N472" s="6">
        <v>13.5613536649631</v>
      </c>
      <c r="O472" s="6">
        <v>13.5613536649631</v>
      </c>
      <c r="P472" s="6">
        <v>13.5613536649631</v>
      </c>
      <c r="Q472" s="6">
        <v>0</v>
      </c>
      <c r="R472" s="6">
        <v>0</v>
      </c>
      <c r="S472" s="6">
        <v>0</v>
      </c>
      <c r="T472" s="6">
        <v>37.915923968401998</v>
      </c>
    </row>
    <row r="473" spans="1:20" ht="13" x14ac:dyDescent="0.15">
      <c r="A473" s="6">
        <v>471</v>
      </c>
      <c r="B473" s="7">
        <v>43844</v>
      </c>
      <c r="C473" s="6">
        <v>22.664669109636801</v>
      </c>
      <c r="D473" s="6">
        <v>5.7437175274745798</v>
      </c>
      <c r="E473" s="6">
        <v>68.795534909998906</v>
      </c>
      <c r="F473" s="6">
        <v>22.664669109636801</v>
      </c>
      <c r="G473" s="6">
        <v>22.664669109636801</v>
      </c>
      <c r="H473" s="6">
        <v>14.525909959761799</v>
      </c>
      <c r="I473" s="6">
        <v>14.525909959761799</v>
      </c>
      <c r="J473" s="6">
        <v>14.525909959761799</v>
      </c>
      <c r="K473" s="6">
        <v>0.84522403106721</v>
      </c>
      <c r="L473" s="6">
        <v>0.84522403106721</v>
      </c>
      <c r="M473" s="6">
        <v>0.84522403106721</v>
      </c>
      <c r="N473" s="6">
        <v>13.680685928694601</v>
      </c>
      <c r="O473" s="6">
        <v>13.680685928694601</v>
      </c>
      <c r="P473" s="6">
        <v>13.680685928694601</v>
      </c>
      <c r="Q473" s="6">
        <v>0</v>
      </c>
      <c r="R473" s="6">
        <v>0</v>
      </c>
      <c r="S473" s="6">
        <v>0</v>
      </c>
      <c r="T473" s="6">
        <v>37.190579069398702</v>
      </c>
    </row>
    <row r="474" spans="1:20" ht="13" x14ac:dyDescent="0.15">
      <c r="A474" s="6">
        <v>472</v>
      </c>
      <c r="B474" s="7">
        <v>43845</v>
      </c>
      <c r="C474" s="6">
        <v>22.797658524771101</v>
      </c>
      <c r="D474" s="6">
        <v>6.6466619045560096</v>
      </c>
      <c r="E474" s="6">
        <v>70.229574480641901</v>
      </c>
      <c r="F474" s="6">
        <v>22.797658524771101</v>
      </c>
      <c r="G474" s="6">
        <v>22.797658524771101</v>
      </c>
      <c r="H474" s="6">
        <v>14.655671338172199</v>
      </c>
      <c r="I474" s="6">
        <v>14.655671338172199</v>
      </c>
      <c r="J474" s="6">
        <v>14.655671338172199</v>
      </c>
      <c r="K474" s="6">
        <v>0.948746880437077</v>
      </c>
      <c r="L474" s="6">
        <v>0.948746880437077</v>
      </c>
      <c r="M474" s="6">
        <v>0.948746880437077</v>
      </c>
      <c r="N474" s="6">
        <v>13.7069244577351</v>
      </c>
      <c r="O474" s="6">
        <v>13.7069244577351</v>
      </c>
      <c r="P474" s="6">
        <v>13.7069244577351</v>
      </c>
      <c r="Q474" s="6">
        <v>0</v>
      </c>
      <c r="R474" s="6">
        <v>0</v>
      </c>
      <c r="S474" s="6">
        <v>0</v>
      </c>
      <c r="T474" s="6">
        <v>37.453329862943299</v>
      </c>
    </row>
    <row r="475" spans="1:20" ht="13" x14ac:dyDescent="0.15">
      <c r="A475" s="6">
        <v>473</v>
      </c>
      <c r="B475" s="7">
        <v>43846</v>
      </c>
      <c r="C475" s="6">
        <v>22.930647939905299</v>
      </c>
      <c r="D475" s="6">
        <v>6.5973531456055001</v>
      </c>
      <c r="E475" s="6">
        <v>69.866455320659099</v>
      </c>
      <c r="F475" s="6">
        <v>22.930647939905299</v>
      </c>
      <c r="G475" s="6">
        <v>22.930647939905299</v>
      </c>
      <c r="H475" s="6">
        <v>14.1434374334405</v>
      </c>
      <c r="I475" s="6">
        <v>14.1434374334405</v>
      </c>
      <c r="J475" s="6">
        <v>14.1434374334405</v>
      </c>
      <c r="K475" s="6">
        <v>0.49015521355719499</v>
      </c>
      <c r="L475" s="6">
        <v>0.49015521355719499</v>
      </c>
      <c r="M475" s="6">
        <v>0.49015521355719499</v>
      </c>
      <c r="N475" s="6">
        <v>13.653282219883399</v>
      </c>
      <c r="O475" s="6">
        <v>13.653282219883399</v>
      </c>
      <c r="P475" s="6">
        <v>13.653282219883399</v>
      </c>
      <c r="Q475" s="6">
        <v>0</v>
      </c>
      <c r="R475" s="6">
        <v>0</v>
      </c>
      <c r="S475" s="6">
        <v>0</v>
      </c>
      <c r="T475" s="6">
        <v>37.074085373345902</v>
      </c>
    </row>
    <row r="476" spans="1:20" ht="13" x14ac:dyDescent="0.15">
      <c r="A476" s="6">
        <v>474</v>
      </c>
      <c r="B476" s="7">
        <v>43847</v>
      </c>
      <c r="C476" s="6">
        <v>23.063637355039599</v>
      </c>
      <c r="D476" s="6">
        <v>4.6709271883195802</v>
      </c>
      <c r="E476" s="6">
        <v>66.952892238573497</v>
      </c>
      <c r="F476" s="6">
        <v>23.063637355039599</v>
      </c>
      <c r="G476" s="6">
        <v>23.063637355039599</v>
      </c>
      <c r="H476" s="6">
        <v>13.512414625814699</v>
      </c>
      <c r="I476" s="6">
        <v>13.512414625814699</v>
      </c>
      <c r="J476" s="6">
        <v>13.512414625814699</v>
      </c>
      <c r="K476" s="6">
        <v>-2.2976765068367301E-2</v>
      </c>
      <c r="L476" s="6">
        <v>-2.2976765068367301E-2</v>
      </c>
      <c r="M476" s="6">
        <v>-2.2976765068367301E-2</v>
      </c>
      <c r="N476" s="6">
        <v>13.535391390883101</v>
      </c>
      <c r="O476" s="6">
        <v>13.535391390883101</v>
      </c>
      <c r="P476" s="6">
        <v>13.535391390883101</v>
      </c>
      <c r="Q476" s="6">
        <v>0</v>
      </c>
      <c r="R476" s="6">
        <v>0</v>
      </c>
      <c r="S476" s="6">
        <v>0</v>
      </c>
      <c r="T476" s="6">
        <v>36.576051980854302</v>
      </c>
    </row>
    <row r="477" spans="1:20" ht="13" x14ac:dyDescent="0.15">
      <c r="A477" s="6">
        <v>475</v>
      </c>
      <c r="B477" s="7">
        <v>43851</v>
      </c>
      <c r="C477" s="6">
        <v>23.595595015576599</v>
      </c>
      <c r="D477" s="6">
        <v>2.7133346997899301</v>
      </c>
      <c r="E477" s="6">
        <v>69.1282607792362</v>
      </c>
      <c r="F477" s="6">
        <v>23.595595015576599</v>
      </c>
      <c r="G477" s="6">
        <v>23.595595015576599</v>
      </c>
      <c r="H477" s="6">
        <v>13.6333523747259</v>
      </c>
      <c r="I477" s="6">
        <v>13.6333523747259</v>
      </c>
      <c r="J477" s="6">
        <v>13.6333523747259</v>
      </c>
      <c r="K477" s="6">
        <v>0.84522403106575195</v>
      </c>
      <c r="L477" s="6">
        <v>0.84522403106575195</v>
      </c>
      <c r="M477" s="6">
        <v>0.84522403106575195</v>
      </c>
      <c r="N477" s="6">
        <v>12.788128343660199</v>
      </c>
      <c r="O477" s="6">
        <v>12.788128343660199</v>
      </c>
      <c r="P477" s="6">
        <v>12.788128343660199</v>
      </c>
      <c r="Q477" s="6">
        <v>0</v>
      </c>
      <c r="R477" s="6">
        <v>0</v>
      </c>
      <c r="S477" s="6">
        <v>0</v>
      </c>
      <c r="T477" s="6">
        <v>37.228947390302601</v>
      </c>
    </row>
    <row r="478" spans="1:20" ht="13" x14ac:dyDescent="0.15">
      <c r="A478" s="6">
        <v>476</v>
      </c>
      <c r="B478" s="7">
        <v>43852</v>
      </c>
      <c r="C478" s="6">
        <v>23.7285844307109</v>
      </c>
      <c r="D478" s="6">
        <v>4.8532116971460404</v>
      </c>
      <c r="E478" s="6">
        <v>68.372756926692304</v>
      </c>
      <c r="F478" s="6">
        <v>23.7285844307109</v>
      </c>
      <c r="G478" s="6">
        <v>23.7285844307109</v>
      </c>
      <c r="H478" s="6">
        <v>13.577817712205601</v>
      </c>
      <c r="I478" s="6">
        <v>13.577817712205601</v>
      </c>
      <c r="J478" s="6">
        <v>13.577817712205601</v>
      </c>
      <c r="K478" s="6">
        <v>0.94874688043892597</v>
      </c>
      <c r="L478" s="6">
        <v>0.94874688043892597</v>
      </c>
      <c r="M478" s="6">
        <v>0.94874688043892597</v>
      </c>
      <c r="N478" s="6">
        <v>12.6290708317667</v>
      </c>
      <c r="O478" s="6">
        <v>12.6290708317667</v>
      </c>
      <c r="P478" s="6">
        <v>12.6290708317667</v>
      </c>
      <c r="Q478" s="6">
        <v>0</v>
      </c>
      <c r="R478" s="6">
        <v>0</v>
      </c>
      <c r="S478" s="6">
        <v>0</v>
      </c>
      <c r="T478" s="6">
        <v>37.306402142916497</v>
      </c>
    </row>
    <row r="479" spans="1:20" ht="13" x14ac:dyDescent="0.15">
      <c r="A479" s="6">
        <v>477</v>
      </c>
      <c r="B479" s="7">
        <v>43853</v>
      </c>
      <c r="C479" s="6">
        <v>23.861573845845101</v>
      </c>
      <c r="D479" s="6">
        <v>2.36492202891634</v>
      </c>
      <c r="E479" s="6">
        <v>68.985183411281795</v>
      </c>
      <c r="F479" s="6">
        <v>23.861573845845101</v>
      </c>
      <c r="G479" s="6">
        <v>23.861573845845101</v>
      </c>
      <c r="H479" s="6">
        <v>13.0083684993253</v>
      </c>
      <c r="I479" s="6">
        <v>13.0083684993253</v>
      </c>
      <c r="J479" s="6">
        <v>13.0083684993253</v>
      </c>
      <c r="K479" s="6">
        <v>0.49015521355837399</v>
      </c>
      <c r="L479" s="6">
        <v>0.49015521355837399</v>
      </c>
      <c r="M479" s="6">
        <v>0.49015521355837399</v>
      </c>
      <c r="N479" s="6">
        <v>12.518213285766899</v>
      </c>
      <c r="O479" s="6">
        <v>12.518213285766899</v>
      </c>
      <c r="P479" s="6">
        <v>12.518213285766899</v>
      </c>
      <c r="Q479" s="6">
        <v>0</v>
      </c>
      <c r="R479" s="6">
        <v>0</v>
      </c>
      <c r="S479" s="6">
        <v>0</v>
      </c>
      <c r="T479" s="6">
        <v>36.8699423451705</v>
      </c>
    </row>
    <row r="480" spans="1:20" ht="13" x14ac:dyDescent="0.15">
      <c r="A480" s="6">
        <v>478</v>
      </c>
      <c r="B480" s="7">
        <v>43854</v>
      </c>
      <c r="C480" s="6">
        <v>23.994563260979401</v>
      </c>
      <c r="D480" s="6">
        <v>3.18912127647044</v>
      </c>
      <c r="E480" s="6">
        <v>66.573943593170497</v>
      </c>
      <c r="F480" s="6">
        <v>23.994563260979401</v>
      </c>
      <c r="G480" s="6">
        <v>23.994563260979401</v>
      </c>
      <c r="H480" s="6">
        <v>12.4485895267554</v>
      </c>
      <c r="I480" s="6">
        <v>12.4485895267554</v>
      </c>
      <c r="J480" s="6">
        <v>12.4485895267554</v>
      </c>
      <c r="K480" s="6">
        <v>-2.2976765066421101E-2</v>
      </c>
      <c r="L480" s="6">
        <v>-2.2976765066421101E-2</v>
      </c>
      <c r="M480" s="6">
        <v>-2.2976765066421101E-2</v>
      </c>
      <c r="N480" s="6">
        <v>12.4715662918218</v>
      </c>
      <c r="O480" s="6">
        <v>12.4715662918218</v>
      </c>
      <c r="P480" s="6">
        <v>12.4715662918218</v>
      </c>
      <c r="Q480" s="6">
        <v>0</v>
      </c>
      <c r="R480" s="6">
        <v>0</v>
      </c>
      <c r="S480" s="6">
        <v>0</v>
      </c>
      <c r="T480" s="6">
        <v>36.443152787734803</v>
      </c>
    </row>
    <row r="481" spans="1:20" ht="13" x14ac:dyDescent="0.15">
      <c r="A481" s="6">
        <v>479</v>
      </c>
      <c r="B481" s="7">
        <v>43857</v>
      </c>
      <c r="C481" s="6">
        <v>24.3935315063821</v>
      </c>
      <c r="D481" s="6">
        <v>7.7530701163245501</v>
      </c>
      <c r="E481" s="6">
        <v>70.518462414615101</v>
      </c>
      <c r="F481" s="6">
        <v>24.3935315063821</v>
      </c>
      <c r="G481" s="6">
        <v>24.3935315063821</v>
      </c>
      <c r="H481" s="6">
        <v>14.6615793561782</v>
      </c>
      <c r="I481" s="6">
        <v>14.6615793561782</v>
      </c>
      <c r="J481" s="6">
        <v>14.6615793561782</v>
      </c>
      <c r="K481" s="6">
        <v>1.8228906089397401</v>
      </c>
      <c r="L481" s="6">
        <v>1.8228906089397401</v>
      </c>
      <c r="M481" s="6">
        <v>1.8228906089397401</v>
      </c>
      <c r="N481" s="6">
        <v>12.8386887472385</v>
      </c>
      <c r="O481" s="6">
        <v>12.8386887472385</v>
      </c>
      <c r="P481" s="6">
        <v>12.8386887472385</v>
      </c>
      <c r="Q481" s="6">
        <v>0</v>
      </c>
      <c r="R481" s="6">
        <v>0</v>
      </c>
      <c r="S481" s="6">
        <v>0</v>
      </c>
      <c r="T481" s="6">
        <v>39.055110862560397</v>
      </c>
    </row>
    <row r="482" spans="1:20" ht="13" x14ac:dyDescent="0.15">
      <c r="A482" s="6">
        <v>480</v>
      </c>
      <c r="B482" s="7">
        <v>43858</v>
      </c>
      <c r="C482" s="6">
        <v>24.526520921516401</v>
      </c>
      <c r="D482" s="6">
        <v>7.8613671771556204</v>
      </c>
      <c r="E482" s="6">
        <v>72.051693456293194</v>
      </c>
      <c r="F482" s="6">
        <v>24.526520921516401</v>
      </c>
      <c r="G482" s="6">
        <v>24.526520921516401</v>
      </c>
      <c r="H482" s="6">
        <v>14.0001494801741</v>
      </c>
      <c r="I482" s="6">
        <v>14.0001494801741</v>
      </c>
      <c r="J482" s="6">
        <v>14.0001494801741</v>
      </c>
      <c r="K482" s="6">
        <v>0.84522403106591903</v>
      </c>
      <c r="L482" s="6">
        <v>0.84522403106591903</v>
      </c>
      <c r="M482" s="6">
        <v>0.84522403106591903</v>
      </c>
      <c r="N482" s="6">
        <v>13.1549254491082</v>
      </c>
      <c r="O482" s="6">
        <v>13.1549254491082</v>
      </c>
      <c r="P482" s="6">
        <v>13.1549254491082</v>
      </c>
      <c r="Q482" s="6">
        <v>0</v>
      </c>
      <c r="R482" s="6">
        <v>0</v>
      </c>
      <c r="S482" s="6">
        <v>0</v>
      </c>
      <c r="T482" s="6">
        <v>38.526670401690502</v>
      </c>
    </row>
    <row r="483" spans="1:20" ht="13" x14ac:dyDescent="0.15">
      <c r="A483" s="6">
        <v>481</v>
      </c>
      <c r="B483" s="7">
        <v>43859</v>
      </c>
      <c r="C483" s="6">
        <v>24.659510336650701</v>
      </c>
      <c r="D483" s="6">
        <v>6.5648473151101898</v>
      </c>
      <c r="E483" s="6">
        <v>71.235407514707404</v>
      </c>
      <c r="F483" s="6">
        <v>24.659510336650701</v>
      </c>
      <c r="G483" s="6">
        <v>24.659510336650701</v>
      </c>
      <c r="H483" s="6">
        <v>14.520311482514</v>
      </c>
      <c r="I483" s="6">
        <v>14.520311482514</v>
      </c>
      <c r="J483" s="6">
        <v>14.520311482514</v>
      </c>
      <c r="K483" s="6">
        <v>0.948746880435416</v>
      </c>
      <c r="L483" s="6">
        <v>0.948746880435416</v>
      </c>
      <c r="M483" s="6">
        <v>0.948746880435416</v>
      </c>
      <c r="N483" s="6">
        <v>13.571564602078601</v>
      </c>
      <c r="O483" s="6">
        <v>13.571564602078601</v>
      </c>
      <c r="P483" s="6">
        <v>13.571564602078601</v>
      </c>
      <c r="Q483" s="6">
        <v>0</v>
      </c>
      <c r="R483" s="6">
        <v>0</v>
      </c>
      <c r="S483" s="6">
        <v>0</v>
      </c>
      <c r="T483" s="6">
        <v>39.179821819164701</v>
      </c>
    </row>
    <row r="484" spans="1:20" ht="13" x14ac:dyDescent="0.15">
      <c r="A484" s="6">
        <v>482</v>
      </c>
      <c r="B484" s="7">
        <v>43860</v>
      </c>
      <c r="C484" s="6">
        <v>24.792499751784899</v>
      </c>
      <c r="D484" s="6">
        <v>9.8672052970748307</v>
      </c>
      <c r="E484" s="6">
        <v>71.972721908599198</v>
      </c>
      <c r="F484" s="6">
        <v>24.792499751784899</v>
      </c>
      <c r="G484" s="6">
        <v>24.792499751784899</v>
      </c>
      <c r="H484" s="6">
        <v>14.5751212336846</v>
      </c>
      <c r="I484" s="6">
        <v>14.5751212336846</v>
      </c>
      <c r="J484" s="6">
        <v>14.5751212336846</v>
      </c>
      <c r="K484" s="6">
        <v>0.49015521355553598</v>
      </c>
      <c r="L484" s="6">
        <v>0.49015521355553598</v>
      </c>
      <c r="M484" s="6">
        <v>0.49015521355553598</v>
      </c>
      <c r="N484" s="6">
        <v>14.084966020129</v>
      </c>
      <c r="O484" s="6">
        <v>14.084966020129</v>
      </c>
      <c r="P484" s="6">
        <v>14.084966020129</v>
      </c>
      <c r="Q484" s="6">
        <v>0</v>
      </c>
      <c r="R484" s="6">
        <v>0</v>
      </c>
      <c r="S484" s="6">
        <v>0</v>
      </c>
      <c r="T484" s="6">
        <v>39.3676209854695</v>
      </c>
    </row>
    <row r="485" spans="1:20" ht="13" x14ac:dyDescent="0.15">
      <c r="A485" s="6">
        <v>483</v>
      </c>
      <c r="B485" s="7">
        <v>43861</v>
      </c>
      <c r="C485" s="6">
        <v>25.1125498296933</v>
      </c>
      <c r="D485" s="6">
        <v>9.24981014740702</v>
      </c>
      <c r="E485" s="6">
        <v>73.402738772496207</v>
      </c>
      <c r="F485" s="6">
        <v>25.1125498296933</v>
      </c>
      <c r="G485" s="6">
        <v>25.1125498296933</v>
      </c>
      <c r="H485" s="6">
        <v>14.664668633864601</v>
      </c>
      <c r="I485" s="6">
        <v>14.664668633864601</v>
      </c>
      <c r="J485" s="6">
        <v>14.664668633864601</v>
      </c>
      <c r="K485" s="6">
        <v>-2.29767650603621E-2</v>
      </c>
      <c r="L485" s="6">
        <v>-2.29767650603621E-2</v>
      </c>
      <c r="M485" s="6">
        <v>-2.29767650603621E-2</v>
      </c>
      <c r="N485" s="6">
        <v>14.6876453989249</v>
      </c>
      <c r="O485" s="6">
        <v>14.6876453989249</v>
      </c>
      <c r="P485" s="6">
        <v>14.6876453989249</v>
      </c>
      <c r="Q485" s="6">
        <v>0</v>
      </c>
      <c r="R485" s="6">
        <v>0</v>
      </c>
      <c r="S485" s="6">
        <v>0</v>
      </c>
      <c r="T485" s="6">
        <v>39.777218463557901</v>
      </c>
    </row>
    <row r="486" spans="1:20" ht="13" x14ac:dyDescent="0.15">
      <c r="A486" s="6">
        <v>484</v>
      </c>
      <c r="B486" s="7">
        <v>43864</v>
      </c>
      <c r="C486" s="6">
        <v>26.072700063418299</v>
      </c>
      <c r="D486" s="6">
        <v>14.796596971349601</v>
      </c>
      <c r="E486" s="6">
        <v>77.128177810292499</v>
      </c>
      <c r="F486" s="6">
        <v>26.072700063418299</v>
      </c>
      <c r="G486" s="6">
        <v>26.072700063418299</v>
      </c>
      <c r="H486" s="6">
        <v>18.7252385990367</v>
      </c>
      <c r="I486" s="6">
        <v>18.7252385990367</v>
      </c>
      <c r="J486" s="6">
        <v>18.7252385990367</v>
      </c>
      <c r="K486" s="6">
        <v>1.8228906089335299</v>
      </c>
      <c r="L486" s="6">
        <v>1.8228906089335299</v>
      </c>
      <c r="M486" s="6">
        <v>1.8228906089335299</v>
      </c>
      <c r="N486" s="6">
        <v>16.902347990103198</v>
      </c>
      <c r="O486" s="6">
        <v>16.902347990103198</v>
      </c>
      <c r="P486" s="6">
        <v>16.902347990103198</v>
      </c>
      <c r="Q486" s="6">
        <v>0</v>
      </c>
      <c r="R486" s="6">
        <v>0</v>
      </c>
      <c r="S486" s="6">
        <v>0</v>
      </c>
      <c r="T486" s="6">
        <v>44.797938662455103</v>
      </c>
    </row>
    <row r="487" spans="1:20" ht="13" x14ac:dyDescent="0.15">
      <c r="A487" s="6">
        <v>485</v>
      </c>
      <c r="B487" s="7">
        <v>43865</v>
      </c>
      <c r="C487" s="6">
        <v>26.392750141326701</v>
      </c>
      <c r="D487" s="6">
        <v>12.896017772523599</v>
      </c>
      <c r="E487" s="6">
        <v>77.669313248982803</v>
      </c>
      <c r="F487" s="6">
        <v>26.392750141326701</v>
      </c>
      <c r="G487" s="6">
        <v>26.392750141326701</v>
      </c>
      <c r="H487" s="6">
        <v>18.562468895957402</v>
      </c>
      <c r="I487" s="6">
        <v>18.562468895957402</v>
      </c>
      <c r="J487" s="6">
        <v>18.562468895957402</v>
      </c>
      <c r="K487" s="6">
        <v>0.84522403106446198</v>
      </c>
      <c r="L487" s="6">
        <v>0.84522403106446198</v>
      </c>
      <c r="M487" s="6">
        <v>0.84522403106446198</v>
      </c>
      <c r="N487" s="6">
        <v>17.717244864892901</v>
      </c>
      <c r="O487" s="6">
        <v>17.717244864892901</v>
      </c>
      <c r="P487" s="6">
        <v>17.717244864892901</v>
      </c>
      <c r="Q487" s="6">
        <v>0</v>
      </c>
      <c r="R487" s="6">
        <v>0</v>
      </c>
      <c r="S487" s="6">
        <v>0</v>
      </c>
      <c r="T487" s="6">
        <v>44.955219037284103</v>
      </c>
    </row>
    <row r="488" spans="1:20" ht="13" x14ac:dyDescent="0.15">
      <c r="A488" s="6">
        <v>486</v>
      </c>
      <c r="B488" s="7">
        <v>43866</v>
      </c>
      <c r="C488" s="6">
        <v>26.7128002192349</v>
      </c>
      <c r="D488" s="6">
        <v>14.1428459232409</v>
      </c>
      <c r="E488" s="6">
        <v>77.874457238708402</v>
      </c>
      <c r="F488" s="6">
        <v>26.7128002192349</v>
      </c>
      <c r="G488" s="6">
        <v>26.7128002192349</v>
      </c>
      <c r="H488" s="6">
        <v>19.483357635363799</v>
      </c>
      <c r="I488" s="6">
        <v>19.483357635363799</v>
      </c>
      <c r="J488" s="6">
        <v>19.483357635363799</v>
      </c>
      <c r="K488" s="6">
        <v>0.94874688043726496</v>
      </c>
      <c r="L488" s="6">
        <v>0.94874688043726496</v>
      </c>
      <c r="M488" s="6">
        <v>0.94874688043726496</v>
      </c>
      <c r="N488" s="6">
        <v>18.534610754926501</v>
      </c>
      <c r="O488" s="6">
        <v>18.534610754926501</v>
      </c>
      <c r="P488" s="6">
        <v>18.534610754926501</v>
      </c>
      <c r="Q488" s="6">
        <v>0</v>
      </c>
      <c r="R488" s="6">
        <v>0</v>
      </c>
      <c r="S488" s="6">
        <v>0</v>
      </c>
      <c r="T488" s="6">
        <v>46.196157854598702</v>
      </c>
    </row>
    <row r="489" spans="1:20" ht="13" x14ac:dyDescent="0.15">
      <c r="A489" s="6">
        <v>487</v>
      </c>
      <c r="B489" s="7">
        <v>43867</v>
      </c>
      <c r="C489" s="6">
        <v>27.032850297143298</v>
      </c>
      <c r="D489" s="6">
        <v>12.6959129907316</v>
      </c>
      <c r="E489" s="6">
        <v>79.546394255992993</v>
      </c>
      <c r="F489" s="6">
        <v>27.032850297143298</v>
      </c>
      <c r="G489" s="6">
        <v>27.032850297143298</v>
      </c>
      <c r="H489" s="6">
        <v>19.820378085139001</v>
      </c>
      <c r="I489" s="6">
        <v>19.820378085139001</v>
      </c>
      <c r="J489" s="6">
        <v>19.820378085139001</v>
      </c>
      <c r="K489" s="6">
        <v>0.49015521355525699</v>
      </c>
      <c r="L489" s="6">
        <v>0.49015521355525699</v>
      </c>
      <c r="M489" s="6">
        <v>0.49015521355525699</v>
      </c>
      <c r="N489" s="6">
        <v>19.3302228715837</v>
      </c>
      <c r="O489" s="6">
        <v>19.3302228715837</v>
      </c>
      <c r="P489" s="6">
        <v>19.3302228715837</v>
      </c>
      <c r="Q489" s="6">
        <v>0</v>
      </c>
      <c r="R489" s="6">
        <v>0</v>
      </c>
      <c r="S489" s="6">
        <v>0</v>
      </c>
      <c r="T489" s="6">
        <v>46.853228382282303</v>
      </c>
    </row>
    <row r="490" spans="1:20" ht="13" x14ac:dyDescent="0.15">
      <c r="A490" s="6">
        <v>488</v>
      </c>
      <c r="B490" s="7">
        <v>43868</v>
      </c>
      <c r="C490" s="6">
        <v>27.3529003750517</v>
      </c>
      <c r="D490" s="6">
        <v>14.432152559712501</v>
      </c>
      <c r="E490" s="6">
        <v>78.891509367002797</v>
      </c>
      <c r="F490" s="6">
        <v>27.3529003750517</v>
      </c>
      <c r="G490" s="6">
        <v>27.3529003750517</v>
      </c>
      <c r="H490" s="6">
        <v>20.055957121496899</v>
      </c>
      <c r="I490" s="6">
        <v>20.055957121496899</v>
      </c>
      <c r="J490" s="6">
        <v>20.055957121496899</v>
      </c>
      <c r="K490" s="6">
        <v>-2.29767650584159E-2</v>
      </c>
      <c r="L490" s="6">
        <v>-2.29767650584159E-2</v>
      </c>
      <c r="M490" s="6">
        <v>-2.29767650584159E-2</v>
      </c>
      <c r="N490" s="6">
        <v>20.078933886555401</v>
      </c>
      <c r="O490" s="6">
        <v>20.078933886555401</v>
      </c>
      <c r="P490" s="6">
        <v>20.078933886555401</v>
      </c>
      <c r="Q490" s="6">
        <v>0</v>
      </c>
      <c r="R490" s="6">
        <v>0</v>
      </c>
      <c r="S490" s="6">
        <v>0</v>
      </c>
      <c r="T490" s="6">
        <v>47.408857496548698</v>
      </c>
    </row>
    <row r="491" spans="1:20" ht="13" x14ac:dyDescent="0.15">
      <c r="A491" s="6">
        <v>489</v>
      </c>
      <c r="B491" s="7">
        <v>43871</v>
      </c>
      <c r="C491" s="6">
        <v>28.313050608776699</v>
      </c>
      <c r="D491" s="6">
        <v>23.748901698664699</v>
      </c>
      <c r="E491" s="6">
        <v>84.413731501587094</v>
      </c>
      <c r="F491" s="6">
        <v>28.313050608776699</v>
      </c>
      <c r="G491" s="6">
        <v>28.313050608776699</v>
      </c>
      <c r="H491" s="6">
        <v>23.615626833365599</v>
      </c>
      <c r="I491" s="6">
        <v>23.615626833365599</v>
      </c>
      <c r="J491" s="6">
        <v>23.615626833365599</v>
      </c>
      <c r="K491" s="6">
        <v>1.8228906089352499</v>
      </c>
      <c r="L491" s="6">
        <v>1.8228906089352499</v>
      </c>
      <c r="M491" s="6">
        <v>1.8228906089352499</v>
      </c>
      <c r="N491" s="6">
        <v>21.7927362244303</v>
      </c>
      <c r="O491" s="6">
        <v>21.7927362244303</v>
      </c>
      <c r="P491" s="6">
        <v>21.7927362244303</v>
      </c>
      <c r="Q491" s="6">
        <v>0</v>
      </c>
      <c r="R491" s="6">
        <v>0</v>
      </c>
      <c r="S491" s="6">
        <v>0</v>
      </c>
      <c r="T491" s="6">
        <v>51.928677442142302</v>
      </c>
    </row>
    <row r="492" spans="1:20" ht="13" x14ac:dyDescent="0.15">
      <c r="A492" s="6">
        <v>490</v>
      </c>
      <c r="B492" s="7">
        <v>43872</v>
      </c>
      <c r="C492" s="6">
        <v>28.633100686685001</v>
      </c>
      <c r="D492" s="6">
        <v>17.677336812804199</v>
      </c>
      <c r="E492" s="6">
        <v>82.287500267839505</v>
      </c>
      <c r="F492" s="6">
        <v>28.633100686685001</v>
      </c>
      <c r="G492" s="6">
        <v>28.633100686685001</v>
      </c>
      <c r="H492" s="6">
        <v>22.953184792963398</v>
      </c>
      <c r="I492" s="6">
        <v>22.953184792963398</v>
      </c>
      <c r="J492" s="6">
        <v>22.953184792963398</v>
      </c>
      <c r="K492" s="6">
        <v>0.84522403106838795</v>
      </c>
      <c r="L492" s="6">
        <v>0.84522403106838795</v>
      </c>
      <c r="M492" s="6">
        <v>0.84522403106838795</v>
      </c>
      <c r="N492" s="6">
        <v>22.107960761895001</v>
      </c>
      <c r="O492" s="6">
        <v>22.107960761895001</v>
      </c>
      <c r="P492" s="6">
        <v>22.107960761895001</v>
      </c>
      <c r="Q492" s="6">
        <v>0</v>
      </c>
      <c r="R492" s="6">
        <v>0</v>
      </c>
      <c r="S492" s="6">
        <v>0</v>
      </c>
      <c r="T492" s="6">
        <v>51.586285479648502</v>
      </c>
    </row>
    <row r="493" spans="1:20" ht="13" x14ac:dyDescent="0.15">
      <c r="A493" s="6">
        <v>491</v>
      </c>
      <c r="B493" s="7">
        <v>43873</v>
      </c>
      <c r="C493" s="6">
        <v>28.953150764593399</v>
      </c>
      <c r="D493" s="6">
        <v>18.615157666571701</v>
      </c>
      <c r="E493" s="6">
        <v>84.817755235765105</v>
      </c>
      <c r="F493" s="6">
        <v>28.953150764593399</v>
      </c>
      <c r="G493" s="6">
        <v>28.953150764593399</v>
      </c>
      <c r="H493" s="6">
        <v>23.209473078481501</v>
      </c>
      <c r="I493" s="6">
        <v>23.209473078481501</v>
      </c>
      <c r="J493" s="6">
        <v>23.209473078481501</v>
      </c>
      <c r="K493" s="6">
        <v>0.94874688043911504</v>
      </c>
      <c r="L493" s="6">
        <v>0.94874688043911504</v>
      </c>
      <c r="M493" s="6">
        <v>0.94874688043911504</v>
      </c>
      <c r="N493" s="6">
        <v>22.260726198042398</v>
      </c>
      <c r="O493" s="6">
        <v>22.260726198042398</v>
      </c>
      <c r="P493" s="6">
        <v>22.260726198042398</v>
      </c>
      <c r="Q493" s="6">
        <v>0</v>
      </c>
      <c r="R493" s="6">
        <v>0</v>
      </c>
      <c r="S493" s="6">
        <v>0</v>
      </c>
      <c r="T493" s="6">
        <v>52.162623843074897</v>
      </c>
    </row>
    <row r="494" spans="1:20" ht="13" x14ac:dyDescent="0.15">
      <c r="A494" s="6">
        <v>492</v>
      </c>
      <c r="B494" s="7">
        <v>43874</v>
      </c>
      <c r="C494" s="6">
        <v>29.273200842501701</v>
      </c>
      <c r="D494" s="6">
        <v>20.714427451174</v>
      </c>
      <c r="E494" s="6">
        <v>85.120416033046695</v>
      </c>
      <c r="F494" s="6">
        <v>29.273200842501701</v>
      </c>
      <c r="G494" s="6">
        <v>29.273200842501701</v>
      </c>
      <c r="H494" s="6">
        <v>22.724727091137702</v>
      </c>
      <c r="I494" s="6">
        <v>22.724727091137702</v>
      </c>
      <c r="J494" s="6">
        <v>22.724727091137702</v>
      </c>
      <c r="K494" s="6">
        <v>0.49015521355241898</v>
      </c>
      <c r="L494" s="6">
        <v>0.49015521355241898</v>
      </c>
      <c r="M494" s="6">
        <v>0.49015521355241898</v>
      </c>
      <c r="N494" s="6">
        <v>22.234571877585299</v>
      </c>
      <c r="O494" s="6">
        <v>22.234571877585299</v>
      </c>
      <c r="P494" s="6">
        <v>22.234571877585299</v>
      </c>
      <c r="Q494" s="6">
        <v>0</v>
      </c>
      <c r="R494" s="6">
        <v>0</v>
      </c>
      <c r="S494" s="6">
        <v>0</v>
      </c>
      <c r="T494" s="6">
        <v>51.997927933639502</v>
      </c>
    </row>
    <row r="495" spans="1:20" ht="13" x14ac:dyDescent="0.15">
      <c r="A495" s="6">
        <v>493</v>
      </c>
      <c r="B495" s="7">
        <v>43875</v>
      </c>
      <c r="C495" s="6">
        <v>29.5932509204101</v>
      </c>
      <c r="D495" s="6">
        <v>19.566243146869802</v>
      </c>
      <c r="E495" s="6">
        <v>83.796668137007799</v>
      </c>
      <c r="F495" s="6">
        <v>29.5932509204101</v>
      </c>
      <c r="G495" s="6">
        <v>29.5932509204101</v>
      </c>
      <c r="H495" s="6">
        <v>21.993597090917898</v>
      </c>
      <c r="I495" s="6">
        <v>21.993597090917898</v>
      </c>
      <c r="J495" s="6">
        <v>21.993597090917898</v>
      </c>
      <c r="K495" s="6">
        <v>-2.2976765061027901E-2</v>
      </c>
      <c r="L495" s="6">
        <v>-2.2976765061027901E-2</v>
      </c>
      <c r="M495" s="6">
        <v>-2.2976765061027901E-2</v>
      </c>
      <c r="N495" s="6">
        <v>22.016573855978901</v>
      </c>
      <c r="O495" s="6">
        <v>22.016573855978901</v>
      </c>
      <c r="P495" s="6">
        <v>22.016573855978901</v>
      </c>
      <c r="Q495" s="6">
        <v>0</v>
      </c>
      <c r="R495" s="6">
        <v>0</v>
      </c>
      <c r="S495" s="6">
        <v>0</v>
      </c>
      <c r="T495" s="6">
        <v>51.586848011328001</v>
      </c>
    </row>
    <row r="496" spans="1:20" ht="13" x14ac:dyDescent="0.15">
      <c r="A496" s="6">
        <v>494</v>
      </c>
      <c r="B496" s="7">
        <v>43879</v>
      </c>
      <c r="C496" s="6">
        <v>30.873451232043401</v>
      </c>
      <c r="D496" s="6">
        <v>17.727773362990799</v>
      </c>
      <c r="E496" s="6">
        <v>82.015344846476097</v>
      </c>
      <c r="F496" s="6">
        <v>30.873451232043401</v>
      </c>
      <c r="G496" s="6">
        <v>30.873451232043401</v>
      </c>
      <c r="H496" s="6">
        <v>19.956948787079799</v>
      </c>
      <c r="I496" s="6">
        <v>19.956948787079799</v>
      </c>
      <c r="J496" s="6">
        <v>19.956948787079799</v>
      </c>
      <c r="K496" s="6">
        <v>0.845224031066931</v>
      </c>
      <c r="L496" s="6">
        <v>0.845224031066931</v>
      </c>
      <c r="M496" s="6">
        <v>0.845224031066931</v>
      </c>
      <c r="N496" s="6">
        <v>19.111724756012901</v>
      </c>
      <c r="O496" s="6">
        <v>19.111724756012901</v>
      </c>
      <c r="P496" s="6">
        <v>19.111724756012901</v>
      </c>
      <c r="Q496" s="6">
        <v>0</v>
      </c>
      <c r="R496" s="6">
        <v>0</v>
      </c>
      <c r="S496" s="6">
        <v>0</v>
      </c>
      <c r="T496" s="6">
        <v>50.830400019123303</v>
      </c>
    </row>
    <row r="497" spans="1:20" ht="13" x14ac:dyDescent="0.15">
      <c r="A497" s="6">
        <v>495</v>
      </c>
      <c r="B497" s="7">
        <v>43880</v>
      </c>
      <c r="C497" s="6">
        <v>31.193501309951799</v>
      </c>
      <c r="D497" s="6">
        <v>18.581916732606</v>
      </c>
      <c r="E497" s="6">
        <v>79.767198860377903</v>
      </c>
      <c r="F497" s="6">
        <v>31.193501309951799</v>
      </c>
      <c r="G497" s="6">
        <v>31.193501309951799</v>
      </c>
      <c r="H497" s="6">
        <v>18.836288662447199</v>
      </c>
      <c r="I497" s="6">
        <v>18.836288662447199</v>
      </c>
      <c r="J497" s="6">
        <v>18.836288662447199</v>
      </c>
      <c r="K497" s="6">
        <v>0.94874688043560496</v>
      </c>
      <c r="L497" s="6">
        <v>0.94874688043560496</v>
      </c>
      <c r="M497" s="6">
        <v>0.94874688043560496</v>
      </c>
      <c r="N497" s="6">
        <v>17.887541782011599</v>
      </c>
      <c r="O497" s="6">
        <v>17.887541782011599</v>
      </c>
      <c r="P497" s="6">
        <v>17.887541782011599</v>
      </c>
      <c r="Q497" s="6">
        <v>0</v>
      </c>
      <c r="R497" s="6">
        <v>0</v>
      </c>
      <c r="S497" s="6">
        <v>0</v>
      </c>
      <c r="T497" s="6">
        <v>50.029789972399001</v>
      </c>
    </row>
    <row r="498" spans="1:20" ht="13" x14ac:dyDescent="0.15">
      <c r="A498" s="6">
        <v>496</v>
      </c>
      <c r="B498" s="7">
        <v>43881</v>
      </c>
      <c r="C498" s="6">
        <v>31.5135513878602</v>
      </c>
      <c r="D498" s="6">
        <v>16.2613221136316</v>
      </c>
      <c r="E498" s="6">
        <v>80.672990379640197</v>
      </c>
      <c r="F498" s="6">
        <v>31.5135513878602</v>
      </c>
      <c r="G498" s="6">
        <v>31.5135513878602</v>
      </c>
      <c r="H498" s="6">
        <v>16.974137085371801</v>
      </c>
      <c r="I498" s="6">
        <v>16.974137085371801</v>
      </c>
      <c r="J498" s="6">
        <v>16.974137085371801</v>
      </c>
      <c r="K498" s="6">
        <v>0.490155213561632</v>
      </c>
      <c r="L498" s="6">
        <v>0.490155213561632</v>
      </c>
      <c r="M498" s="6">
        <v>0.490155213561632</v>
      </c>
      <c r="N498" s="6">
        <v>16.483981871810201</v>
      </c>
      <c r="O498" s="6">
        <v>16.483981871810201</v>
      </c>
      <c r="P498" s="6">
        <v>16.483981871810201</v>
      </c>
      <c r="Q498" s="6">
        <v>0</v>
      </c>
      <c r="R498" s="6">
        <v>0</v>
      </c>
      <c r="S498" s="6">
        <v>0</v>
      </c>
      <c r="T498" s="6">
        <v>48.487688473232097</v>
      </c>
    </row>
    <row r="499" spans="1:20" ht="13" x14ac:dyDescent="0.15">
      <c r="A499" s="6">
        <v>497</v>
      </c>
      <c r="B499" s="7">
        <v>43882</v>
      </c>
      <c r="C499" s="6">
        <v>31.833601465768499</v>
      </c>
      <c r="D499" s="6">
        <v>13.502070284198499</v>
      </c>
      <c r="E499" s="6">
        <v>78.017339168475203</v>
      </c>
      <c r="F499" s="6">
        <v>31.833601465768499</v>
      </c>
      <c r="G499" s="6">
        <v>31.833601465768499</v>
      </c>
      <c r="H499" s="6">
        <v>14.895431888384699</v>
      </c>
      <c r="I499" s="6">
        <v>14.895431888384699</v>
      </c>
      <c r="J499" s="6">
        <v>14.895431888384699</v>
      </c>
      <c r="K499" s="6">
        <v>-2.29767650636401E-2</v>
      </c>
      <c r="L499" s="6">
        <v>-2.29767650636401E-2</v>
      </c>
      <c r="M499" s="6">
        <v>-2.29767650636401E-2</v>
      </c>
      <c r="N499" s="6">
        <v>14.918408653448401</v>
      </c>
      <c r="O499" s="6">
        <v>14.918408653448401</v>
      </c>
      <c r="P499" s="6">
        <v>14.918408653448401</v>
      </c>
      <c r="Q499" s="6">
        <v>0</v>
      </c>
      <c r="R499" s="6">
        <v>0</v>
      </c>
      <c r="S499" s="6">
        <v>0</v>
      </c>
      <c r="T499" s="6">
        <v>46.729033354153302</v>
      </c>
    </row>
    <row r="500" spans="1:20" ht="13" x14ac:dyDescent="0.15">
      <c r="A500" s="6">
        <v>498</v>
      </c>
      <c r="B500" s="7">
        <v>43885</v>
      </c>
      <c r="C500" s="6">
        <v>32.793751699493498</v>
      </c>
      <c r="D500" s="6">
        <v>11.1204065722115</v>
      </c>
      <c r="E500" s="6">
        <v>77.753505996659598</v>
      </c>
      <c r="F500" s="6">
        <v>32.793751699493498</v>
      </c>
      <c r="G500" s="6">
        <v>32.793751699493498</v>
      </c>
      <c r="H500" s="6">
        <v>11.2997944056193</v>
      </c>
      <c r="I500" s="6">
        <v>11.2997944056193</v>
      </c>
      <c r="J500" s="6">
        <v>11.2997944056193</v>
      </c>
      <c r="K500" s="6">
        <v>1.8228906089374599</v>
      </c>
      <c r="L500" s="6">
        <v>1.8228906089374599</v>
      </c>
      <c r="M500" s="6">
        <v>1.8228906089374599</v>
      </c>
      <c r="N500" s="6">
        <v>9.4769037966819099</v>
      </c>
      <c r="O500" s="6">
        <v>9.4769037966819099</v>
      </c>
      <c r="P500" s="6">
        <v>9.4769037966819099</v>
      </c>
      <c r="Q500" s="6">
        <v>0</v>
      </c>
      <c r="R500" s="6">
        <v>0</v>
      </c>
      <c r="S500" s="6">
        <v>0</v>
      </c>
      <c r="T500" s="6">
        <v>44.0935461051129</v>
      </c>
    </row>
    <row r="501" spans="1:20" ht="13" x14ac:dyDescent="0.15">
      <c r="A501" s="6">
        <v>499</v>
      </c>
      <c r="B501" s="7">
        <v>43886</v>
      </c>
      <c r="C501" s="6">
        <v>33.113801777401797</v>
      </c>
      <c r="D501" s="6">
        <v>9.3754937519913195</v>
      </c>
      <c r="E501" s="6">
        <v>72.594971960980104</v>
      </c>
      <c r="F501" s="6">
        <v>33.113801777401797</v>
      </c>
      <c r="G501" s="6">
        <v>33.113801777401797</v>
      </c>
      <c r="H501" s="6">
        <v>8.3500814620247503</v>
      </c>
      <c r="I501" s="6">
        <v>8.3500814620247503</v>
      </c>
      <c r="J501" s="6">
        <v>8.3500814620247503</v>
      </c>
      <c r="K501" s="6">
        <v>0.84522403106628596</v>
      </c>
      <c r="L501" s="6">
        <v>0.84522403106628596</v>
      </c>
      <c r="M501" s="6">
        <v>0.84522403106628596</v>
      </c>
      <c r="N501" s="6">
        <v>7.5048574309584701</v>
      </c>
      <c r="O501" s="6">
        <v>7.5048574309584701</v>
      </c>
      <c r="P501" s="6">
        <v>7.5048574309584701</v>
      </c>
      <c r="Q501" s="6">
        <v>0</v>
      </c>
      <c r="R501" s="6">
        <v>0</v>
      </c>
      <c r="S501" s="6">
        <v>0</v>
      </c>
      <c r="T501" s="6">
        <v>41.4638832394266</v>
      </c>
    </row>
    <row r="502" spans="1:20" ht="13" x14ac:dyDescent="0.15">
      <c r="A502" s="6">
        <v>500</v>
      </c>
      <c r="B502" s="7">
        <v>43887</v>
      </c>
      <c r="C502" s="6">
        <v>33.433851855310202</v>
      </c>
      <c r="D502" s="6">
        <v>5.6825942181670897</v>
      </c>
      <c r="E502" s="6">
        <v>72.056404811189097</v>
      </c>
      <c r="F502" s="6">
        <v>33.433851855310202</v>
      </c>
      <c r="G502" s="6">
        <v>33.433851855310202</v>
      </c>
      <c r="H502" s="6">
        <v>6.4524850751736702</v>
      </c>
      <c r="I502" s="6">
        <v>6.4524850751736702</v>
      </c>
      <c r="J502" s="6">
        <v>6.4524850751736702</v>
      </c>
      <c r="K502" s="6">
        <v>0.94874688043745403</v>
      </c>
      <c r="L502" s="6">
        <v>0.94874688043745403</v>
      </c>
      <c r="M502" s="6">
        <v>0.94874688043745403</v>
      </c>
      <c r="N502" s="6">
        <v>5.5037381947362096</v>
      </c>
      <c r="O502" s="6">
        <v>5.5037381947362096</v>
      </c>
      <c r="P502" s="6">
        <v>5.5037381947362096</v>
      </c>
      <c r="Q502" s="6">
        <v>0</v>
      </c>
      <c r="R502" s="6">
        <v>0</v>
      </c>
      <c r="S502" s="6">
        <v>0</v>
      </c>
      <c r="T502" s="6">
        <v>39.8863369304839</v>
      </c>
    </row>
    <row r="503" spans="1:20" ht="13" x14ac:dyDescent="0.15">
      <c r="A503" s="6">
        <v>501</v>
      </c>
      <c r="B503" s="7">
        <v>43888</v>
      </c>
      <c r="C503" s="6">
        <v>33.7539019332186</v>
      </c>
      <c r="D503" s="6">
        <v>5.6858838000332996</v>
      </c>
      <c r="E503" s="6">
        <v>68.694347329749704</v>
      </c>
      <c r="F503" s="6">
        <v>33.7539019332186</v>
      </c>
      <c r="G503" s="6">
        <v>33.7539019332186</v>
      </c>
      <c r="H503" s="6">
        <v>3.9953020828551198</v>
      </c>
      <c r="I503" s="6">
        <v>3.9953020828551198</v>
      </c>
      <c r="J503" s="6">
        <v>3.9953020828551198</v>
      </c>
      <c r="K503" s="6">
        <v>0.49015521355733699</v>
      </c>
      <c r="L503" s="6">
        <v>0.49015521355733699</v>
      </c>
      <c r="M503" s="6">
        <v>0.49015521355733699</v>
      </c>
      <c r="N503" s="6">
        <v>3.5051468692977901</v>
      </c>
      <c r="O503" s="6">
        <v>3.5051468692977901</v>
      </c>
      <c r="P503" s="6">
        <v>3.5051468692977901</v>
      </c>
      <c r="Q503" s="6">
        <v>0</v>
      </c>
      <c r="R503" s="6">
        <v>0</v>
      </c>
      <c r="S503" s="6">
        <v>0</v>
      </c>
      <c r="T503" s="6">
        <v>37.749204016073698</v>
      </c>
    </row>
    <row r="504" spans="1:20" ht="13" x14ac:dyDescent="0.15">
      <c r="A504" s="6">
        <v>502</v>
      </c>
      <c r="B504" s="7">
        <v>43889</v>
      </c>
      <c r="C504" s="6">
        <v>34.073952011126899</v>
      </c>
      <c r="D504" s="6">
        <v>0.67689683914170995</v>
      </c>
      <c r="E504" s="6">
        <v>66.542800528027399</v>
      </c>
      <c r="F504" s="6">
        <v>34.073952011126899</v>
      </c>
      <c r="G504" s="6">
        <v>34.073952011126899</v>
      </c>
      <c r="H504" s="6">
        <v>1.5177603496468299</v>
      </c>
      <c r="I504" s="6">
        <v>1.5177603496468299</v>
      </c>
      <c r="J504" s="6">
        <v>1.5177603496468299</v>
      </c>
      <c r="K504" s="6">
        <v>-2.2976765066252201E-2</v>
      </c>
      <c r="L504" s="6">
        <v>-2.2976765066252201E-2</v>
      </c>
      <c r="M504" s="6">
        <v>-2.2976765066252201E-2</v>
      </c>
      <c r="N504" s="6">
        <v>1.5407371147130799</v>
      </c>
      <c r="O504" s="6">
        <v>1.5407371147130799</v>
      </c>
      <c r="P504" s="6">
        <v>1.5407371147130799</v>
      </c>
      <c r="Q504" s="6">
        <v>0</v>
      </c>
      <c r="R504" s="6">
        <v>0</v>
      </c>
      <c r="S504" s="6">
        <v>0</v>
      </c>
      <c r="T504" s="6">
        <v>35.591712360773698</v>
      </c>
    </row>
    <row r="505" spans="1:20" ht="13" x14ac:dyDescent="0.15">
      <c r="A505" s="6">
        <v>503</v>
      </c>
      <c r="B505" s="7">
        <v>43892</v>
      </c>
      <c r="C505" s="6">
        <v>35.034102244851901</v>
      </c>
      <c r="D505" s="6">
        <v>2.9702077774406002</v>
      </c>
      <c r="E505" s="6">
        <v>65.331540924601597</v>
      </c>
      <c r="F505" s="6">
        <v>35.034102244851901</v>
      </c>
      <c r="G505" s="6">
        <v>35.034102244851901</v>
      </c>
      <c r="H505" s="6">
        <v>-2.0221469805042198</v>
      </c>
      <c r="I505" s="6">
        <v>-2.0221469805042198</v>
      </c>
      <c r="J505" s="6">
        <v>-2.0221469805042198</v>
      </c>
      <c r="K505" s="6">
        <v>1.8228906089404</v>
      </c>
      <c r="L505" s="6">
        <v>1.8228906089404</v>
      </c>
      <c r="M505" s="6">
        <v>1.8228906089404</v>
      </c>
      <c r="N505" s="6">
        <v>-3.8450375894446198</v>
      </c>
      <c r="O505" s="6">
        <v>-3.8450375894446198</v>
      </c>
      <c r="P505" s="6">
        <v>-3.8450375894446198</v>
      </c>
      <c r="Q505" s="6">
        <v>0</v>
      </c>
      <c r="R505" s="6">
        <v>0</v>
      </c>
      <c r="S505" s="6">
        <v>0</v>
      </c>
      <c r="T505" s="6">
        <v>33.011955264347698</v>
      </c>
    </row>
    <row r="506" spans="1:20" ht="13" x14ac:dyDescent="0.15">
      <c r="A506" s="6">
        <v>504</v>
      </c>
      <c r="B506" s="7">
        <v>43893</v>
      </c>
      <c r="C506" s="6">
        <v>35.354152322760299</v>
      </c>
      <c r="D506" s="6">
        <v>-3.7325115771142898</v>
      </c>
      <c r="E506" s="6">
        <v>61.917430800533602</v>
      </c>
      <c r="F506" s="6">
        <v>35.354152322760299</v>
      </c>
      <c r="G506" s="6">
        <v>35.354152322760299</v>
      </c>
      <c r="H506" s="6">
        <v>-4.5345583630339101</v>
      </c>
      <c r="I506" s="6">
        <v>-4.5345583630339101</v>
      </c>
      <c r="J506" s="6">
        <v>-4.5345583630339101</v>
      </c>
      <c r="K506" s="6">
        <v>0.84522403106564103</v>
      </c>
      <c r="L506" s="6">
        <v>0.84522403106564103</v>
      </c>
      <c r="M506" s="6">
        <v>0.84522403106564103</v>
      </c>
      <c r="N506" s="6">
        <v>-5.3797823940995499</v>
      </c>
      <c r="O506" s="6">
        <v>-5.3797823940995499</v>
      </c>
      <c r="P506" s="6">
        <v>-5.3797823940995499</v>
      </c>
      <c r="Q506" s="6">
        <v>0</v>
      </c>
      <c r="R506" s="6">
        <v>0</v>
      </c>
      <c r="S506" s="6">
        <v>0</v>
      </c>
      <c r="T506" s="6">
        <v>30.819593959726301</v>
      </c>
    </row>
    <row r="507" spans="1:20" ht="13" x14ac:dyDescent="0.15">
      <c r="A507" s="6">
        <v>505</v>
      </c>
      <c r="B507" s="7">
        <v>43894</v>
      </c>
      <c r="C507" s="6">
        <v>35.674202400668598</v>
      </c>
      <c r="D507" s="6">
        <v>-1.4575231786373399</v>
      </c>
      <c r="E507" s="6">
        <v>61.138380134375801</v>
      </c>
      <c r="F507" s="6">
        <v>35.674202400668598</v>
      </c>
      <c r="G507" s="6">
        <v>35.674202400668598</v>
      </c>
      <c r="H507" s="6">
        <v>-5.7966614253596198</v>
      </c>
      <c r="I507" s="6">
        <v>-5.7966614253596198</v>
      </c>
      <c r="J507" s="6">
        <v>-5.7966614253596198</v>
      </c>
      <c r="K507" s="6">
        <v>0.94874688043783695</v>
      </c>
      <c r="L507" s="6">
        <v>0.94874688043783695</v>
      </c>
      <c r="M507" s="6">
        <v>0.94874688043783695</v>
      </c>
      <c r="N507" s="6">
        <v>-6.7454083057974596</v>
      </c>
      <c r="O507" s="6">
        <v>-6.7454083057974596</v>
      </c>
      <c r="P507" s="6">
        <v>-6.7454083057974596</v>
      </c>
      <c r="Q507" s="6">
        <v>0</v>
      </c>
      <c r="R507" s="6">
        <v>0</v>
      </c>
      <c r="S507" s="6">
        <v>0</v>
      </c>
      <c r="T507" s="6">
        <v>29.877540975309</v>
      </c>
    </row>
    <row r="508" spans="1:20" ht="13" x14ac:dyDescent="0.15">
      <c r="A508" s="6">
        <v>506</v>
      </c>
      <c r="B508" s="7">
        <v>43895</v>
      </c>
      <c r="C508" s="6">
        <v>35.994252478577003</v>
      </c>
      <c r="D508" s="6">
        <v>-1.1535386484944701</v>
      </c>
      <c r="E508" s="6">
        <v>61.186713635839098</v>
      </c>
      <c r="F508" s="6">
        <v>35.994252478577003</v>
      </c>
      <c r="G508" s="6">
        <v>35.994252478577003</v>
      </c>
      <c r="H508" s="6">
        <v>-7.4335952292069001</v>
      </c>
      <c r="I508" s="6">
        <v>-7.4335952292069001</v>
      </c>
      <c r="J508" s="6">
        <v>-7.4335952292069001</v>
      </c>
      <c r="K508" s="6">
        <v>0.49015521355851599</v>
      </c>
      <c r="L508" s="6">
        <v>0.49015521355851599</v>
      </c>
      <c r="M508" s="6">
        <v>0.49015521355851599</v>
      </c>
      <c r="N508" s="6">
        <v>-7.9237504427654102</v>
      </c>
      <c r="O508" s="6">
        <v>-7.9237504427654102</v>
      </c>
      <c r="P508" s="6">
        <v>-7.9237504427654102</v>
      </c>
      <c r="Q508" s="6">
        <v>0</v>
      </c>
      <c r="R508" s="6">
        <v>0</v>
      </c>
      <c r="S508" s="6">
        <v>0</v>
      </c>
      <c r="T508" s="6">
        <v>28.560657249370099</v>
      </c>
    </row>
    <row r="509" spans="1:20" ht="13" x14ac:dyDescent="0.15">
      <c r="A509" s="6">
        <v>507</v>
      </c>
      <c r="B509" s="7">
        <v>43896</v>
      </c>
      <c r="C509" s="6">
        <v>36.314302556485302</v>
      </c>
      <c r="D509" s="6">
        <v>-5.6917239360017904</v>
      </c>
      <c r="E509" s="6">
        <v>58.230967571121703</v>
      </c>
      <c r="F509" s="6">
        <v>36.314302556485302</v>
      </c>
      <c r="G509" s="6">
        <v>36.314302556485302</v>
      </c>
      <c r="H509" s="6">
        <v>-8.9235980644977602</v>
      </c>
      <c r="I509" s="6">
        <v>-8.9235980644977602</v>
      </c>
      <c r="J509" s="6">
        <v>-8.9235980644977602</v>
      </c>
      <c r="K509" s="6">
        <v>-2.29767650643058E-2</v>
      </c>
      <c r="L509" s="6">
        <v>-2.29767650643058E-2</v>
      </c>
      <c r="M509" s="6">
        <v>-2.29767650643058E-2</v>
      </c>
      <c r="N509" s="6">
        <v>-8.9006212994334604</v>
      </c>
      <c r="O509" s="6">
        <v>-8.9006212994334604</v>
      </c>
      <c r="P509" s="6">
        <v>-8.9006212994334604</v>
      </c>
      <c r="Q509" s="6">
        <v>0</v>
      </c>
      <c r="R509" s="6">
        <v>0</v>
      </c>
      <c r="S509" s="6">
        <v>0</v>
      </c>
      <c r="T509" s="6">
        <v>27.390704491987599</v>
      </c>
    </row>
    <row r="510" spans="1:20" ht="13" x14ac:dyDescent="0.15">
      <c r="A510" s="6">
        <v>508</v>
      </c>
      <c r="B510" s="7">
        <v>43899</v>
      </c>
      <c r="C510" s="6">
        <v>37.274452790210297</v>
      </c>
      <c r="D510" s="6">
        <v>-3.9507776555779701</v>
      </c>
      <c r="E510" s="6">
        <v>61.477741346622899</v>
      </c>
      <c r="F510" s="6">
        <v>37.274452790210297</v>
      </c>
      <c r="G510" s="6">
        <v>37.274452790210297</v>
      </c>
      <c r="H510" s="6">
        <v>-8.7218603323200092</v>
      </c>
      <c r="I510" s="6">
        <v>-8.7218603323200092</v>
      </c>
      <c r="J510" s="6">
        <v>-8.7218603323200092</v>
      </c>
      <c r="K510" s="6">
        <v>1.8228906089329699</v>
      </c>
      <c r="L510" s="6">
        <v>1.8228906089329699</v>
      </c>
      <c r="M510" s="6">
        <v>1.8228906089329699</v>
      </c>
      <c r="N510" s="6">
        <v>-10.5447509412529</v>
      </c>
      <c r="O510" s="6">
        <v>-10.5447509412529</v>
      </c>
      <c r="P510" s="6">
        <v>-10.5447509412529</v>
      </c>
      <c r="Q510" s="6">
        <v>0</v>
      </c>
      <c r="R510" s="6">
        <v>0</v>
      </c>
      <c r="S510" s="6">
        <v>0</v>
      </c>
      <c r="T510" s="6">
        <v>28.552592457890299</v>
      </c>
    </row>
    <row r="511" spans="1:20" ht="13" x14ac:dyDescent="0.15">
      <c r="A511" s="6">
        <v>509</v>
      </c>
      <c r="B511" s="7">
        <v>43900</v>
      </c>
      <c r="C511" s="6">
        <v>37.594502868118703</v>
      </c>
      <c r="D511" s="6">
        <v>-3.5291219950346102</v>
      </c>
      <c r="E511" s="6">
        <v>59.145795485903498</v>
      </c>
      <c r="F511" s="6">
        <v>37.594502868118703</v>
      </c>
      <c r="G511" s="6">
        <v>37.594502868118703</v>
      </c>
      <c r="H511" s="6">
        <v>-9.8147637374226697</v>
      </c>
      <c r="I511" s="6">
        <v>-9.8147637374226697</v>
      </c>
      <c r="J511" s="6">
        <v>-9.8147637374226697</v>
      </c>
      <c r="K511" s="6">
        <v>0.845224031064996</v>
      </c>
      <c r="L511" s="6">
        <v>0.845224031064996</v>
      </c>
      <c r="M511" s="6">
        <v>0.845224031064996</v>
      </c>
      <c r="N511" s="6">
        <v>-10.6599877684876</v>
      </c>
      <c r="O511" s="6">
        <v>-10.6599877684876</v>
      </c>
      <c r="P511" s="6">
        <v>-10.6599877684876</v>
      </c>
      <c r="Q511" s="6">
        <v>0</v>
      </c>
      <c r="R511" s="6">
        <v>0</v>
      </c>
      <c r="S511" s="6">
        <v>0</v>
      </c>
      <c r="T511" s="6">
        <v>27.779739130696001</v>
      </c>
    </row>
    <row r="512" spans="1:20" ht="13" x14ac:dyDescent="0.15">
      <c r="A512" s="6">
        <v>510</v>
      </c>
      <c r="B512" s="7">
        <v>43901</v>
      </c>
      <c r="C512" s="6">
        <v>37.914552946027101</v>
      </c>
      <c r="D512" s="6">
        <v>-5.2887383462368103</v>
      </c>
      <c r="E512" s="6">
        <v>58.036615119915503</v>
      </c>
      <c r="F512" s="6">
        <v>37.914552946027101</v>
      </c>
      <c r="G512" s="6">
        <v>37.914552946027101</v>
      </c>
      <c r="H512" s="6">
        <v>-9.6187781880495695</v>
      </c>
      <c r="I512" s="6">
        <v>-9.6187781880495695</v>
      </c>
      <c r="J512" s="6">
        <v>-9.6187781880495695</v>
      </c>
      <c r="K512" s="6">
        <v>0.94874688043968702</v>
      </c>
      <c r="L512" s="6">
        <v>0.94874688043968702</v>
      </c>
      <c r="M512" s="6">
        <v>0.94874688043968702</v>
      </c>
      <c r="N512" s="6">
        <v>-10.5675250684892</v>
      </c>
      <c r="O512" s="6">
        <v>-10.5675250684892</v>
      </c>
      <c r="P512" s="6">
        <v>-10.5675250684892</v>
      </c>
      <c r="Q512" s="6">
        <v>0</v>
      </c>
      <c r="R512" s="6">
        <v>0</v>
      </c>
      <c r="S512" s="6">
        <v>0</v>
      </c>
      <c r="T512" s="6">
        <v>28.295774757977501</v>
      </c>
    </row>
    <row r="513" spans="1:20" ht="13" x14ac:dyDescent="0.15">
      <c r="A513" s="6">
        <v>511</v>
      </c>
      <c r="B513" s="7">
        <v>43902</v>
      </c>
      <c r="C513" s="6">
        <v>38.234603023935399</v>
      </c>
      <c r="D513" s="6">
        <v>-4.7350610949508098</v>
      </c>
      <c r="E513" s="6">
        <v>59.856623478475903</v>
      </c>
      <c r="F513" s="6">
        <v>38.234603023935399</v>
      </c>
      <c r="G513" s="6">
        <v>38.234603023935399</v>
      </c>
      <c r="H513" s="6">
        <v>-9.7883969661870491</v>
      </c>
      <c r="I513" s="6">
        <v>-9.7883969661870491</v>
      </c>
      <c r="J513" s="6">
        <v>-9.7883969661870491</v>
      </c>
      <c r="K513" s="6">
        <v>0.49015521355567798</v>
      </c>
      <c r="L513" s="6">
        <v>0.49015521355567798</v>
      </c>
      <c r="M513" s="6">
        <v>0.49015521355567798</v>
      </c>
      <c r="N513" s="6">
        <v>-10.2785521797427</v>
      </c>
      <c r="O513" s="6">
        <v>-10.2785521797427</v>
      </c>
      <c r="P513" s="6">
        <v>-10.2785521797427</v>
      </c>
      <c r="Q513" s="6">
        <v>0</v>
      </c>
      <c r="R513" s="6">
        <v>0</v>
      </c>
      <c r="S513" s="6">
        <v>0</v>
      </c>
      <c r="T513" s="6">
        <v>28.446206057748299</v>
      </c>
    </row>
    <row r="514" spans="1:20" ht="13" x14ac:dyDescent="0.15">
      <c r="A514" s="6">
        <v>512</v>
      </c>
      <c r="B514" s="7">
        <v>43903</v>
      </c>
      <c r="C514" s="6">
        <v>38.554653101843698</v>
      </c>
      <c r="D514" s="6">
        <v>-4.2266485911471996</v>
      </c>
      <c r="E514" s="6">
        <v>55.496920390355498</v>
      </c>
      <c r="F514" s="6">
        <v>38.554653101843698</v>
      </c>
      <c r="G514" s="6">
        <v>38.554653101843698</v>
      </c>
      <c r="H514" s="6">
        <v>-9.8307364691274302</v>
      </c>
      <c r="I514" s="6">
        <v>-9.8307364691274302</v>
      </c>
      <c r="J514" s="6">
        <v>-9.8307364691274302</v>
      </c>
      <c r="K514" s="6">
        <v>-2.2976765071476401E-2</v>
      </c>
      <c r="L514" s="6">
        <v>-2.2976765071476401E-2</v>
      </c>
      <c r="M514" s="6">
        <v>-2.2976765071476401E-2</v>
      </c>
      <c r="N514" s="6">
        <v>-9.8077597040559503</v>
      </c>
      <c r="O514" s="6">
        <v>-9.8077597040559503</v>
      </c>
      <c r="P514" s="6">
        <v>-9.8077597040559503</v>
      </c>
      <c r="Q514" s="6">
        <v>0</v>
      </c>
      <c r="R514" s="6">
        <v>0</v>
      </c>
      <c r="S514" s="6">
        <v>0</v>
      </c>
      <c r="T514" s="6">
        <v>28.7239166327163</v>
      </c>
    </row>
    <row r="515" spans="1:20" ht="13" x14ac:dyDescent="0.15">
      <c r="A515" s="6">
        <v>513</v>
      </c>
      <c r="B515" s="7">
        <v>43906</v>
      </c>
      <c r="C515" s="6">
        <v>39.514803335568701</v>
      </c>
      <c r="D515" s="6">
        <v>-3.0965019916902699E-2</v>
      </c>
      <c r="E515" s="6">
        <v>65.102729251610796</v>
      </c>
      <c r="F515" s="6">
        <v>39.514803335568701</v>
      </c>
      <c r="G515" s="6">
        <v>39.514803335568701</v>
      </c>
      <c r="H515" s="6">
        <v>-5.6711155196518304</v>
      </c>
      <c r="I515" s="6">
        <v>-5.6711155196518304</v>
      </c>
      <c r="J515" s="6">
        <v>-5.6711155196518304</v>
      </c>
      <c r="K515" s="6">
        <v>1.8228906089346799</v>
      </c>
      <c r="L515" s="6">
        <v>1.8228906089346799</v>
      </c>
      <c r="M515" s="6">
        <v>1.8228906089346799</v>
      </c>
      <c r="N515" s="6">
        <v>-7.4940061285865198</v>
      </c>
      <c r="O515" s="6">
        <v>-7.4940061285865198</v>
      </c>
      <c r="P515" s="6">
        <v>-7.4940061285865198</v>
      </c>
      <c r="Q515" s="6">
        <v>0</v>
      </c>
      <c r="R515" s="6">
        <v>0</v>
      </c>
      <c r="S515" s="6">
        <v>0</v>
      </c>
      <c r="T515" s="6">
        <v>33.843687815916901</v>
      </c>
    </row>
    <row r="516" spans="1:20" ht="13" x14ac:dyDescent="0.15">
      <c r="A516" s="6">
        <v>514</v>
      </c>
      <c r="B516" s="7">
        <v>43907</v>
      </c>
      <c r="C516" s="6">
        <v>39.834853413477099</v>
      </c>
      <c r="D516" s="6">
        <v>2.77371302158065</v>
      </c>
      <c r="E516" s="6">
        <v>66.695646277978099</v>
      </c>
      <c r="F516" s="6">
        <v>39.834853413477099</v>
      </c>
      <c r="G516" s="6">
        <v>39.834853413477099</v>
      </c>
      <c r="H516" s="6">
        <v>-5.6506452147683</v>
      </c>
      <c r="I516" s="6">
        <v>-5.6506452147683</v>
      </c>
      <c r="J516" s="6">
        <v>-5.6506452147683</v>
      </c>
      <c r="K516" s="6">
        <v>0.84522403106353805</v>
      </c>
      <c r="L516" s="6">
        <v>0.84522403106353805</v>
      </c>
      <c r="M516" s="6">
        <v>0.84522403106353805</v>
      </c>
      <c r="N516" s="6">
        <v>-6.4958692458318401</v>
      </c>
      <c r="O516" s="6">
        <v>-6.4958692458318401</v>
      </c>
      <c r="P516" s="6">
        <v>-6.4958692458318401</v>
      </c>
      <c r="Q516" s="6">
        <v>0</v>
      </c>
      <c r="R516" s="6">
        <v>0</v>
      </c>
      <c r="S516" s="6">
        <v>0</v>
      </c>
      <c r="T516" s="6">
        <v>34.184208198708802</v>
      </c>
    </row>
    <row r="517" spans="1:20" ht="13" x14ac:dyDescent="0.15">
      <c r="A517" s="6">
        <v>515</v>
      </c>
      <c r="B517" s="7">
        <v>43908</v>
      </c>
      <c r="C517" s="6">
        <v>40.154903491385497</v>
      </c>
      <c r="D517" s="6">
        <v>5.3239726134082099</v>
      </c>
      <c r="E517" s="6">
        <v>68.065833434526198</v>
      </c>
      <c r="F517" s="6">
        <v>40.154903491385497</v>
      </c>
      <c r="G517" s="6">
        <v>40.154903491385497</v>
      </c>
      <c r="H517" s="6">
        <v>-4.4754491912192602</v>
      </c>
      <c r="I517" s="6">
        <v>-4.4754491912192602</v>
      </c>
      <c r="J517" s="6">
        <v>-4.4754491912192602</v>
      </c>
      <c r="K517" s="6">
        <v>0.94874688043617605</v>
      </c>
      <c r="L517" s="6">
        <v>0.94874688043617605</v>
      </c>
      <c r="M517" s="6">
        <v>0.94874688043617605</v>
      </c>
      <c r="N517" s="6">
        <v>-5.4241960716554303</v>
      </c>
      <c r="O517" s="6">
        <v>-5.4241960716554303</v>
      </c>
      <c r="P517" s="6">
        <v>-5.4241960716554303</v>
      </c>
      <c r="Q517" s="6">
        <v>0</v>
      </c>
      <c r="R517" s="6">
        <v>0</v>
      </c>
      <c r="S517" s="6">
        <v>0</v>
      </c>
      <c r="T517" s="6">
        <v>35.679454300166199</v>
      </c>
    </row>
    <row r="518" spans="1:20" ht="13" x14ac:dyDescent="0.15">
      <c r="A518" s="6">
        <v>516</v>
      </c>
      <c r="B518" s="7">
        <v>43909</v>
      </c>
      <c r="C518" s="6">
        <v>40.474953569293803</v>
      </c>
      <c r="D518" s="6">
        <v>5.9801713261065403</v>
      </c>
      <c r="E518" s="6">
        <v>68.107947125612498</v>
      </c>
      <c r="F518" s="6">
        <v>40.474953569293803</v>
      </c>
      <c r="G518" s="6">
        <v>40.474953569293803</v>
      </c>
      <c r="H518" s="6">
        <v>-3.8133622527527802</v>
      </c>
      <c r="I518" s="6">
        <v>-3.8133622527527802</v>
      </c>
      <c r="J518" s="6">
        <v>-3.8133622527527802</v>
      </c>
      <c r="K518" s="6">
        <v>0.49015521355283997</v>
      </c>
      <c r="L518" s="6">
        <v>0.49015521355283997</v>
      </c>
      <c r="M518" s="6">
        <v>0.49015521355283997</v>
      </c>
      <c r="N518" s="6">
        <v>-4.3035174663056202</v>
      </c>
      <c r="O518" s="6">
        <v>-4.3035174663056202</v>
      </c>
      <c r="P518" s="6">
        <v>-4.3035174663056202</v>
      </c>
      <c r="Q518" s="6">
        <v>0</v>
      </c>
      <c r="R518" s="6">
        <v>0</v>
      </c>
      <c r="S518" s="6">
        <v>0</v>
      </c>
      <c r="T518" s="6">
        <v>36.661591316540999</v>
      </c>
    </row>
    <row r="519" spans="1:20" ht="13" x14ac:dyDescent="0.15">
      <c r="A519" s="6">
        <v>517</v>
      </c>
      <c r="B519" s="7">
        <v>43910</v>
      </c>
      <c r="C519" s="6">
        <v>40.795003647202101</v>
      </c>
      <c r="D519" s="6">
        <v>6.1485067738050896</v>
      </c>
      <c r="E519" s="6">
        <v>69.190617440859697</v>
      </c>
      <c r="F519" s="6">
        <v>40.795003647202101</v>
      </c>
      <c r="G519" s="6">
        <v>40.795003647202101</v>
      </c>
      <c r="H519" s="6">
        <v>-3.1808901436972001</v>
      </c>
      <c r="I519" s="6">
        <v>-3.1808901436972001</v>
      </c>
      <c r="J519" s="6">
        <v>-3.1808901436972001</v>
      </c>
      <c r="K519" s="6">
        <v>-2.29767650608588E-2</v>
      </c>
      <c r="L519" s="6">
        <v>-2.29767650608588E-2</v>
      </c>
      <c r="M519" s="6">
        <v>-2.29767650608588E-2</v>
      </c>
      <c r="N519" s="6">
        <v>-3.1579133786363398</v>
      </c>
      <c r="O519" s="6">
        <v>-3.1579133786363398</v>
      </c>
      <c r="P519" s="6">
        <v>-3.1579133786363398</v>
      </c>
      <c r="Q519" s="6">
        <v>0</v>
      </c>
      <c r="R519" s="6">
        <v>0</v>
      </c>
      <c r="S519" s="6">
        <v>0</v>
      </c>
      <c r="T519" s="6">
        <v>37.614113503504903</v>
      </c>
    </row>
    <row r="520" spans="1:20" ht="13" x14ac:dyDescent="0.15">
      <c r="A520" s="6">
        <v>518</v>
      </c>
      <c r="B520" s="7">
        <v>43913</v>
      </c>
      <c r="C520" s="6">
        <v>41.755153880927203</v>
      </c>
      <c r="D520" s="6">
        <v>13.494017592615201</v>
      </c>
      <c r="E520" s="6">
        <v>77.061676853004002</v>
      </c>
      <c r="F520" s="6">
        <v>41.755153880927203</v>
      </c>
      <c r="G520" s="6">
        <v>41.755153880927203</v>
      </c>
      <c r="H520" s="6">
        <v>2.0287804251166701</v>
      </c>
      <c r="I520" s="6">
        <v>2.0287804251166701</v>
      </c>
      <c r="J520" s="6">
        <v>2.0287804251166701</v>
      </c>
      <c r="K520" s="6">
        <v>1.82289060893518</v>
      </c>
      <c r="L520" s="6">
        <v>1.82289060893518</v>
      </c>
      <c r="M520" s="6">
        <v>1.82289060893518</v>
      </c>
      <c r="N520" s="6">
        <v>0.205889816181481</v>
      </c>
      <c r="O520" s="6">
        <v>0.205889816181481</v>
      </c>
      <c r="P520" s="6">
        <v>0.205889816181481</v>
      </c>
      <c r="Q520" s="6">
        <v>0</v>
      </c>
      <c r="R520" s="6">
        <v>0</v>
      </c>
      <c r="S520" s="6">
        <v>0</v>
      </c>
      <c r="T520" s="6">
        <v>43.783934306043797</v>
      </c>
    </row>
    <row r="521" spans="1:20" ht="13" x14ac:dyDescent="0.15">
      <c r="A521" s="6">
        <v>519</v>
      </c>
      <c r="B521" s="7">
        <v>43914</v>
      </c>
      <c r="C521" s="6">
        <v>42.075203958835502</v>
      </c>
      <c r="D521" s="6">
        <v>14.7072962518662</v>
      </c>
      <c r="E521" s="6">
        <v>76.046082084210994</v>
      </c>
      <c r="F521" s="6">
        <v>42.075203958835502</v>
      </c>
      <c r="G521" s="6">
        <v>42.075203958835502</v>
      </c>
      <c r="H521" s="6">
        <v>2.0832431950808501</v>
      </c>
      <c r="I521" s="6">
        <v>2.0832431950808501</v>
      </c>
      <c r="J521" s="6">
        <v>2.0832431950808501</v>
      </c>
      <c r="K521" s="6">
        <v>0.84522403106370503</v>
      </c>
      <c r="L521" s="6">
        <v>0.84522403106370503</v>
      </c>
      <c r="M521" s="6">
        <v>0.84522403106370503</v>
      </c>
      <c r="N521" s="6">
        <v>1.2380191640171401</v>
      </c>
      <c r="O521" s="6">
        <v>1.2380191640171401</v>
      </c>
      <c r="P521" s="6">
        <v>1.2380191640171401</v>
      </c>
      <c r="Q521" s="6">
        <v>0</v>
      </c>
      <c r="R521" s="6">
        <v>0</v>
      </c>
      <c r="S521" s="6">
        <v>0</v>
      </c>
      <c r="T521" s="6">
        <v>44.158447153916399</v>
      </c>
    </row>
    <row r="522" spans="1:20" ht="13" x14ac:dyDescent="0.15">
      <c r="A522" s="6">
        <v>520</v>
      </c>
      <c r="B522" s="7">
        <v>43915</v>
      </c>
      <c r="C522" s="6">
        <v>42.3952540367439</v>
      </c>
      <c r="D522" s="6">
        <v>10.001243786330001</v>
      </c>
      <c r="E522" s="6">
        <v>76.3314097629016</v>
      </c>
      <c r="F522" s="6">
        <v>42.3952540367439</v>
      </c>
      <c r="G522" s="6">
        <v>42.3952540367439</v>
      </c>
      <c r="H522" s="6">
        <v>3.1479421348278298</v>
      </c>
      <c r="I522" s="6">
        <v>3.1479421348278298</v>
      </c>
      <c r="J522" s="6">
        <v>3.1479421348278298</v>
      </c>
      <c r="K522" s="6">
        <v>0.94874688043655997</v>
      </c>
      <c r="L522" s="6">
        <v>0.94874688043655997</v>
      </c>
      <c r="M522" s="6">
        <v>0.94874688043655997</v>
      </c>
      <c r="N522" s="6">
        <v>2.1991952543912698</v>
      </c>
      <c r="O522" s="6">
        <v>2.1991952543912698</v>
      </c>
      <c r="P522" s="6">
        <v>2.1991952543912698</v>
      </c>
      <c r="Q522" s="6">
        <v>0</v>
      </c>
      <c r="R522" s="6">
        <v>0</v>
      </c>
      <c r="S522" s="6">
        <v>0</v>
      </c>
      <c r="T522" s="6">
        <v>45.543196171571701</v>
      </c>
    </row>
    <row r="523" spans="1:20" ht="13" x14ac:dyDescent="0.15">
      <c r="A523" s="6">
        <v>521</v>
      </c>
      <c r="B523" s="7">
        <v>43916</v>
      </c>
      <c r="C523" s="6">
        <v>42.715304114652199</v>
      </c>
      <c r="D523" s="6">
        <v>14.8676098162562</v>
      </c>
      <c r="E523" s="6">
        <v>78.170949021172802</v>
      </c>
      <c r="F523" s="6">
        <v>42.715304114652199</v>
      </c>
      <c r="G523" s="6">
        <v>42.715304114652199</v>
      </c>
      <c r="H523" s="6">
        <v>3.5679187867637498</v>
      </c>
      <c r="I523" s="6">
        <v>3.5679187867637498</v>
      </c>
      <c r="J523" s="6">
        <v>3.5679187867637498</v>
      </c>
      <c r="K523" s="6">
        <v>0.49015521355803598</v>
      </c>
      <c r="L523" s="6">
        <v>0.49015521355803598</v>
      </c>
      <c r="M523" s="6">
        <v>0.49015521355803598</v>
      </c>
      <c r="N523" s="6">
        <v>3.07776357320571</v>
      </c>
      <c r="O523" s="6">
        <v>3.07776357320571</v>
      </c>
      <c r="P523" s="6">
        <v>3.07776357320571</v>
      </c>
      <c r="Q523" s="6">
        <v>0</v>
      </c>
      <c r="R523" s="6">
        <v>0</v>
      </c>
      <c r="S523" s="6">
        <v>0</v>
      </c>
      <c r="T523" s="6">
        <v>46.283222901416003</v>
      </c>
    </row>
    <row r="524" spans="1:20" ht="13" x14ac:dyDescent="0.15">
      <c r="A524" s="6">
        <v>522</v>
      </c>
      <c r="B524" s="7">
        <v>43917</v>
      </c>
      <c r="C524" s="6">
        <v>43.035354192560597</v>
      </c>
      <c r="D524" s="6">
        <v>13.29207065302</v>
      </c>
      <c r="E524" s="6">
        <v>80.417315272221799</v>
      </c>
      <c r="F524" s="6">
        <v>43.035354192560597</v>
      </c>
      <c r="G524" s="6">
        <v>43.035354192560597</v>
      </c>
      <c r="H524" s="6">
        <v>3.8420879331742901</v>
      </c>
      <c r="I524" s="6">
        <v>3.8420879331742901</v>
      </c>
      <c r="J524" s="6">
        <v>3.8420879331742901</v>
      </c>
      <c r="K524" s="6">
        <v>-2.29767650634711E-2</v>
      </c>
      <c r="L524" s="6">
        <v>-2.29767650634711E-2</v>
      </c>
      <c r="M524" s="6">
        <v>-2.29767650634711E-2</v>
      </c>
      <c r="N524" s="6">
        <v>3.8650646982377599</v>
      </c>
      <c r="O524" s="6">
        <v>3.8650646982377599</v>
      </c>
      <c r="P524" s="6">
        <v>3.8650646982377599</v>
      </c>
      <c r="Q524" s="6">
        <v>0</v>
      </c>
      <c r="R524" s="6">
        <v>0</v>
      </c>
      <c r="S524" s="6">
        <v>0</v>
      </c>
      <c r="T524" s="6">
        <v>46.877442125734802</v>
      </c>
    </row>
    <row r="525" spans="1:20" ht="13" x14ac:dyDescent="0.15">
      <c r="A525" s="6">
        <v>523</v>
      </c>
      <c r="B525" s="7">
        <v>43920</v>
      </c>
      <c r="C525" s="6">
        <v>43.995504426285599</v>
      </c>
      <c r="D525" s="6">
        <v>19.2289603182688</v>
      </c>
      <c r="E525" s="6">
        <v>83.199585536778201</v>
      </c>
      <c r="F525" s="6">
        <v>43.995504426285599</v>
      </c>
      <c r="G525" s="6">
        <v>43.995504426285599</v>
      </c>
      <c r="H525" s="6">
        <v>7.4605546334733601</v>
      </c>
      <c r="I525" s="6">
        <v>7.4605546334733601</v>
      </c>
      <c r="J525" s="6">
        <v>7.4605546334733601</v>
      </c>
      <c r="K525" s="6">
        <v>1.82289060893568</v>
      </c>
      <c r="L525" s="6">
        <v>1.82289060893568</v>
      </c>
      <c r="M525" s="6">
        <v>1.82289060893568</v>
      </c>
      <c r="N525" s="6">
        <v>5.6376640245376803</v>
      </c>
      <c r="O525" s="6">
        <v>5.6376640245376803</v>
      </c>
      <c r="P525" s="6">
        <v>5.6376640245376803</v>
      </c>
      <c r="Q525" s="6">
        <v>0</v>
      </c>
      <c r="R525" s="6">
        <v>0</v>
      </c>
      <c r="S525" s="6">
        <v>0</v>
      </c>
      <c r="T525" s="6">
        <v>51.456059059758999</v>
      </c>
    </row>
    <row r="526" spans="1:20" ht="13" x14ac:dyDescent="0.15">
      <c r="A526" s="6">
        <v>524</v>
      </c>
      <c r="B526" s="7">
        <v>43921</v>
      </c>
      <c r="C526" s="6">
        <v>44.5324573887833</v>
      </c>
      <c r="D526" s="6">
        <v>17.0074283943914</v>
      </c>
      <c r="E526" s="6">
        <v>84.039376618641597</v>
      </c>
      <c r="F526" s="6">
        <v>44.5324573887833</v>
      </c>
      <c r="G526" s="6">
        <v>44.5324573887833</v>
      </c>
      <c r="H526" s="6">
        <v>6.8775555808094504</v>
      </c>
      <c r="I526" s="6">
        <v>6.8775555808094504</v>
      </c>
      <c r="J526" s="6">
        <v>6.8775555808094504</v>
      </c>
      <c r="K526" s="6">
        <v>0.84522403106681898</v>
      </c>
      <c r="L526" s="6">
        <v>0.84522403106681898</v>
      </c>
      <c r="M526" s="6">
        <v>0.84522403106681898</v>
      </c>
      <c r="N526" s="6">
        <v>6.0323315497426302</v>
      </c>
      <c r="O526" s="6">
        <v>6.0323315497426302</v>
      </c>
      <c r="P526" s="6">
        <v>6.0323315497426302</v>
      </c>
      <c r="Q526" s="6">
        <v>0</v>
      </c>
      <c r="R526" s="6">
        <v>0</v>
      </c>
      <c r="S526" s="6">
        <v>0</v>
      </c>
      <c r="T526" s="6">
        <v>51.410012969592799</v>
      </c>
    </row>
    <row r="527" spans="1:20" ht="13" x14ac:dyDescent="0.15">
      <c r="A527" s="6">
        <v>525</v>
      </c>
      <c r="B527" s="7">
        <v>43922</v>
      </c>
      <c r="C527" s="6">
        <v>45.069410351281</v>
      </c>
      <c r="D527" s="6">
        <v>20.748230265373198</v>
      </c>
      <c r="E527" s="6">
        <v>84.166912321322599</v>
      </c>
      <c r="F527" s="6">
        <v>45.069410351281</v>
      </c>
      <c r="G527" s="6">
        <v>45.069410351281</v>
      </c>
      <c r="H527" s="6">
        <v>7.2840471078448497</v>
      </c>
      <c r="I527" s="6">
        <v>7.2840471078448497</v>
      </c>
      <c r="J527" s="6">
        <v>7.2840471078448497</v>
      </c>
      <c r="K527" s="6">
        <v>0.94874688043572897</v>
      </c>
      <c r="L527" s="6">
        <v>0.94874688043572897</v>
      </c>
      <c r="M527" s="6">
        <v>0.94874688043572897</v>
      </c>
      <c r="N527" s="6">
        <v>6.3353002274091201</v>
      </c>
      <c r="O527" s="6">
        <v>6.3353002274091201</v>
      </c>
      <c r="P527" s="6">
        <v>6.3353002274091201</v>
      </c>
      <c r="Q527" s="6">
        <v>0</v>
      </c>
      <c r="R527" s="6">
        <v>0</v>
      </c>
      <c r="S527" s="6">
        <v>0</v>
      </c>
      <c r="T527" s="6">
        <v>52.353457459125799</v>
      </c>
    </row>
    <row r="528" spans="1:20" ht="13" x14ac:dyDescent="0.15">
      <c r="A528" s="6">
        <v>526</v>
      </c>
      <c r="B528" s="7">
        <v>43923</v>
      </c>
      <c r="C528" s="6">
        <v>45.606363313778601</v>
      </c>
      <c r="D528" s="6">
        <v>22.7423060234959</v>
      </c>
      <c r="E528" s="6">
        <v>84.876630136674294</v>
      </c>
      <c r="F528" s="6">
        <v>45.606363313778601</v>
      </c>
      <c r="G528" s="6">
        <v>45.606363313778601</v>
      </c>
      <c r="H528" s="6">
        <v>7.0436740273264604</v>
      </c>
      <c r="I528" s="6">
        <v>7.0436740273264604</v>
      </c>
      <c r="J528" s="6">
        <v>7.0436740273264604</v>
      </c>
      <c r="K528" s="6">
        <v>0.49015521355519798</v>
      </c>
      <c r="L528" s="6">
        <v>0.49015521355519798</v>
      </c>
      <c r="M528" s="6">
        <v>0.49015521355519798</v>
      </c>
      <c r="N528" s="6">
        <v>6.5535188137712597</v>
      </c>
      <c r="O528" s="6">
        <v>6.5535188137712597</v>
      </c>
      <c r="P528" s="6">
        <v>6.5535188137712597</v>
      </c>
      <c r="Q528" s="6">
        <v>0</v>
      </c>
      <c r="R528" s="6">
        <v>0</v>
      </c>
      <c r="S528" s="6">
        <v>0</v>
      </c>
      <c r="T528" s="6">
        <v>52.650037341105097</v>
      </c>
    </row>
    <row r="529" spans="1:20" ht="13" x14ac:dyDescent="0.15">
      <c r="A529" s="6">
        <v>527</v>
      </c>
      <c r="B529" s="7">
        <v>43924</v>
      </c>
      <c r="C529" s="6">
        <v>46.143316276276302</v>
      </c>
      <c r="D529" s="6">
        <v>19.513322944743901</v>
      </c>
      <c r="E529" s="6">
        <v>87.145049603326001</v>
      </c>
      <c r="F529" s="6">
        <v>46.143316276276302</v>
      </c>
      <c r="G529" s="6">
        <v>46.143316276276302</v>
      </c>
      <c r="H529" s="6">
        <v>6.6724913553632303</v>
      </c>
      <c r="I529" s="6">
        <v>6.6724913553632303</v>
      </c>
      <c r="J529" s="6">
        <v>6.6724913553632303</v>
      </c>
      <c r="K529" s="6">
        <v>-2.2976765061524702E-2</v>
      </c>
      <c r="L529" s="6">
        <v>-2.2976765061524702E-2</v>
      </c>
      <c r="M529" s="6">
        <v>-2.2976765061524702E-2</v>
      </c>
      <c r="N529" s="6">
        <v>6.6954681204247501</v>
      </c>
      <c r="O529" s="6">
        <v>6.6954681204247501</v>
      </c>
      <c r="P529" s="6">
        <v>6.6954681204247501</v>
      </c>
      <c r="Q529" s="6">
        <v>0</v>
      </c>
      <c r="R529" s="6">
        <v>0</v>
      </c>
      <c r="S529" s="6">
        <v>0</v>
      </c>
      <c r="T529" s="6">
        <v>52.815807631639501</v>
      </c>
    </row>
    <row r="530" spans="1:20" ht="13" x14ac:dyDescent="0.15">
      <c r="A530" s="6">
        <v>528</v>
      </c>
      <c r="B530" s="7">
        <v>43927</v>
      </c>
      <c r="C530" s="6">
        <v>47.754175163769403</v>
      </c>
      <c r="D530" s="6">
        <v>26.566564263360402</v>
      </c>
      <c r="E530" s="6">
        <v>87.473592048744393</v>
      </c>
      <c r="F530" s="6">
        <v>47.754175163769403</v>
      </c>
      <c r="G530" s="6">
        <v>47.754175163769403</v>
      </c>
      <c r="H530" s="6">
        <v>8.5851500200915503</v>
      </c>
      <c r="I530" s="6">
        <v>8.5851500200915503</v>
      </c>
      <c r="J530" s="6">
        <v>8.5851500200915503</v>
      </c>
      <c r="K530" s="6">
        <v>1.8228906089386201</v>
      </c>
      <c r="L530" s="6">
        <v>1.8228906089386201</v>
      </c>
      <c r="M530" s="6">
        <v>1.8228906089386201</v>
      </c>
      <c r="N530" s="6">
        <v>6.7622594111529297</v>
      </c>
      <c r="O530" s="6">
        <v>6.7622594111529297</v>
      </c>
      <c r="P530" s="6">
        <v>6.7622594111529297</v>
      </c>
      <c r="Q530" s="6">
        <v>0</v>
      </c>
      <c r="R530" s="6">
        <v>0</v>
      </c>
      <c r="S530" s="6">
        <v>0</v>
      </c>
      <c r="T530" s="6">
        <v>56.339325183861</v>
      </c>
    </row>
    <row r="531" spans="1:20" ht="13" x14ac:dyDescent="0.15">
      <c r="A531" s="6">
        <v>529</v>
      </c>
      <c r="B531" s="7">
        <v>43928</v>
      </c>
      <c r="C531" s="6">
        <v>48.291128126267203</v>
      </c>
      <c r="D531" s="6">
        <v>22.9235916062987</v>
      </c>
      <c r="E531" s="6">
        <v>86.763540016476099</v>
      </c>
      <c r="F531" s="6">
        <v>48.291128126267203</v>
      </c>
      <c r="G531" s="6">
        <v>48.291128126267203</v>
      </c>
      <c r="H531" s="6">
        <v>7.5443335915486003</v>
      </c>
      <c r="I531" s="6">
        <v>7.5443335915486003</v>
      </c>
      <c r="J531" s="6">
        <v>7.5443335915486003</v>
      </c>
      <c r="K531" s="6">
        <v>0.84522403106617405</v>
      </c>
      <c r="L531" s="6">
        <v>0.84522403106617405</v>
      </c>
      <c r="M531" s="6">
        <v>0.84522403106617405</v>
      </c>
      <c r="N531" s="6">
        <v>6.6991095604824196</v>
      </c>
      <c r="O531" s="6">
        <v>6.6991095604824196</v>
      </c>
      <c r="P531" s="6">
        <v>6.6991095604824196</v>
      </c>
      <c r="Q531" s="6">
        <v>0</v>
      </c>
      <c r="R531" s="6">
        <v>0</v>
      </c>
      <c r="S531" s="6">
        <v>0</v>
      </c>
      <c r="T531" s="6">
        <v>55.835461717815797</v>
      </c>
    </row>
    <row r="532" spans="1:20" ht="13" x14ac:dyDescent="0.15">
      <c r="A532" s="6">
        <v>530</v>
      </c>
      <c r="B532" s="7">
        <v>43929</v>
      </c>
      <c r="C532" s="6">
        <v>48.828081088764698</v>
      </c>
      <c r="D532" s="6">
        <v>26.055612600377</v>
      </c>
      <c r="E532" s="6">
        <v>88.319141562288905</v>
      </c>
      <c r="F532" s="6">
        <v>48.828081088764698</v>
      </c>
      <c r="G532" s="6">
        <v>48.828081088764698</v>
      </c>
      <c r="H532" s="6">
        <v>7.5583064704559</v>
      </c>
      <c r="I532" s="6">
        <v>7.5583064704559</v>
      </c>
      <c r="J532" s="6">
        <v>7.5583064704559</v>
      </c>
      <c r="K532" s="6">
        <v>0.94874688043757904</v>
      </c>
      <c r="L532" s="6">
        <v>0.94874688043757904</v>
      </c>
      <c r="M532" s="6">
        <v>0.94874688043757904</v>
      </c>
      <c r="N532" s="6">
        <v>6.6095595900183204</v>
      </c>
      <c r="O532" s="6">
        <v>6.6095595900183204</v>
      </c>
      <c r="P532" s="6">
        <v>6.6095595900183204</v>
      </c>
      <c r="Q532" s="6">
        <v>0</v>
      </c>
      <c r="R532" s="6">
        <v>0</v>
      </c>
      <c r="S532" s="6">
        <v>0</v>
      </c>
      <c r="T532" s="6">
        <v>56.386387559220601</v>
      </c>
    </row>
    <row r="533" spans="1:20" ht="13" x14ac:dyDescent="0.15">
      <c r="A533" s="6">
        <v>531</v>
      </c>
      <c r="B533" s="7">
        <v>43930</v>
      </c>
      <c r="C533" s="6">
        <v>49.365034051262498</v>
      </c>
      <c r="D533" s="6">
        <v>24.181062100557799</v>
      </c>
      <c r="E533" s="6">
        <v>90.185356579098197</v>
      </c>
      <c r="F533" s="6">
        <v>49.365034051262498</v>
      </c>
      <c r="G533" s="6">
        <v>49.365034051262498</v>
      </c>
      <c r="H533" s="6">
        <v>6.9922042375627802</v>
      </c>
      <c r="I533" s="6">
        <v>6.9922042375627802</v>
      </c>
      <c r="J533" s="6">
        <v>6.9922042375627802</v>
      </c>
      <c r="K533" s="6">
        <v>0.49015521355637798</v>
      </c>
      <c r="L533" s="6">
        <v>0.49015521355637798</v>
      </c>
      <c r="M533" s="6">
        <v>0.49015521355637798</v>
      </c>
      <c r="N533" s="6">
        <v>6.5020490240063999</v>
      </c>
      <c r="O533" s="6">
        <v>6.5020490240063999</v>
      </c>
      <c r="P533" s="6">
        <v>6.5020490240063999</v>
      </c>
      <c r="Q533" s="6">
        <v>0</v>
      </c>
      <c r="R533" s="6">
        <v>0</v>
      </c>
      <c r="S533" s="6">
        <v>0</v>
      </c>
      <c r="T533" s="6">
        <v>56.357238288825201</v>
      </c>
    </row>
    <row r="534" spans="1:20" ht="13" x14ac:dyDescent="0.15">
      <c r="A534" s="6">
        <v>532</v>
      </c>
      <c r="B534" s="7">
        <v>43934</v>
      </c>
      <c r="C534" s="6">
        <v>51.512845901253201</v>
      </c>
      <c r="D534" s="6">
        <v>25.221255485516501</v>
      </c>
      <c r="E534" s="6">
        <v>91.901130596000499</v>
      </c>
      <c r="F534" s="6">
        <v>51.512845901253201</v>
      </c>
      <c r="G534" s="6">
        <v>51.512845901253201</v>
      </c>
      <c r="H534" s="6">
        <v>7.8306208755412001</v>
      </c>
      <c r="I534" s="6">
        <v>7.8306208755412001</v>
      </c>
      <c r="J534" s="6">
        <v>7.8306208755412001</v>
      </c>
      <c r="K534" s="6">
        <v>1.8228906089391199</v>
      </c>
      <c r="L534" s="6">
        <v>1.8228906089391199</v>
      </c>
      <c r="M534" s="6">
        <v>1.8228906089391199</v>
      </c>
      <c r="N534" s="6">
        <v>6.0077302666020804</v>
      </c>
      <c r="O534" s="6">
        <v>6.0077302666020804</v>
      </c>
      <c r="P534" s="6">
        <v>6.0077302666020804</v>
      </c>
      <c r="Q534" s="6">
        <v>0</v>
      </c>
      <c r="R534" s="6">
        <v>0</v>
      </c>
      <c r="S534" s="6">
        <v>0</v>
      </c>
      <c r="T534" s="6">
        <v>59.3434667767945</v>
      </c>
    </row>
    <row r="535" spans="1:20" ht="13" x14ac:dyDescent="0.15">
      <c r="A535" s="6">
        <v>533</v>
      </c>
      <c r="B535" s="7">
        <v>43935</v>
      </c>
      <c r="C535" s="6">
        <v>52.049798863750901</v>
      </c>
      <c r="D535" s="6">
        <v>25.868974827845001</v>
      </c>
      <c r="E535" s="6">
        <v>91.425274743029902</v>
      </c>
      <c r="F535" s="6">
        <v>52.049798863750901</v>
      </c>
      <c r="G535" s="6">
        <v>52.049798863750901</v>
      </c>
      <c r="H535" s="6">
        <v>6.7259893346949999</v>
      </c>
      <c r="I535" s="6">
        <v>6.7259893346949999</v>
      </c>
      <c r="J535" s="6">
        <v>6.7259893346949999</v>
      </c>
      <c r="K535" s="6">
        <v>0.84522403106552901</v>
      </c>
      <c r="L535" s="6">
        <v>0.84522403106552901</v>
      </c>
      <c r="M535" s="6">
        <v>0.84522403106552901</v>
      </c>
      <c r="N535" s="6">
        <v>5.8807653036294703</v>
      </c>
      <c r="O535" s="6">
        <v>5.8807653036294703</v>
      </c>
      <c r="P535" s="6">
        <v>5.8807653036294703</v>
      </c>
      <c r="Q535" s="6">
        <v>0</v>
      </c>
      <c r="R535" s="6">
        <v>0</v>
      </c>
      <c r="S535" s="6">
        <v>0</v>
      </c>
      <c r="T535" s="6">
        <v>58.775788198445902</v>
      </c>
    </row>
    <row r="536" spans="1:20" ht="13" x14ac:dyDescent="0.15">
      <c r="A536" s="6">
        <v>534</v>
      </c>
      <c r="B536" s="7">
        <v>43936</v>
      </c>
      <c r="C536" s="6">
        <v>52.586751826248602</v>
      </c>
      <c r="D536" s="6">
        <v>26.7970026285352</v>
      </c>
      <c r="E536" s="6">
        <v>91.074601298402001</v>
      </c>
      <c r="F536" s="6">
        <v>52.586751826248602</v>
      </c>
      <c r="G536" s="6">
        <v>52.586751826248602</v>
      </c>
      <c r="H536" s="6">
        <v>6.6993125300734899</v>
      </c>
      <c r="I536" s="6">
        <v>6.6993125300734899</v>
      </c>
      <c r="J536" s="6">
        <v>6.6993125300734899</v>
      </c>
      <c r="K536" s="6">
        <v>0.94874688043674804</v>
      </c>
      <c r="L536" s="6">
        <v>0.94874688043674804</v>
      </c>
      <c r="M536" s="6">
        <v>0.94874688043674804</v>
      </c>
      <c r="N536" s="6">
        <v>5.7505656496367399</v>
      </c>
      <c r="O536" s="6">
        <v>5.7505656496367399</v>
      </c>
      <c r="P536" s="6">
        <v>5.7505656496367399</v>
      </c>
      <c r="Q536" s="6">
        <v>0</v>
      </c>
      <c r="R536" s="6">
        <v>0</v>
      </c>
      <c r="S536" s="6">
        <v>0</v>
      </c>
      <c r="T536" s="6">
        <v>59.2860643563221</v>
      </c>
    </row>
    <row r="537" spans="1:20" ht="13" x14ac:dyDescent="0.15">
      <c r="A537" s="6">
        <v>535</v>
      </c>
      <c r="B537" s="7">
        <v>43937</v>
      </c>
      <c r="C537" s="6">
        <v>53.123704788746302</v>
      </c>
      <c r="D537" s="6">
        <v>27.958701188308599</v>
      </c>
      <c r="E537" s="6">
        <v>93.213419400373397</v>
      </c>
      <c r="F537" s="6">
        <v>53.123704788746302</v>
      </c>
      <c r="G537" s="6">
        <v>53.123704788746302</v>
      </c>
      <c r="H537" s="6">
        <v>6.1029429236912298</v>
      </c>
      <c r="I537" s="6">
        <v>6.1029429236912298</v>
      </c>
      <c r="J537" s="6">
        <v>6.1029429236912298</v>
      </c>
      <c r="K537" s="6">
        <v>0.49015521355609898</v>
      </c>
      <c r="L537" s="6">
        <v>0.49015521355609898</v>
      </c>
      <c r="M537" s="6">
        <v>0.49015521355609898</v>
      </c>
      <c r="N537" s="6">
        <v>5.6127877101351302</v>
      </c>
      <c r="O537" s="6">
        <v>5.6127877101351302</v>
      </c>
      <c r="P537" s="6">
        <v>5.6127877101351302</v>
      </c>
      <c r="Q537" s="6">
        <v>0</v>
      </c>
      <c r="R537" s="6">
        <v>0</v>
      </c>
      <c r="S537" s="6">
        <v>0</v>
      </c>
      <c r="T537" s="6">
        <v>59.226647712437497</v>
      </c>
    </row>
    <row r="538" spans="1:20" ht="13" x14ac:dyDescent="0.15">
      <c r="A538" s="6">
        <v>536</v>
      </c>
      <c r="B538" s="7">
        <v>43938</v>
      </c>
      <c r="C538" s="6">
        <v>53.660657751244003</v>
      </c>
      <c r="D538" s="6">
        <v>27.957507342706698</v>
      </c>
      <c r="E538" s="6">
        <v>91.705836231680806</v>
      </c>
      <c r="F538" s="6">
        <v>53.660657751244003</v>
      </c>
      <c r="G538" s="6">
        <v>53.660657751244003</v>
      </c>
      <c r="H538" s="6">
        <v>5.4383872675671601</v>
      </c>
      <c r="I538" s="6">
        <v>5.4383872675671601</v>
      </c>
      <c r="J538" s="6">
        <v>5.4383872675671601</v>
      </c>
      <c r="K538" s="6">
        <v>-2.2976765066748801E-2</v>
      </c>
      <c r="L538" s="6">
        <v>-2.2976765066748801E-2</v>
      </c>
      <c r="M538" s="6">
        <v>-2.2976765066748801E-2</v>
      </c>
      <c r="N538" s="6">
        <v>5.4613640326339103</v>
      </c>
      <c r="O538" s="6">
        <v>5.4613640326339103</v>
      </c>
      <c r="P538" s="6">
        <v>5.4613640326339103</v>
      </c>
      <c r="Q538" s="6">
        <v>0</v>
      </c>
      <c r="R538" s="6">
        <v>0</v>
      </c>
      <c r="S538" s="6">
        <v>0</v>
      </c>
      <c r="T538" s="6">
        <v>59.099045018811204</v>
      </c>
    </row>
    <row r="539" spans="1:20" ht="13" x14ac:dyDescent="0.15">
      <c r="A539" s="6">
        <v>537</v>
      </c>
      <c r="B539" s="7">
        <v>43941</v>
      </c>
      <c r="C539" s="6">
        <v>55.271516638737097</v>
      </c>
      <c r="D539" s="6">
        <v>29.112746672465001</v>
      </c>
      <c r="E539" s="6">
        <v>91.497290300052796</v>
      </c>
      <c r="F539" s="6">
        <v>55.271516638737097</v>
      </c>
      <c r="G539" s="6">
        <v>55.271516638737097</v>
      </c>
      <c r="H539" s="6">
        <v>6.6670021706320401</v>
      </c>
      <c r="I539" s="6">
        <v>6.6670021706320401</v>
      </c>
      <c r="J539" s="6">
        <v>6.6670021706320401</v>
      </c>
      <c r="K539" s="6">
        <v>1.8228906089408301</v>
      </c>
      <c r="L539" s="6">
        <v>1.8228906089408301</v>
      </c>
      <c r="M539" s="6">
        <v>1.8228906089408301</v>
      </c>
      <c r="N539" s="6">
        <v>4.8441115616912001</v>
      </c>
      <c r="O539" s="6">
        <v>4.8441115616912001</v>
      </c>
      <c r="P539" s="6">
        <v>4.8441115616912001</v>
      </c>
      <c r="Q539" s="6">
        <v>0</v>
      </c>
      <c r="R539" s="6">
        <v>0</v>
      </c>
      <c r="S539" s="6">
        <v>0</v>
      </c>
      <c r="T539" s="6">
        <v>61.9385188093691</v>
      </c>
    </row>
    <row r="540" spans="1:20" ht="13" x14ac:dyDescent="0.15">
      <c r="A540" s="6">
        <v>538</v>
      </c>
      <c r="B540" s="7">
        <v>43942</v>
      </c>
      <c r="C540" s="6">
        <v>55.808469601234698</v>
      </c>
      <c r="D540" s="6">
        <v>32.067368614973503</v>
      </c>
      <c r="E540" s="6">
        <v>95.970822153262304</v>
      </c>
      <c r="F540" s="6">
        <v>55.808469601234698</v>
      </c>
      <c r="G540" s="6">
        <v>55.808469601234698</v>
      </c>
      <c r="H540" s="6">
        <v>5.39769603539128</v>
      </c>
      <c r="I540" s="6">
        <v>5.39769603539128</v>
      </c>
      <c r="J540" s="6">
        <v>5.39769603539128</v>
      </c>
      <c r="K540" s="6">
        <v>0.84522403106945498</v>
      </c>
      <c r="L540" s="6">
        <v>0.84522403106945498</v>
      </c>
      <c r="M540" s="6">
        <v>0.84522403106945498</v>
      </c>
      <c r="N540" s="6">
        <v>4.5524720043218201</v>
      </c>
      <c r="O540" s="6">
        <v>4.5524720043218201</v>
      </c>
      <c r="P540" s="6">
        <v>4.5524720043218201</v>
      </c>
      <c r="Q540" s="6">
        <v>0</v>
      </c>
      <c r="R540" s="6">
        <v>0</v>
      </c>
      <c r="S540" s="6">
        <v>0</v>
      </c>
      <c r="T540" s="6">
        <v>61.206165636625997</v>
      </c>
    </row>
    <row r="541" spans="1:20" ht="13" x14ac:dyDescent="0.15">
      <c r="A541" s="6">
        <v>539</v>
      </c>
      <c r="B541" s="7">
        <v>43943</v>
      </c>
      <c r="C541" s="6">
        <v>56.345422563732498</v>
      </c>
      <c r="D541" s="6">
        <v>28.789139864209201</v>
      </c>
      <c r="E541" s="6">
        <v>90.085159197094399</v>
      </c>
      <c r="F541" s="6">
        <v>56.345422563732498</v>
      </c>
      <c r="G541" s="6">
        <v>56.345422563732498</v>
      </c>
      <c r="H541" s="6">
        <v>5.1499050025543998</v>
      </c>
      <c r="I541" s="6">
        <v>5.1499050025543998</v>
      </c>
      <c r="J541" s="6">
        <v>5.1499050025543998</v>
      </c>
      <c r="K541" s="6">
        <v>0.94874688043859801</v>
      </c>
      <c r="L541" s="6">
        <v>0.94874688043859801</v>
      </c>
      <c r="M541" s="6">
        <v>0.94874688043859801</v>
      </c>
      <c r="N541" s="6">
        <v>4.2011581221157996</v>
      </c>
      <c r="O541" s="6">
        <v>4.2011581221157996</v>
      </c>
      <c r="P541" s="6">
        <v>4.2011581221157996</v>
      </c>
      <c r="Q541" s="6">
        <v>0</v>
      </c>
      <c r="R541" s="6">
        <v>0</v>
      </c>
      <c r="S541" s="6">
        <v>0</v>
      </c>
      <c r="T541" s="6">
        <v>61.495327566286903</v>
      </c>
    </row>
    <row r="542" spans="1:20" ht="13" x14ac:dyDescent="0.15">
      <c r="A542" s="6">
        <v>540</v>
      </c>
      <c r="B542" s="7">
        <v>43944</v>
      </c>
      <c r="C542" s="6">
        <v>56.882375526230099</v>
      </c>
      <c r="D542" s="6">
        <v>28.4314023333379</v>
      </c>
      <c r="E542" s="6">
        <v>92.914137540877107</v>
      </c>
      <c r="F542" s="6">
        <v>56.882375526230099</v>
      </c>
      <c r="G542" s="6">
        <v>56.882375526230099</v>
      </c>
      <c r="H542" s="6">
        <v>4.2705636685573696</v>
      </c>
      <c r="I542" s="6">
        <v>4.2705636685573696</v>
      </c>
      <c r="J542" s="6">
        <v>4.2705636685573696</v>
      </c>
      <c r="K542" s="6">
        <v>0.49015521355727798</v>
      </c>
      <c r="L542" s="6">
        <v>0.49015521355727798</v>
      </c>
      <c r="M542" s="6">
        <v>0.49015521355727798</v>
      </c>
      <c r="N542" s="6">
        <v>3.7804084550000998</v>
      </c>
      <c r="O542" s="6">
        <v>3.7804084550000998</v>
      </c>
      <c r="P542" s="6">
        <v>3.7804084550000998</v>
      </c>
      <c r="Q542" s="6">
        <v>0</v>
      </c>
      <c r="R542" s="6">
        <v>0</v>
      </c>
      <c r="S542" s="6">
        <v>0</v>
      </c>
      <c r="T542" s="6">
        <v>61.1529391947875</v>
      </c>
    </row>
    <row r="543" spans="1:20" ht="13" x14ac:dyDescent="0.15">
      <c r="A543" s="6">
        <v>541</v>
      </c>
      <c r="B543" s="7">
        <v>43945</v>
      </c>
      <c r="C543" s="6">
        <v>57.4193284887278</v>
      </c>
      <c r="D543" s="6">
        <v>27.557226718536501</v>
      </c>
      <c r="E543" s="6">
        <v>92.004636348463507</v>
      </c>
      <c r="F543" s="6">
        <v>57.4193284887278</v>
      </c>
      <c r="G543" s="6">
        <v>57.4193284887278</v>
      </c>
      <c r="H543" s="6">
        <v>3.2582397296472601</v>
      </c>
      <c r="I543" s="6">
        <v>3.2582397296472601</v>
      </c>
      <c r="J543" s="6">
        <v>3.2582397296472601</v>
      </c>
      <c r="K543" s="6">
        <v>-2.29767650648026E-2</v>
      </c>
      <c r="L543" s="6">
        <v>-2.29767650648026E-2</v>
      </c>
      <c r="M543" s="6">
        <v>-2.29767650648026E-2</v>
      </c>
      <c r="N543" s="6">
        <v>3.2812164947120701</v>
      </c>
      <c r="O543" s="6">
        <v>3.2812164947120701</v>
      </c>
      <c r="P543" s="6">
        <v>3.2812164947120701</v>
      </c>
      <c r="Q543" s="6">
        <v>0</v>
      </c>
      <c r="R543" s="6">
        <v>0</v>
      </c>
      <c r="S543" s="6">
        <v>0</v>
      </c>
      <c r="T543" s="6">
        <v>60.6775682183751</v>
      </c>
    </row>
    <row r="544" spans="1:20" ht="13" x14ac:dyDescent="0.15">
      <c r="A544" s="6">
        <v>542</v>
      </c>
      <c r="B544" s="7">
        <v>43948</v>
      </c>
      <c r="C544" s="6">
        <v>59.030187376220901</v>
      </c>
      <c r="D544" s="6">
        <v>30.329415153348599</v>
      </c>
      <c r="E544" s="6">
        <v>95.821568012211401</v>
      </c>
      <c r="F544" s="6">
        <v>59.030187376220901</v>
      </c>
      <c r="G544" s="6">
        <v>59.030187376220901</v>
      </c>
      <c r="H544" s="6">
        <v>3.0650872164326599</v>
      </c>
      <c r="I544" s="6">
        <v>3.0650872164326599</v>
      </c>
      <c r="J544" s="6">
        <v>3.0650872164326599</v>
      </c>
      <c r="K544" s="6">
        <v>1.82289060893462</v>
      </c>
      <c r="L544" s="6">
        <v>1.82289060893462</v>
      </c>
      <c r="M544" s="6">
        <v>1.82289060893462</v>
      </c>
      <c r="N544" s="6">
        <v>1.24219660749804</v>
      </c>
      <c r="O544" s="6">
        <v>1.24219660749804</v>
      </c>
      <c r="P544" s="6">
        <v>1.24219660749804</v>
      </c>
      <c r="Q544" s="6">
        <v>0</v>
      </c>
      <c r="R544" s="6">
        <v>0</v>
      </c>
      <c r="S544" s="6">
        <v>0</v>
      </c>
      <c r="T544" s="6">
        <v>62.095274592653503</v>
      </c>
    </row>
    <row r="545" spans="1:20" ht="13" x14ac:dyDescent="0.15">
      <c r="A545" s="6">
        <v>543</v>
      </c>
      <c r="B545" s="7">
        <v>43949</v>
      </c>
      <c r="C545" s="6">
        <v>59.567140338718502</v>
      </c>
      <c r="D545" s="6">
        <v>25.8464983031811</v>
      </c>
      <c r="E545" s="6">
        <v>91.274167145159893</v>
      </c>
      <c r="F545" s="6">
        <v>59.567140338718502</v>
      </c>
      <c r="G545" s="6">
        <v>59.567140338718502</v>
      </c>
      <c r="H545" s="6">
        <v>1.21239944380925</v>
      </c>
      <c r="I545" s="6">
        <v>1.21239944380925</v>
      </c>
      <c r="J545" s="6">
        <v>1.21239944380925</v>
      </c>
      <c r="K545" s="6">
        <v>0.84522403106880994</v>
      </c>
      <c r="L545" s="6">
        <v>0.84522403106880994</v>
      </c>
      <c r="M545" s="6">
        <v>0.84522403106880994</v>
      </c>
      <c r="N545" s="6">
        <v>0.36717541274043902</v>
      </c>
      <c r="O545" s="6">
        <v>0.36717541274043902</v>
      </c>
      <c r="P545" s="6">
        <v>0.36717541274043902</v>
      </c>
      <c r="Q545" s="6">
        <v>0</v>
      </c>
      <c r="R545" s="6">
        <v>0</v>
      </c>
      <c r="S545" s="6">
        <v>0</v>
      </c>
      <c r="T545" s="6">
        <v>60.779539782527799</v>
      </c>
    </row>
    <row r="546" spans="1:20" ht="13" x14ac:dyDescent="0.15">
      <c r="A546" s="6">
        <v>544</v>
      </c>
      <c r="B546" s="7">
        <v>43950</v>
      </c>
      <c r="C546" s="6">
        <v>60.104093301216302</v>
      </c>
      <c r="D546" s="6">
        <v>28.158938775964099</v>
      </c>
      <c r="E546" s="6">
        <v>91.825346326785194</v>
      </c>
      <c r="F546" s="6">
        <v>60.104093301216302</v>
      </c>
      <c r="G546" s="6">
        <v>60.104093301216302</v>
      </c>
      <c r="H546" s="6">
        <v>0.34107451622229501</v>
      </c>
      <c r="I546" s="6">
        <v>0.34107451622229501</v>
      </c>
      <c r="J546" s="6">
        <v>0.34107451622229501</v>
      </c>
      <c r="K546" s="6">
        <v>0.94874688043508704</v>
      </c>
      <c r="L546" s="6">
        <v>0.94874688043508704</v>
      </c>
      <c r="M546" s="6">
        <v>0.94874688043508704</v>
      </c>
      <c r="N546" s="6">
        <v>-0.60767236421279203</v>
      </c>
      <c r="O546" s="6">
        <v>-0.60767236421279203</v>
      </c>
      <c r="P546" s="6">
        <v>-0.60767236421279203</v>
      </c>
      <c r="Q546" s="6">
        <v>0</v>
      </c>
      <c r="R546" s="6">
        <v>0</v>
      </c>
      <c r="S546" s="6">
        <v>0</v>
      </c>
      <c r="T546" s="6">
        <v>60.445167817438602</v>
      </c>
    </row>
    <row r="547" spans="1:20" ht="13" x14ac:dyDescent="0.15">
      <c r="A547" s="6">
        <v>545</v>
      </c>
      <c r="B547" s="7">
        <v>43951</v>
      </c>
      <c r="C547" s="6">
        <v>60.641046263713903</v>
      </c>
      <c r="D547" s="6">
        <v>28.734836313067898</v>
      </c>
      <c r="E547" s="6">
        <v>92.264631956994094</v>
      </c>
      <c r="F547" s="6">
        <v>60.641046263713903</v>
      </c>
      <c r="G547" s="6">
        <v>60.641046263713903</v>
      </c>
      <c r="H547" s="6">
        <v>-1.18993912923208</v>
      </c>
      <c r="I547" s="6">
        <v>-1.18993912923208</v>
      </c>
      <c r="J547" s="6">
        <v>-1.18993912923208</v>
      </c>
      <c r="K547" s="6">
        <v>0.49015521355443997</v>
      </c>
      <c r="L547" s="6">
        <v>0.49015521355443997</v>
      </c>
      <c r="M547" s="6">
        <v>0.49015521355443997</v>
      </c>
      <c r="N547" s="6">
        <v>-1.68009434278652</v>
      </c>
      <c r="O547" s="6">
        <v>-1.68009434278652</v>
      </c>
      <c r="P547" s="6">
        <v>-1.68009434278652</v>
      </c>
      <c r="Q547" s="6">
        <v>0</v>
      </c>
      <c r="R547" s="6">
        <v>0</v>
      </c>
      <c r="S547" s="6">
        <v>0</v>
      </c>
      <c r="T547" s="6">
        <v>59.451107134481802</v>
      </c>
    </row>
    <row r="548" spans="1:20" ht="13" x14ac:dyDescent="0.15">
      <c r="A548" s="6">
        <v>546</v>
      </c>
      <c r="B548" s="7">
        <v>43952</v>
      </c>
      <c r="C548" s="6">
        <v>61.177999226211703</v>
      </c>
      <c r="D548" s="6">
        <v>24.454266914988899</v>
      </c>
      <c r="E548" s="6">
        <v>91.2141828853471</v>
      </c>
      <c r="F548" s="6">
        <v>61.177999226211703</v>
      </c>
      <c r="G548" s="6">
        <v>61.177999226211703</v>
      </c>
      <c r="H548" s="6">
        <v>-2.8683329562747599</v>
      </c>
      <c r="I548" s="6">
        <v>-2.8683329562747599</v>
      </c>
      <c r="J548" s="6">
        <v>-2.8683329562747599</v>
      </c>
      <c r="K548" s="6">
        <v>-2.29767650633022E-2</v>
      </c>
      <c r="L548" s="6">
        <v>-2.29767650633022E-2</v>
      </c>
      <c r="M548" s="6">
        <v>-2.29767650633022E-2</v>
      </c>
      <c r="N548" s="6">
        <v>-2.8453561912114602</v>
      </c>
      <c r="O548" s="6">
        <v>-2.8453561912114602</v>
      </c>
      <c r="P548" s="6">
        <v>-2.8453561912114602</v>
      </c>
      <c r="Q548" s="6">
        <v>0</v>
      </c>
      <c r="R548" s="6">
        <v>0</v>
      </c>
      <c r="S548" s="6">
        <v>0</v>
      </c>
      <c r="T548" s="6">
        <v>58.309666269936898</v>
      </c>
    </row>
    <row r="549" spans="1:20" ht="13" x14ac:dyDescent="0.15">
      <c r="A549" s="6">
        <v>547</v>
      </c>
      <c r="B549" s="7">
        <v>43955</v>
      </c>
      <c r="C549" s="6">
        <v>62.788858113704698</v>
      </c>
      <c r="D549" s="6">
        <v>26.162847311600199</v>
      </c>
      <c r="E549" s="6">
        <v>90.372240104261493</v>
      </c>
      <c r="F549" s="6">
        <v>62.788858113704698</v>
      </c>
      <c r="G549" s="6">
        <v>62.788858113704698</v>
      </c>
      <c r="H549" s="6">
        <v>-4.9915540495421196</v>
      </c>
      <c r="I549" s="6">
        <v>-4.9915540495421196</v>
      </c>
      <c r="J549" s="6">
        <v>-4.9915540495421196</v>
      </c>
      <c r="K549" s="6">
        <v>1.8228906089363399</v>
      </c>
      <c r="L549" s="6">
        <v>1.8228906089363399</v>
      </c>
      <c r="M549" s="6">
        <v>1.8228906089363399</v>
      </c>
      <c r="N549" s="6">
        <v>-6.8144446584784601</v>
      </c>
      <c r="O549" s="6">
        <v>-6.8144446584784601</v>
      </c>
      <c r="P549" s="6">
        <v>-6.8144446584784601</v>
      </c>
      <c r="Q549" s="6">
        <v>0</v>
      </c>
      <c r="R549" s="6">
        <v>0</v>
      </c>
      <c r="S549" s="6">
        <v>0</v>
      </c>
      <c r="T549" s="6">
        <v>57.797304064162603</v>
      </c>
    </row>
    <row r="550" spans="1:20" ht="13" x14ac:dyDescent="0.15">
      <c r="A550" s="6">
        <v>548</v>
      </c>
      <c r="B550" s="7">
        <v>43956</v>
      </c>
      <c r="C550" s="6">
        <v>63.325811076202299</v>
      </c>
      <c r="D550" s="6">
        <v>26.129107466968399</v>
      </c>
      <c r="E550" s="6">
        <v>87.749252744827402</v>
      </c>
      <c r="F550" s="6">
        <v>63.325811076202299</v>
      </c>
      <c r="G550" s="6">
        <v>63.325811076202299</v>
      </c>
      <c r="H550" s="6">
        <v>-7.4109477499975496</v>
      </c>
      <c r="I550" s="6">
        <v>-7.4109477499975496</v>
      </c>
      <c r="J550" s="6">
        <v>-7.4109477499975496</v>
      </c>
      <c r="K550" s="6">
        <v>0.84522403106816502</v>
      </c>
      <c r="L550" s="6">
        <v>0.84522403106816502</v>
      </c>
      <c r="M550" s="6">
        <v>0.84522403106816502</v>
      </c>
      <c r="N550" s="6">
        <v>-8.2561717810657207</v>
      </c>
      <c r="O550" s="6">
        <v>-8.2561717810657207</v>
      </c>
      <c r="P550" s="6">
        <v>-8.2561717810657207</v>
      </c>
      <c r="Q550" s="6">
        <v>0</v>
      </c>
      <c r="R550" s="6">
        <v>0</v>
      </c>
      <c r="S550" s="6">
        <v>0</v>
      </c>
      <c r="T550" s="6">
        <v>55.914863326204802</v>
      </c>
    </row>
    <row r="551" spans="1:20" ht="13" x14ac:dyDescent="0.15">
      <c r="A551" s="6">
        <v>549</v>
      </c>
      <c r="B551" s="7">
        <v>43957</v>
      </c>
      <c r="C551" s="6">
        <v>63.862764038700099</v>
      </c>
      <c r="D551" s="6">
        <v>22.708244117887102</v>
      </c>
      <c r="E551" s="6">
        <v>89.485109613477107</v>
      </c>
      <c r="F551" s="6">
        <v>63.862764038700099</v>
      </c>
      <c r="G551" s="6">
        <v>63.862764038700099</v>
      </c>
      <c r="H551" s="6">
        <v>-8.7841975432906896</v>
      </c>
      <c r="I551" s="6">
        <v>-8.7841975432906896</v>
      </c>
      <c r="J551" s="6">
        <v>-8.7841975432906896</v>
      </c>
      <c r="K551" s="6">
        <v>0.948746880436937</v>
      </c>
      <c r="L551" s="6">
        <v>0.948746880436937</v>
      </c>
      <c r="M551" s="6">
        <v>0.948746880436937</v>
      </c>
      <c r="N551" s="6">
        <v>-9.7329444237276306</v>
      </c>
      <c r="O551" s="6">
        <v>-9.7329444237276306</v>
      </c>
      <c r="P551" s="6">
        <v>-9.7329444237276306</v>
      </c>
      <c r="Q551" s="6">
        <v>0</v>
      </c>
      <c r="R551" s="6">
        <v>0</v>
      </c>
      <c r="S551" s="6">
        <v>0</v>
      </c>
      <c r="T551" s="6">
        <v>55.078566495409397</v>
      </c>
    </row>
    <row r="552" spans="1:20" ht="13" x14ac:dyDescent="0.15">
      <c r="A552" s="6">
        <v>550</v>
      </c>
      <c r="B552" s="7">
        <v>43958</v>
      </c>
      <c r="C552" s="6">
        <v>64.3997170011978</v>
      </c>
      <c r="D552" s="6">
        <v>24.411269807798298</v>
      </c>
      <c r="E552" s="6">
        <v>86.116254842402199</v>
      </c>
      <c r="F552" s="6">
        <v>64.3997170011978</v>
      </c>
      <c r="G552" s="6">
        <v>64.3997170011978</v>
      </c>
      <c r="H552" s="6">
        <v>-10.737821877395801</v>
      </c>
      <c r="I552" s="6">
        <v>-10.737821877395801</v>
      </c>
      <c r="J552" s="6">
        <v>-10.737821877395801</v>
      </c>
      <c r="K552" s="6">
        <v>0.49015521355561897</v>
      </c>
      <c r="L552" s="6">
        <v>0.49015521355561897</v>
      </c>
      <c r="M552" s="6">
        <v>0.49015521355561897</v>
      </c>
      <c r="N552" s="6">
        <v>-11.2279770909514</v>
      </c>
      <c r="O552" s="6">
        <v>-11.2279770909514</v>
      </c>
      <c r="P552" s="6">
        <v>-11.2279770909514</v>
      </c>
      <c r="Q552" s="6">
        <v>0</v>
      </c>
      <c r="R552" s="6">
        <v>0</v>
      </c>
      <c r="S552" s="6">
        <v>0</v>
      </c>
      <c r="T552" s="6">
        <v>53.661895123801997</v>
      </c>
    </row>
    <row r="553" spans="1:20" ht="13" x14ac:dyDescent="0.15">
      <c r="A553" s="6">
        <v>551</v>
      </c>
      <c r="B553" s="7">
        <v>43959</v>
      </c>
      <c r="C553" s="6">
        <v>64.936669963695493</v>
      </c>
      <c r="D553" s="6">
        <v>20.563505913937401</v>
      </c>
      <c r="E553" s="6">
        <v>84.848271469635094</v>
      </c>
      <c r="F553" s="6">
        <v>64.936669963695493</v>
      </c>
      <c r="G553" s="6">
        <v>64.936669963695493</v>
      </c>
      <c r="H553" s="6">
        <v>-12.7465231338652</v>
      </c>
      <c r="I553" s="6">
        <v>-12.7465231338652</v>
      </c>
      <c r="J553" s="6">
        <v>-12.7465231338652</v>
      </c>
      <c r="K553" s="6">
        <v>-2.2976765061355899E-2</v>
      </c>
      <c r="L553" s="6">
        <v>-2.2976765061355899E-2</v>
      </c>
      <c r="M553" s="6">
        <v>-2.2976765061355899E-2</v>
      </c>
      <c r="N553" s="6">
        <v>-12.723546368803801</v>
      </c>
      <c r="O553" s="6">
        <v>-12.723546368803801</v>
      </c>
      <c r="P553" s="6">
        <v>-12.723546368803801</v>
      </c>
      <c r="Q553" s="6">
        <v>0</v>
      </c>
      <c r="R553" s="6">
        <v>0</v>
      </c>
      <c r="S553" s="6">
        <v>0</v>
      </c>
      <c r="T553" s="6">
        <v>52.190146829830198</v>
      </c>
    </row>
    <row r="554" spans="1:20" ht="13" x14ac:dyDescent="0.15">
      <c r="A554" s="6">
        <v>552</v>
      </c>
      <c r="B554" s="7">
        <v>43962</v>
      </c>
      <c r="C554" s="6">
        <v>66.547528851188503</v>
      </c>
      <c r="D554" s="6">
        <v>18.405984204217901</v>
      </c>
      <c r="E554" s="6">
        <v>82.581211306652605</v>
      </c>
      <c r="F554" s="6">
        <v>66.547528851188503</v>
      </c>
      <c r="G554" s="6">
        <v>66.547528851188503</v>
      </c>
      <c r="H554" s="6">
        <v>-15.208377436461699</v>
      </c>
      <c r="I554" s="6">
        <v>-15.208377436461699</v>
      </c>
      <c r="J554" s="6">
        <v>-15.208377436461699</v>
      </c>
      <c r="K554" s="6">
        <v>1.82289060893684</v>
      </c>
      <c r="L554" s="6">
        <v>1.82289060893684</v>
      </c>
      <c r="M554" s="6">
        <v>1.82289060893684</v>
      </c>
      <c r="N554" s="6">
        <v>-17.031268045398502</v>
      </c>
      <c r="O554" s="6">
        <v>-17.031268045398502</v>
      </c>
      <c r="P554" s="6">
        <v>-17.031268045398502</v>
      </c>
      <c r="Q554" s="6">
        <v>0</v>
      </c>
      <c r="R554" s="6">
        <v>0</v>
      </c>
      <c r="S554" s="6">
        <v>0</v>
      </c>
      <c r="T554" s="6">
        <v>51.3391514147268</v>
      </c>
    </row>
    <row r="555" spans="1:20" ht="13" x14ac:dyDescent="0.15">
      <c r="A555" s="6">
        <v>553</v>
      </c>
      <c r="B555" s="7">
        <v>43963</v>
      </c>
      <c r="C555" s="6">
        <v>67.084481813686295</v>
      </c>
      <c r="D555" s="6">
        <v>18.254415834729102</v>
      </c>
      <c r="E555" s="6">
        <v>81.949489263647706</v>
      </c>
      <c r="F555" s="6">
        <v>67.084481813686295</v>
      </c>
      <c r="G555" s="6">
        <v>67.084481813686295</v>
      </c>
      <c r="H555" s="6">
        <v>-17.503046411085499</v>
      </c>
      <c r="I555" s="6">
        <v>-17.503046411085499</v>
      </c>
      <c r="J555" s="6">
        <v>-17.503046411085499</v>
      </c>
      <c r="K555" s="6">
        <v>0.84522403106670796</v>
      </c>
      <c r="L555" s="6">
        <v>0.84522403106670796</v>
      </c>
      <c r="M555" s="6">
        <v>0.84522403106670796</v>
      </c>
      <c r="N555" s="6">
        <v>-18.348270442152199</v>
      </c>
      <c r="O555" s="6">
        <v>-18.348270442152199</v>
      </c>
      <c r="P555" s="6">
        <v>-18.348270442152199</v>
      </c>
      <c r="Q555" s="6">
        <v>0</v>
      </c>
      <c r="R555" s="6">
        <v>0</v>
      </c>
      <c r="S555" s="6">
        <v>0</v>
      </c>
      <c r="T555" s="6">
        <v>49.581435402600697</v>
      </c>
    </row>
    <row r="556" spans="1:20" ht="13" x14ac:dyDescent="0.15">
      <c r="A556" s="6">
        <v>554</v>
      </c>
      <c r="B556" s="7">
        <v>43964</v>
      </c>
      <c r="C556" s="6">
        <v>67.621434776183904</v>
      </c>
      <c r="D556" s="6">
        <v>16.837812796151599</v>
      </c>
      <c r="E556" s="6">
        <v>81.559550134857304</v>
      </c>
      <c r="F556" s="6">
        <v>67.621434776183904</v>
      </c>
      <c r="G556" s="6">
        <v>67.621434776183904</v>
      </c>
      <c r="H556" s="6">
        <v>-18.629752654795698</v>
      </c>
      <c r="I556" s="6">
        <v>-18.629752654795698</v>
      </c>
      <c r="J556" s="6">
        <v>-18.629752654795698</v>
      </c>
      <c r="K556" s="6">
        <v>0.94874688043732003</v>
      </c>
      <c r="L556" s="6">
        <v>0.94874688043732003</v>
      </c>
      <c r="M556" s="6">
        <v>0.94874688043732003</v>
      </c>
      <c r="N556" s="6">
        <v>-19.578499535233</v>
      </c>
      <c r="O556" s="6">
        <v>-19.578499535233</v>
      </c>
      <c r="P556" s="6">
        <v>-19.578499535233</v>
      </c>
      <c r="Q556" s="6">
        <v>0</v>
      </c>
      <c r="R556" s="6">
        <v>0</v>
      </c>
      <c r="S556" s="6">
        <v>0</v>
      </c>
      <c r="T556" s="6">
        <v>48.991682121388202</v>
      </c>
    </row>
    <row r="557" spans="1:20" ht="13" x14ac:dyDescent="0.15">
      <c r="A557" s="6">
        <v>555</v>
      </c>
      <c r="B557" s="7">
        <v>43965</v>
      </c>
      <c r="C557" s="6">
        <v>68.158387738681597</v>
      </c>
      <c r="D557" s="6">
        <v>15.786013528902901</v>
      </c>
      <c r="E557" s="6">
        <v>83.012779787845005</v>
      </c>
      <c r="F557" s="6">
        <v>68.158387738681597</v>
      </c>
      <c r="G557" s="6">
        <v>68.158387738681597</v>
      </c>
      <c r="H557" s="6">
        <v>-20.217661097948898</v>
      </c>
      <c r="I557" s="6">
        <v>-20.217661097948898</v>
      </c>
      <c r="J557" s="6">
        <v>-20.217661097948898</v>
      </c>
      <c r="K557" s="6">
        <v>0.49015521355278102</v>
      </c>
      <c r="L557" s="6">
        <v>0.49015521355278102</v>
      </c>
      <c r="M557" s="6">
        <v>0.49015521355278102</v>
      </c>
      <c r="N557" s="6">
        <v>-20.707816311501698</v>
      </c>
      <c r="O557" s="6">
        <v>-20.707816311501698</v>
      </c>
      <c r="P557" s="6">
        <v>-20.707816311501698</v>
      </c>
      <c r="Q557" s="6">
        <v>0</v>
      </c>
      <c r="R557" s="6">
        <v>0</v>
      </c>
      <c r="S557" s="6">
        <v>0</v>
      </c>
      <c r="T557" s="6">
        <v>47.940726640732699</v>
      </c>
    </row>
    <row r="558" spans="1:20" ht="13" x14ac:dyDescent="0.15">
      <c r="A558" s="6">
        <v>556</v>
      </c>
      <c r="B558" s="7">
        <v>43966</v>
      </c>
      <c r="C558" s="6">
        <v>68.695340701179305</v>
      </c>
      <c r="D558" s="6">
        <v>14.3889207269241</v>
      </c>
      <c r="E558" s="6">
        <v>79.910209780053407</v>
      </c>
      <c r="F558" s="6">
        <v>68.695340701179305</v>
      </c>
      <c r="G558" s="6">
        <v>68.695340701179305</v>
      </c>
      <c r="H558" s="6">
        <v>-21.7470740082581</v>
      </c>
      <c r="I558" s="6">
        <v>-21.7470740082581</v>
      </c>
      <c r="J558" s="6">
        <v>-21.7470740082581</v>
      </c>
      <c r="K558" s="6">
        <v>-2.2976765063967799E-2</v>
      </c>
      <c r="L558" s="6">
        <v>-2.2976765063967799E-2</v>
      </c>
      <c r="M558" s="6">
        <v>-2.2976765063967799E-2</v>
      </c>
      <c r="N558" s="6">
        <v>-21.724097243194102</v>
      </c>
      <c r="O558" s="6">
        <v>-21.724097243194102</v>
      </c>
      <c r="P558" s="6">
        <v>-21.724097243194102</v>
      </c>
      <c r="Q558" s="6">
        <v>0</v>
      </c>
      <c r="R558" s="6">
        <v>0</v>
      </c>
      <c r="S558" s="6">
        <v>0</v>
      </c>
      <c r="T558" s="6">
        <v>46.948266692921102</v>
      </c>
    </row>
    <row r="559" spans="1:20" ht="13" x14ac:dyDescent="0.15">
      <c r="A559" s="6">
        <v>557</v>
      </c>
      <c r="B559" s="7">
        <v>43969</v>
      </c>
      <c r="C559" s="6">
        <v>70.3061995886723</v>
      </c>
      <c r="D559" s="6">
        <v>14.666333887359301</v>
      </c>
      <c r="E559" s="6">
        <v>81.912341892723305</v>
      </c>
      <c r="F559" s="6">
        <v>70.3061995886723</v>
      </c>
      <c r="G559" s="6">
        <v>70.3061995886723</v>
      </c>
      <c r="H559" s="6">
        <v>-22.186653710217801</v>
      </c>
      <c r="I559" s="6">
        <v>-22.186653710217801</v>
      </c>
      <c r="J559" s="6">
        <v>-22.186653710217801</v>
      </c>
      <c r="K559" s="6">
        <v>1.82289060893184</v>
      </c>
      <c r="L559" s="6">
        <v>1.82289060893184</v>
      </c>
      <c r="M559" s="6">
        <v>1.82289060893184</v>
      </c>
      <c r="N559" s="6">
        <v>-24.0095443191497</v>
      </c>
      <c r="O559" s="6">
        <v>-24.0095443191497</v>
      </c>
      <c r="P559" s="6">
        <v>-24.0095443191497</v>
      </c>
      <c r="Q559" s="6">
        <v>0</v>
      </c>
      <c r="R559" s="6">
        <v>0</v>
      </c>
      <c r="S559" s="6">
        <v>0</v>
      </c>
      <c r="T559" s="6">
        <v>48.119545878454403</v>
      </c>
    </row>
    <row r="560" spans="1:20" ht="13" x14ac:dyDescent="0.15">
      <c r="A560" s="6">
        <v>558</v>
      </c>
      <c r="B560" s="7">
        <v>43970</v>
      </c>
      <c r="C560" s="6">
        <v>70.843152551170107</v>
      </c>
      <c r="D560" s="6">
        <v>16.2529494662712</v>
      </c>
      <c r="E560" s="6">
        <v>80.225949292078198</v>
      </c>
      <c r="F560" s="6">
        <v>70.843152551170107</v>
      </c>
      <c r="G560" s="6">
        <v>70.843152551170107</v>
      </c>
      <c r="H560" s="6">
        <v>-23.656616426472599</v>
      </c>
      <c r="I560" s="6">
        <v>-23.656616426472599</v>
      </c>
      <c r="J560" s="6">
        <v>-23.656616426472599</v>
      </c>
      <c r="K560" s="6">
        <v>0.84522403106525001</v>
      </c>
      <c r="L560" s="6">
        <v>0.84522403106525001</v>
      </c>
      <c r="M560" s="6">
        <v>0.84522403106525001</v>
      </c>
      <c r="N560" s="6">
        <v>-24.501840457537799</v>
      </c>
      <c r="O560" s="6">
        <v>-24.501840457537799</v>
      </c>
      <c r="P560" s="6">
        <v>-24.501840457537799</v>
      </c>
      <c r="Q560" s="6">
        <v>0</v>
      </c>
      <c r="R560" s="6">
        <v>0</v>
      </c>
      <c r="S560" s="6">
        <v>0</v>
      </c>
      <c r="T560" s="6">
        <v>47.186536124697497</v>
      </c>
    </row>
    <row r="561" spans="1:20" ht="13" x14ac:dyDescent="0.15">
      <c r="A561" s="6">
        <v>559</v>
      </c>
      <c r="B561" s="7">
        <v>43971</v>
      </c>
      <c r="C561" s="6">
        <v>71.380105513667701</v>
      </c>
      <c r="D561" s="6">
        <v>14.823608427249599</v>
      </c>
      <c r="E561" s="6">
        <v>80.387246179411903</v>
      </c>
      <c r="F561" s="6">
        <v>71.380105513667701</v>
      </c>
      <c r="G561" s="6">
        <v>71.380105513667701</v>
      </c>
      <c r="H561" s="6">
        <v>-23.910091530456199</v>
      </c>
      <c r="I561" s="6">
        <v>-23.910091530456199</v>
      </c>
      <c r="J561" s="6">
        <v>-23.910091530456199</v>
      </c>
      <c r="K561" s="6">
        <v>0.94874688043649003</v>
      </c>
      <c r="L561" s="6">
        <v>0.94874688043649003</v>
      </c>
      <c r="M561" s="6">
        <v>0.94874688043649003</v>
      </c>
      <c r="N561" s="6">
        <v>-24.858838410892702</v>
      </c>
      <c r="O561" s="6">
        <v>-24.858838410892702</v>
      </c>
      <c r="P561" s="6">
        <v>-24.858838410892702</v>
      </c>
      <c r="Q561" s="6">
        <v>0</v>
      </c>
      <c r="R561" s="6">
        <v>0</v>
      </c>
      <c r="S561" s="6">
        <v>0</v>
      </c>
      <c r="T561" s="6">
        <v>47.470013983211501</v>
      </c>
    </row>
    <row r="562" spans="1:20" ht="13" x14ac:dyDescent="0.15">
      <c r="A562" s="6">
        <v>560</v>
      </c>
      <c r="B562" s="7">
        <v>43972</v>
      </c>
      <c r="C562" s="6">
        <v>71.917058476165494</v>
      </c>
      <c r="D562" s="6">
        <v>14.8625305604108</v>
      </c>
      <c r="E562" s="6">
        <v>81.605850252966803</v>
      </c>
      <c r="F562" s="6">
        <v>71.917058476165494</v>
      </c>
      <c r="G562" s="6">
        <v>71.917058476165494</v>
      </c>
      <c r="H562" s="6">
        <v>-24.594230720557899</v>
      </c>
      <c r="I562" s="6">
        <v>-24.594230720557899</v>
      </c>
      <c r="J562" s="6">
        <v>-24.594230720557899</v>
      </c>
      <c r="K562" s="6">
        <v>0.49015521355797798</v>
      </c>
      <c r="L562" s="6">
        <v>0.49015521355797798</v>
      </c>
      <c r="M562" s="6">
        <v>0.49015521355797798</v>
      </c>
      <c r="N562" s="6">
        <v>-25.0843859341159</v>
      </c>
      <c r="O562" s="6">
        <v>-25.0843859341159</v>
      </c>
      <c r="P562" s="6">
        <v>-25.0843859341159</v>
      </c>
      <c r="Q562" s="6">
        <v>0</v>
      </c>
      <c r="R562" s="6">
        <v>0</v>
      </c>
      <c r="S562" s="6">
        <v>0</v>
      </c>
      <c r="T562" s="6">
        <v>47.322827755607499</v>
      </c>
    </row>
    <row r="563" spans="1:20" ht="13" x14ac:dyDescent="0.15">
      <c r="A563" s="6">
        <v>561</v>
      </c>
      <c r="B563" s="7">
        <v>43973</v>
      </c>
      <c r="C563" s="6">
        <v>72.454011438663102</v>
      </c>
      <c r="D563" s="6">
        <v>16.9028329714988</v>
      </c>
      <c r="E563" s="6">
        <v>78.791087808948205</v>
      </c>
      <c r="F563" s="6">
        <v>72.454011438663102</v>
      </c>
      <c r="G563" s="6">
        <v>72.454011438663102</v>
      </c>
      <c r="H563" s="6">
        <v>-25.207931224806799</v>
      </c>
      <c r="I563" s="6">
        <v>-25.207931224806799</v>
      </c>
      <c r="J563" s="6">
        <v>-25.207931224806799</v>
      </c>
      <c r="K563" s="6">
        <v>-2.2976765066580002E-2</v>
      </c>
      <c r="L563" s="6">
        <v>-2.2976765066580002E-2</v>
      </c>
      <c r="M563" s="6">
        <v>-2.2976765066580002E-2</v>
      </c>
      <c r="N563" s="6">
        <v>-25.184954459740201</v>
      </c>
      <c r="O563" s="6">
        <v>-25.184954459740201</v>
      </c>
      <c r="P563" s="6">
        <v>-25.184954459740201</v>
      </c>
      <c r="Q563" s="6">
        <v>0</v>
      </c>
      <c r="R563" s="6">
        <v>0</v>
      </c>
      <c r="S563" s="6">
        <v>0</v>
      </c>
      <c r="T563" s="6">
        <v>47.246080213856303</v>
      </c>
    </row>
    <row r="564" spans="1:20" ht="13" x14ac:dyDescent="0.15">
      <c r="A564" s="6">
        <v>562</v>
      </c>
      <c r="B564" s="7">
        <v>43977</v>
      </c>
      <c r="C564" s="6">
        <v>74.601823288653904</v>
      </c>
      <c r="D564" s="6">
        <v>18.402577676035001</v>
      </c>
      <c r="E564" s="6">
        <v>82.619686006593795</v>
      </c>
      <c r="F564" s="6">
        <v>74.601823288653904</v>
      </c>
      <c r="G564" s="6">
        <v>74.601823288653904</v>
      </c>
      <c r="H564" s="6">
        <v>-23.7000804826645</v>
      </c>
      <c r="I564" s="6">
        <v>-23.7000804826645</v>
      </c>
      <c r="J564" s="6">
        <v>-23.7000804826645</v>
      </c>
      <c r="K564" s="6">
        <v>0.84522403106460497</v>
      </c>
      <c r="L564" s="6">
        <v>0.84522403106460497</v>
      </c>
      <c r="M564" s="6">
        <v>0.84522403106460497</v>
      </c>
      <c r="N564" s="6">
        <v>-24.5453045137291</v>
      </c>
      <c r="O564" s="6">
        <v>-24.5453045137291</v>
      </c>
      <c r="P564" s="6">
        <v>-24.5453045137291</v>
      </c>
      <c r="Q564" s="6">
        <v>0</v>
      </c>
      <c r="R564" s="6">
        <v>0</v>
      </c>
      <c r="S564" s="6">
        <v>0</v>
      </c>
      <c r="T564" s="6">
        <v>50.9017428059894</v>
      </c>
    </row>
    <row r="565" spans="1:20" ht="13" x14ac:dyDescent="0.15">
      <c r="A565" s="6">
        <v>563</v>
      </c>
      <c r="B565" s="7">
        <v>43978</v>
      </c>
      <c r="C565" s="6">
        <v>75.138776251151498</v>
      </c>
      <c r="D565" s="6">
        <v>18.068169068899302</v>
      </c>
      <c r="E565" s="6">
        <v>83.7874945429608</v>
      </c>
      <c r="F565" s="6">
        <v>75.138776251151498</v>
      </c>
      <c r="G565" s="6">
        <v>75.138776251151498</v>
      </c>
      <c r="H565" s="6">
        <v>-23.243194298776</v>
      </c>
      <c r="I565" s="6">
        <v>-23.243194298776</v>
      </c>
      <c r="J565" s="6">
        <v>-23.243194298776</v>
      </c>
      <c r="K565" s="6">
        <v>0.94874688043565902</v>
      </c>
      <c r="L565" s="6">
        <v>0.94874688043565902</v>
      </c>
      <c r="M565" s="6">
        <v>0.94874688043565902</v>
      </c>
      <c r="N565" s="6">
        <v>-24.1919411792116</v>
      </c>
      <c r="O565" s="6">
        <v>-24.1919411792116</v>
      </c>
      <c r="P565" s="6">
        <v>-24.1919411792116</v>
      </c>
      <c r="Q565" s="6">
        <v>0</v>
      </c>
      <c r="R565" s="6">
        <v>0</v>
      </c>
      <c r="S565" s="6">
        <v>0</v>
      </c>
      <c r="T565" s="6">
        <v>51.895581952375501</v>
      </c>
    </row>
    <row r="566" spans="1:20" ht="13" x14ac:dyDescent="0.15">
      <c r="A566" s="6">
        <v>564</v>
      </c>
      <c r="B566" s="7">
        <v>43979</v>
      </c>
      <c r="C566" s="6">
        <v>75.7021041001409</v>
      </c>
      <c r="D566" s="6">
        <v>20.333281945805101</v>
      </c>
      <c r="E566" s="6">
        <v>84.089867314045904</v>
      </c>
      <c r="F566" s="6">
        <v>75.7021041001409</v>
      </c>
      <c r="G566" s="6">
        <v>75.7021041001409</v>
      </c>
      <c r="H566" s="6">
        <v>-23.301700950535</v>
      </c>
      <c r="I566" s="6">
        <v>-23.301700950535</v>
      </c>
      <c r="J566" s="6">
        <v>-23.301700950535</v>
      </c>
      <c r="K566" s="6">
        <v>0.49015521355769898</v>
      </c>
      <c r="L566" s="6">
        <v>0.49015521355769898</v>
      </c>
      <c r="M566" s="6">
        <v>0.49015521355769898</v>
      </c>
      <c r="N566" s="6">
        <v>-23.7918561640927</v>
      </c>
      <c r="O566" s="6">
        <v>-23.7918561640927</v>
      </c>
      <c r="P566" s="6">
        <v>-23.7918561640927</v>
      </c>
      <c r="Q566" s="6">
        <v>0</v>
      </c>
      <c r="R566" s="6">
        <v>0</v>
      </c>
      <c r="S566" s="6">
        <v>0</v>
      </c>
      <c r="T566" s="6">
        <v>52.4004031496058</v>
      </c>
    </row>
    <row r="567" spans="1:20" ht="13" x14ac:dyDescent="0.15">
      <c r="A567" s="6">
        <v>565</v>
      </c>
      <c r="B567" s="7">
        <v>43980</v>
      </c>
      <c r="C567" s="6">
        <v>76.265431949130303</v>
      </c>
      <c r="D567" s="6">
        <v>21.188758606347498</v>
      </c>
      <c r="E567" s="6">
        <v>86.948752138484394</v>
      </c>
      <c r="F567" s="6">
        <v>76.265431949130303</v>
      </c>
      <c r="G567" s="6">
        <v>76.265431949130303</v>
      </c>
      <c r="H567" s="6">
        <v>-23.384078297271898</v>
      </c>
      <c r="I567" s="6">
        <v>-23.384078297271898</v>
      </c>
      <c r="J567" s="6">
        <v>-23.384078297271898</v>
      </c>
      <c r="K567" s="6">
        <v>-2.2976765060521199E-2</v>
      </c>
      <c r="L567" s="6">
        <v>-2.2976765060521199E-2</v>
      </c>
      <c r="M567" s="6">
        <v>-2.2976765060521199E-2</v>
      </c>
      <c r="N567" s="6">
        <v>-23.3611015322113</v>
      </c>
      <c r="O567" s="6">
        <v>-23.3611015322113</v>
      </c>
      <c r="P567" s="6">
        <v>-23.3611015322113</v>
      </c>
      <c r="Q567" s="6">
        <v>0</v>
      </c>
      <c r="R567" s="6">
        <v>0</v>
      </c>
      <c r="S567" s="6">
        <v>0</v>
      </c>
      <c r="T567" s="6">
        <v>52.881353651858397</v>
      </c>
    </row>
    <row r="568" spans="1:20" ht="13" x14ac:dyDescent="0.15">
      <c r="A568" s="6">
        <v>566</v>
      </c>
      <c r="B568" s="7">
        <v>43983</v>
      </c>
      <c r="C568" s="6">
        <v>77.955415496098595</v>
      </c>
      <c r="D568" s="6">
        <v>25.519666454938999</v>
      </c>
      <c r="E568" s="6">
        <v>89.640823007667393</v>
      </c>
      <c r="F568" s="6">
        <v>77.955415496098595</v>
      </c>
      <c r="G568" s="6">
        <v>77.955415496098595</v>
      </c>
      <c r="H568" s="6">
        <v>-20.215514009770398</v>
      </c>
      <c r="I568" s="6">
        <v>-20.215514009770398</v>
      </c>
      <c r="J568" s="6">
        <v>-20.215514009770398</v>
      </c>
      <c r="K568" s="6">
        <v>1.8228906089352801</v>
      </c>
      <c r="L568" s="6">
        <v>1.8228906089352801</v>
      </c>
      <c r="M568" s="6">
        <v>1.8228906089352801</v>
      </c>
      <c r="N568" s="6">
        <v>-22.038404618705702</v>
      </c>
      <c r="O568" s="6">
        <v>-22.038404618705702</v>
      </c>
      <c r="P568" s="6">
        <v>-22.038404618705702</v>
      </c>
      <c r="Q568" s="6">
        <v>0</v>
      </c>
      <c r="R568" s="6">
        <v>0</v>
      </c>
      <c r="S568" s="6">
        <v>0</v>
      </c>
      <c r="T568" s="6">
        <v>57.739901486328101</v>
      </c>
    </row>
    <row r="569" spans="1:20" ht="13" x14ac:dyDescent="0.15">
      <c r="A569" s="6">
        <v>567</v>
      </c>
      <c r="B569" s="7">
        <v>43984</v>
      </c>
      <c r="C569" s="6">
        <v>78.518743345088097</v>
      </c>
      <c r="D569" s="6">
        <v>24.748615092894099</v>
      </c>
      <c r="E569" s="6">
        <v>90.433855671591402</v>
      </c>
      <c r="F569" s="6">
        <v>78.518743345088097</v>
      </c>
      <c r="G569" s="6">
        <v>78.518743345088097</v>
      </c>
      <c r="H569" s="6">
        <v>-20.788173197641399</v>
      </c>
      <c r="I569" s="6">
        <v>-20.788173197641399</v>
      </c>
      <c r="J569" s="6">
        <v>-20.788173197641399</v>
      </c>
      <c r="K569" s="6">
        <v>0.84522403106396005</v>
      </c>
      <c r="L569" s="6">
        <v>0.84522403106396005</v>
      </c>
      <c r="M569" s="6">
        <v>0.84522403106396005</v>
      </c>
      <c r="N569" s="6">
        <v>-21.633397228705299</v>
      </c>
      <c r="O569" s="6">
        <v>-21.633397228705299</v>
      </c>
      <c r="P569" s="6">
        <v>-21.633397228705299</v>
      </c>
      <c r="Q569" s="6">
        <v>0</v>
      </c>
      <c r="R569" s="6">
        <v>0</v>
      </c>
      <c r="S569" s="6">
        <v>0</v>
      </c>
      <c r="T569" s="6">
        <v>57.730570147446699</v>
      </c>
    </row>
    <row r="570" spans="1:20" ht="13" x14ac:dyDescent="0.15">
      <c r="A570" s="6">
        <v>568</v>
      </c>
      <c r="B570" s="7">
        <v>43985</v>
      </c>
      <c r="C570" s="6">
        <v>79.082071194077301</v>
      </c>
      <c r="D570" s="6">
        <v>25.815060442584599</v>
      </c>
      <c r="E570" s="6">
        <v>87.989692276731404</v>
      </c>
      <c r="F570" s="6">
        <v>79.082071194077301</v>
      </c>
      <c r="G570" s="6">
        <v>79.082071194077301</v>
      </c>
      <c r="H570" s="6">
        <v>-20.316777277346102</v>
      </c>
      <c r="I570" s="6">
        <v>-20.316777277346102</v>
      </c>
      <c r="J570" s="6">
        <v>-20.316777277346102</v>
      </c>
      <c r="K570" s="6">
        <v>0.94874688043750899</v>
      </c>
      <c r="L570" s="6">
        <v>0.94874688043750899</v>
      </c>
      <c r="M570" s="6">
        <v>0.94874688043750899</v>
      </c>
      <c r="N570" s="6">
        <v>-21.265524157783599</v>
      </c>
      <c r="O570" s="6">
        <v>-21.265524157783599</v>
      </c>
      <c r="P570" s="6">
        <v>-21.265524157783599</v>
      </c>
      <c r="Q570" s="6">
        <v>0</v>
      </c>
      <c r="R570" s="6">
        <v>0</v>
      </c>
      <c r="S570" s="6">
        <v>0</v>
      </c>
      <c r="T570" s="6">
        <v>58.765293916731203</v>
      </c>
    </row>
    <row r="571" spans="1:20" ht="13" x14ac:dyDescent="0.15">
      <c r="A571" s="6">
        <v>569</v>
      </c>
      <c r="B571" s="7">
        <v>43986</v>
      </c>
      <c r="C571" s="6">
        <v>79.645399043066803</v>
      </c>
      <c r="D571" s="6">
        <v>26.618183806765799</v>
      </c>
      <c r="E571" s="6">
        <v>91.963955404677606</v>
      </c>
      <c r="F571" s="6">
        <v>79.645399043066803</v>
      </c>
      <c r="G571" s="6">
        <v>79.645399043066803</v>
      </c>
      <c r="H571" s="6">
        <v>-20.453236084667601</v>
      </c>
      <c r="I571" s="6">
        <v>-20.453236084667601</v>
      </c>
      <c r="J571" s="6">
        <v>-20.453236084667601</v>
      </c>
      <c r="K571" s="6">
        <v>0.49015521355887798</v>
      </c>
      <c r="L571" s="6">
        <v>0.49015521355887798</v>
      </c>
      <c r="M571" s="6">
        <v>0.49015521355887798</v>
      </c>
      <c r="N571" s="6">
        <v>-20.943391298226398</v>
      </c>
      <c r="O571" s="6">
        <v>-20.943391298226398</v>
      </c>
      <c r="P571" s="6">
        <v>-20.943391298226398</v>
      </c>
      <c r="Q571" s="6">
        <v>0</v>
      </c>
      <c r="R571" s="6">
        <v>0</v>
      </c>
      <c r="S571" s="6">
        <v>0</v>
      </c>
      <c r="T571" s="6">
        <v>59.192162958399202</v>
      </c>
    </row>
    <row r="572" spans="1:20" ht="13" x14ac:dyDescent="0.15">
      <c r="A572" s="6">
        <v>570</v>
      </c>
      <c r="B572" s="7">
        <v>43987</v>
      </c>
      <c r="C572" s="6">
        <v>80.208726892056305</v>
      </c>
      <c r="D572" s="6">
        <v>26.935165182554002</v>
      </c>
      <c r="E572" s="6">
        <v>92.064416102976594</v>
      </c>
      <c r="F572" s="6">
        <v>80.208726892056305</v>
      </c>
      <c r="G572" s="6">
        <v>80.208726892056305</v>
      </c>
      <c r="H572" s="6">
        <v>-20.6963498755944</v>
      </c>
      <c r="I572" s="6">
        <v>-20.6963498755944</v>
      </c>
      <c r="J572" s="6">
        <v>-20.6963498755944</v>
      </c>
      <c r="K572" s="6">
        <v>-2.2976765058574902E-2</v>
      </c>
      <c r="L572" s="6">
        <v>-2.2976765058574902E-2</v>
      </c>
      <c r="M572" s="6">
        <v>-2.2976765058574902E-2</v>
      </c>
      <c r="N572" s="6">
        <v>-20.673373110535799</v>
      </c>
      <c r="O572" s="6">
        <v>-20.673373110535799</v>
      </c>
      <c r="P572" s="6">
        <v>-20.673373110535799</v>
      </c>
      <c r="Q572" s="6">
        <v>0</v>
      </c>
      <c r="R572" s="6">
        <v>0</v>
      </c>
      <c r="S572" s="6">
        <v>0</v>
      </c>
      <c r="T572" s="6">
        <v>59.512377016461897</v>
      </c>
    </row>
    <row r="573" spans="1:20" ht="13" x14ac:dyDescent="0.15">
      <c r="A573" s="6">
        <v>571</v>
      </c>
      <c r="B573" s="7">
        <v>43990</v>
      </c>
      <c r="C573" s="6">
        <v>81.898710439024498</v>
      </c>
      <c r="D573" s="6">
        <v>29.8425173643672</v>
      </c>
      <c r="E573" s="6">
        <v>94.117946606497995</v>
      </c>
      <c r="F573" s="6">
        <v>81.898710439024498</v>
      </c>
      <c r="G573" s="6">
        <v>81.898710439024498</v>
      </c>
      <c r="H573" s="6">
        <v>-18.381401170694701</v>
      </c>
      <c r="I573" s="6">
        <v>-18.381401170694701</v>
      </c>
      <c r="J573" s="6">
        <v>-18.381401170694701</v>
      </c>
      <c r="K573" s="6">
        <v>1.8228906089357799</v>
      </c>
      <c r="L573" s="6">
        <v>1.8228906089357799</v>
      </c>
      <c r="M573" s="6">
        <v>1.8228906089357799</v>
      </c>
      <c r="N573" s="6">
        <v>-20.204291779630498</v>
      </c>
      <c r="O573" s="6">
        <v>-20.204291779630498</v>
      </c>
      <c r="P573" s="6">
        <v>-20.204291779630498</v>
      </c>
      <c r="Q573" s="6">
        <v>0</v>
      </c>
      <c r="R573" s="6">
        <v>0</v>
      </c>
      <c r="S573" s="6">
        <v>0</v>
      </c>
      <c r="T573" s="6">
        <v>63.517309268329697</v>
      </c>
    </row>
    <row r="574" spans="1:20" ht="13" x14ac:dyDescent="0.15">
      <c r="A574" s="6">
        <v>572</v>
      </c>
      <c r="B574" s="7">
        <v>43991</v>
      </c>
      <c r="C574" s="6">
        <v>82.4620382880139</v>
      </c>
      <c r="D574" s="6">
        <v>30.873849906598601</v>
      </c>
      <c r="E574" s="6">
        <v>94.922366983259707</v>
      </c>
      <c r="F574" s="6">
        <v>82.4620382880139</v>
      </c>
      <c r="G574" s="6">
        <v>82.4620382880139</v>
      </c>
      <c r="H574" s="6">
        <v>-19.3139853368918</v>
      </c>
      <c r="I574" s="6">
        <v>-19.3139853368918</v>
      </c>
      <c r="J574" s="6">
        <v>-19.3139853368918</v>
      </c>
      <c r="K574" s="6">
        <v>0.84522403106788602</v>
      </c>
      <c r="L574" s="6">
        <v>0.84522403106788602</v>
      </c>
      <c r="M574" s="6">
        <v>0.84522403106788602</v>
      </c>
      <c r="N574" s="6">
        <v>-20.159209367959701</v>
      </c>
      <c r="O574" s="6">
        <v>-20.159209367959701</v>
      </c>
      <c r="P574" s="6">
        <v>-20.159209367959701</v>
      </c>
      <c r="Q574" s="6">
        <v>0</v>
      </c>
      <c r="R574" s="6">
        <v>0</v>
      </c>
      <c r="S574" s="6">
        <v>0</v>
      </c>
      <c r="T574" s="6">
        <v>63.148052951121997</v>
      </c>
    </row>
    <row r="575" spans="1:20" ht="13" x14ac:dyDescent="0.15">
      <c r="A575" s="6">
        <v>573</v>
      </c>
      <c r="B575" s="7">
        <v>43992</v>
      </c>
      <c r="C575" s="6">
        <v>83.025366137003303</v>
      </c>
      <c r="D575" s="6">
        <v>32.632856910270398</v>
      </c>
      <c r="E575" s="6">
        <v>96.999744829860902</v>
      </c>
      <c r="F575" s="6">
        <v>83.025366137003303</v>
      </c>
      <c r="G575" s="6">
        <v>83.025366137003303</v>
      </c>
      <c r="H575" s="6">
        <v>-19.214261371119498</v>
      </c>
      <c r="I575" s="6">
        <v>-19.214261371119498</v>
      </c>
      <c r="J575" s="6">
        <v>-19.214261371119498</v>
      </c>
      <c r="K575" s="6">
        <v>0.94874688043935795</v>
      </c>
      <c r="L575" s="6">
        <v>0.94874688043935795</v>
      </c>
      <c r="M575" s="6">
        <v>0.94874688043935795</v>
      </c>
      <c r="N575" s="6">
        <v>-20.1630082515588</v>
      </c>
      <c r="O575" s="6">
        <v>-20.1630082515588</v>
      </c>
      <c r="P575" s="6">
        <v>-20.1630082515588</v>
      </c>
      <c r="Q575" s="6">
        <v>0</v>
      </c>
      <c r="R575" s="6">
        <v>0</v>
      </c>
      <c r="S575" s="6">
        <v>0</v>
      </c>
      <c r="T575" s="6">
        <v>63.811104765883798</v>
      </c>
    </row>
    <row r="576" spans="1:20" ht="13" x14ac:dyDescent="0.15">
      <c r="A576" s="6">
        <v>574</v>
      </c>
      <c r="B576" s="7">
        <v>43993</v>
      </c>
      <c r="C576" s="6">
        <v>83.588693985992805</v>
      </c>
      <c r="D576" s="6">
        <v>33.9609276541497</v>
      </c>
      <c r="E576" s="6">
        <v>94.871188314890503</v>
      </c>
      <c r="F576" s="6">
        <v>83.588693985992805</v>
      </c>
      <c r="G576" s="6">
        <v>83.588693985992805</v>
      </c>
      <c r="H576" s="6">
        <v>-19.718524124613801</v>
      </c>
      <c r="I576" s="6">
        <v>-19.718524124613801</v>
      </c>
      <c r="J576" s="6">
        <v>-19.718524124613801</v>
      </c>
      <c r="K576" s="6">
        <v>0.49015521355604003</v>
      </c>
      <c r="L576" s="6">
        <v>0.49015521355604003</v>
      </c>
      <c r="M576" s="6">
        <v>0.49015521355604003</v>
      </c>
      <c r="N576" s="6">
        <v>-20.208679338169802</v>
      </c>
      <c r="O576" s="6">
        <v>-20.208679338169802</v>
      </c>
      <c r="P576" s="6">
        <v>-20.208679338169802</v>
      </c>
      <c r="Q576" s="6">
        <v>0</v>
      </c>
      <c r="R576" s="6">
        <v>0</v>
      </c>
      <c r="S576" s="6">
        <v>0</v>
      </c>
      <c r="T576" s="6">
        <v>63.870169861378997</v>
      </c>
    </row>
    <row r="577" spans="1:20" ht="13" x14ac:dyDescent="0.15">
      <c r="A577" s="6">
        <v>575</v>
      </c>
      <c r="B577" s="7">
        <v>43994</v>
      </c>
      <c r="C577" s="6">
        <v>84.152021834982193</v>
      </c>
      <c r="D577" s="6">
        <v>30.776981831986799</v>
      </c>
      <c r="E577" s="6">
        <v>93.560017649737105</v>
      </c>
      <c r="F577" s="6">
        <v>84.152021834982193</v>
      </c>
      <c r="G577" s="6">
        <v>84.152021834982193</v>
      </c>
      <c r="H577" s="6">
        <v>-20.310586173598999</v>
      </c>
      <c r="I577" s="6">
        <v>-20.310586173598999</v>
      </c>
      <c r="J577" s="6">
        <v>-20.310586173598999</v>
      </c>
      <c r="K577" s="6">
        <v>-2.2976765065745398E-2</v>
      </c>
      <c r="L577" s="6">
        <v>-2.2976765065745398E-2</v>
      </c>
      <c r="M577" s="6">
        <v>-2.2976765065745398E-2</v>
      </c>
      <c r="N577" s="6">
        <v>-20.287609408533299</v>
      </c>
      <c r="O577" s="6">
        <v>-20.287609408533299</v>
      </c>
      <c r="P577" s="6">
        <v>-20.287609408533299</v>
      </c>
      <c r="Q577" s="6">
        <v>0</v>
      </c>
      <c r="R577" s="6">
        <v>0</v>
      </c>
      <c r="S577" s="6">
        <v>0</v>
      </c>
      <c r="T577" s="6">
        <v>63.841435661383102</v>
      </c>
    </row>
    <row r="578" spans="1:20" ht="13" x14ac:dyDescent="0.15">
      <c r="A578" s="6">
        <v>576</v>
      </c>
      <c r="B578" s="7">
        <v>43997</v>
      </c>
      <c r="C578" s="6">
        <v>85.8420053819505</v>
      </c>
      <c r="D578" s="6">
        <v>34.973566006285303</v>
      </c>
      <c r="E578" s="6">
        <v>101.679971880887</v>
      </c>
      <c r="F578" s="6">
        <v>85.8420053819505</v>
      </c>
      <c r="G578" s="6">
        <v>85.8420053819505</v>
      </c>
      <c r="H578" s="6">
        <v>-18.797894758631202</v>
      </c>
      <c r="I578" s="6">
        <v>-18.797894758631202</v>
      </c>
      <c r="J578" s="6">
        <v>-18.797894758631202</v>
      </c>
      <c r="K578" s="6">
        <v>1.8228906089374901</v>
      </c>
      <c r="L578" s="6">
        <v>1.8228906089374901</v>
      </c>
      <c r="M578" s="6">
        <v>1.8228906089374901</v>
      </c>
      <c r="N578" s="6">
        <v>-20.620785367568701</v>
      </c>
      <c r="O578" s="6">
        <v>-20.620785367568701</v>
      </c>
      <c r="P578" s="6">
        <v>-20.620785367568701</v>
      </c>
      <c r="Q578" s="6">
        <v>0</v>
      </c>
      <c r="R578" s="6">
        <v>0</v>
      </c>
      <c r="S578" s="6">
        <v>0</v>
      </c>
      <c r="T578" s="6">
        <v>67.044110623319298</v>
      </c>
    </row>
    <row r="579" spans="1:20" ht="13" x14ac:dyDescent="0.15">
      <c r="A579" s="6">
        <v>577</v>
      </c>
      <c r="B579" s="7">
        <v>43998</v>
      </c>
      <c r="C579" s="6">
        <v>86.405333230939902</v>
      </c>
      <c r="D579" s="6">
        <v>34.384708100868799</v>
      </c>
      <c r="E579" s="6">
        <v>97.146886283128694</v>
      </c>
      <c r="F579" s="6">
        <v>86.405333230939902</v>
      </c>
      <c r="G579" s="6">
        <v>86.405333230939902</v>
      </c>
      <c r="H579" s="6">
        <v>-19.881277704945202</v>
      </c>
      <c r="I579" s="6">
        <v>-19.881277704945202</v>
      </c>
      <c r="J579" s="6">
        <v>-19.881277704945202</v>
      </c>
      <c r="K579" s="6">
        <v>0.84522403106642896</v>
      </c>
      <c r="L579" s="6">
        <v>0.84522403106642896</v>
      </c>
      <c r="M579" s="6">
        <v>0.84522403106642896</v>
      </c>
      <c r="N579" s="6">
        <v>-20.726501736011699</v>
      </c>
      <c r="O579" s="6">
        <v>-20.726501736011699</v>
      </c>
      <c r="P579" s="6">
        <v>-20.726501736011699</v>
      </c>
      <c r="Q579" s="6">
        <v>0</v>
      </c>
      <c r="R579" s="6">
        <v>0</v>
      </c>
      <c r="S579" s="6">
        <v>0</v>
      </c>
      <c r="T579" s="6">
        <v>66.524055525994598</v>
      </c>
    </row>
    <row r="580" spans="1:20" ht="13" x14ac:dyDescent="0.15">
      <c r="A580" s="6">
        <v>578</v>
      </c>
      <c r="B580" s="7">
        <v>43999</v>
      </c>
      <c r="C580" s="6">
        <v>86.968661079929205</v>
      </c>
      <c r="D580" s="6">
        <v>35.531313737571999</v>
      </c>
      <c r="E580" s="6">
        <v>101.258065957252</v>
      </c>
      <c r="F580" s="6">
        <v>86.968661079929205</v>
      </c>
      <c r="G580" s="6">
        <v>86.968661079929205</v>
      </c>
      <c r="H580" s="6">
        <v>-19.861879043972401</v>
      </c>
      <c r="I580" s="6">
        <v>-19.861879043972401</v>
      </c>
      <c r="J580" s="6">
        <v>-19.861879043972401</v>
      </c>
      <c r="K580" s="6">
        <v>0.94874688043852795</v>
      </c>
      <c r="L580" s="6">
        <v>0.94874688043852795</v>
      </c>
      <c r="M580" s="6">
        <v>0.94874688043852795</v>
      </c>
      <c r="N580" s="6">
        <v>-20.8106259244109</v>
      </c>
      <c r="O580" s="6">
        <v>-20.8106259244109</v>
      </c>
      <c r="P580" s="6">
        <v>-20.8106259244109</v>
      </c>
      <c r="Q580" s="6">
        <v>0</v>
      </c>
      <c r="R580" s="6">
        <v>0</v>
      </c>
      <c r="S580" s="6">
        <v>0</v>
      </c>
      <c r="T580" s="6">
        <v>67.106782035956797</v>
      </c>
    </row>
    <row r="581" spans="1:20" ht="13" x14ac:dyDescent="0.15">
      <c r="A581" s="6">
        <v>579</v>
      </c>
      <c r="B581" s="7">
        <v>44000</v>
      </c>
      <c r="C581" s="6">
        <v>87.531988928918693</v>
      </c>
      <c r="D581" s="6">
        <v>36.948329113839598</v>
      </c>
      <c r="E581" s="6">
        <v>100.587415669194</v>
      </c>
      <c r="F581" s="6">
        <v>87.531988928918693</v>
      </c>
      <c r="G581" s="6">
        <v>87.531988928918693</v>
      </c>
      <c r="H581" s="6">
        <v>-20.372341943717899</v>
      </c>
      <c r="I581" s="6">
        <v>-20.372341943717899</v>
      </c>
      <c r="J581" s="6">
        <v>-20.372341943717899</v>
      </c>
      <c r="K581" s="6">
        <v>0.49015521355721903</v>
      </c>
      <c r="L581" s="6">
        <v>0.49015521355721903</v>
      </c>
      <c r="M581" s="6">
        <v>0.49015521355721903</v>
      </c>
      <c r="N581" s="6">
        <v>-20.862497157275101</v>
      </c>
      <c r="O581" s="6">
        <v>-20.862497157275101</v>
      </c>
      <c r="P581" s="6">
        <v>-20.862497157275101</v>
      </c>
      <c r="Q581" s="6">
        <v>0</v>
      </c>
      <c r="R581" s="6">
        <v>0</v>
      </c>
      <c r="S581" s="6">
        <v>0</v>
      </c>
      <c r="T581" s="6">
        <v>67.159646985200794</v>
      </c>
    </row>
    <row r="582" spans="1:20" ht="13" x14ac:dyDescent="0.15">
      <c r="A582" s="6">
        <v>580</v>
      </c>
      <c r="B582" s="7">
        <v>44001</v>
      </c>
      <c r="C582" s="6">
        <v>88.095316777908195</v>
      </c>
      <c r="D582" s="6">
        <v>36.678289091494698</v>
      </c>
      <c r="E582" s="6">
        <v>101.26057696882</v>
      </c>
      <c r="F582" s="6">
        <v>88.095316777908195</v>
      </c>
      <c r="G582" s="6">
        <v>88.095316777908195</v>
      </c>
      <c r="H582" s="6">
        <v>-20.895392937851501</v>
      </c>
      <c r="I582" s="6">
        <v>-20.895392937851501</v>
      </c>
      <c r="J582" s="6">
        <v>-20.895392937851501</v>
      </c>
      <c r="K582" s="6">
        <v>-2.2976765063799101E-2</v>
      </c>
      <c r="L582" s="6">
        <v>-2.2976765063799101E-2</v>
      </c>
      <c r="M582" s="6">
        <v>-2.2976765063799101E-2</v>
      </c>
      <c r="N582" s="6">
        <v>-20.872416172787698</v>
      </c>
      <c r="O582" s="6">
        <v>-20.872416172787698</v>
      </c>
      <c r="P582" s="6">
        <v>-20.872416172787698</v>
      </c>
      <c r="Q582" s="6">
        <v>0</v>
      </c>
      <c r="R582" s="6">
        <v>0</v>
      </c>
      <c r="S582" s="6">
        <v>0</v>
      </c>
      <c r="T582" s="6">
        <v>67.199923840056698</v>
      </c>
    </row>
    <row r="583" spans="1:20" ht="13" x14ac:dyDescent="0.15">
      <c r="A583" s="6">
        <v>581</v>
      </c>
      <c r="B583" s="7">
        <v>44004</v>
      </c>
      <c r="C583" s="6">
        <v>89.785300324876403</v>
      </c>
      <c r="D583" s="6">
        <v>37.926055042449399</v>
      </c>
      <c r="E583" s="6">
        <v>100.03640886494701</v>
      </c>
      <c r="F583" s="6">
        <v>89.785300324876403</v>
      </c>
      <c r="G583" s="6">
        <v>89.785300324876403</v>
      </c>
      <c r="H583" s="6">
        <v>-18.751247693917101</v>
      </c>
      <c r="I583" s="6">
        <v>-18.751247693917101</v>
      </c>
      <c r="J583" s="6">
        <v>-18.751247693917101</v>
      </c>
      <c r="K583" s="6">
        <v>1.8228906089379899</v>
      </c>
      <c r="L583" s="6">
        <v>1.8228906089379899</v>
      </c>
      <c r="M583" s="6">
        <v>1.8228906089379899</v>
      </c>
      <c r="N583" s="6">
        <v>-20.574138302855101</v>
      </c>
      <c r="O583" s="6">
        <v>-20.574138302855101</v>
      </c>
      <c r="P583" s="6">
        <v>-20.574138302855101</v>
      </c>
      <c r="Q583" s="6">
        <v>0</v>
      </c>
      <c r="R583" s="6">
        <v>0</v>
      </c>
      <c r="S583" s="6">
        <v>0</v>
      </c>
      <c r="T583" s="6">
        <v>71.034052630959295</v>
      </c>
    </row>
    <row r="584" spans="1:20" ht="13" x14ac:dyDescent="0.15">
      <c r="A584" s="6">
        <v>582</v>
      </c>
      <c r="B584" s="7">
        <v>44005</v>
      </c>
      <c r="C584" s="6">
        <v>90.348628173865805</v>
      </c>
      <c r="D584" s="6">
        <v>39.611914568375703</v>
      </c>
      <c r="E584" s="6">
        <v>103.280999284872</v>
      </c>
      <c r="F584" s="6">
        <v>90.348628173865805</v>
      </c>
      <c r="G584" s="6">
        <v>90.348628173865805</v>
      </c>
      <c r="H584" s="6">
        <v>-19.5032083433968</v>
      </c>
      <c r="I584" s="6">
        <v>-19.5032083433968</v>
      </c>
      <c r="J584" s="6">
        <v>-19.5032083433968</v>
      </c>
      <c r="K584" s="6">
        <v>0.84522403106659605</v>
      </c>
      <c r="L584" s="6">
        <v>0.84522403106659605</v>
      </c>
      <c r="M584" s="6">
        <v>0.84522403106659605</v>
      </c>
      <c r="N584" s="6">
        <v>-20.3484323744634</v>
      </c>
      <c r="O584" s="6">
        <v>-20.3484323744634</v>
      </c>
      <c r="P584" s="6">
        <v>-20.3484323744634</v>
      </c>
      <c r="Q584" s="6">
        <v>0</v>
      </c>
      <c r="R584" s="6">
        <v>0</v>
      </c>
      <c r="S584" s="6">
        <v>0</v>
      </c>
      <c r="T584" s="6">
        <v>70.845419830468899</v>
      </c>
    </row>
    <row r="585" spans="1:20" ht="13" x14ac:dyDescent="0.15">
      <c r="A585" s="6">
        <v>583</v>
      </c>
      <c r="B585" s="7">
        <v>44006</v>
      </c>
      <c r="C585" s="6">
        <v>90.911956022855193</v>
      </c>
      <c r="D585" s="6">
        <v>40.555481786874203</v>
      </c>
      <c r="E585" s="6">
        <v>103.14309542611301</v>
      </c>
      <c r="F585" s="6">
        <v>90.911956022855193</v>
      </c>
      <c r="G585" s="6">
        <v>90.911956022855193</v>
      </c>
      <c r="H585" s="6">
        <v>-19.107158746911502</v>
      </c>
      <c r="I585" s="6">
        <v>-19.107158746911502</v>
      </c>
      <c r="J585" s="6">
        <v>-19.107158746911502</v>
      </c>
      <c r="K585" s="6">
        <v>0.94874688043769695</v>
      </c>
      <c r="L585" s="6">
        <v>0.94874688043769695</v>
      </c>
      <c r="M585" s="6">
        <v>0.94874688043769695</v>
      </c>
      <c r="N585" s="6">
        <v>-20.055905627349201</v>
      </c>
      <c r="O585" s="6">
        <v>-20.055905627349201</v>
      </c>
      <c r="P585" s="6">
        <v>-20.055905627349201</v>
      </c>
      <c r="Q585" s="6">
        <v>0</v>
      </c>
      <c r="R585" s="6">
        <v>0</v>
      </c>
      <c r="S585" s="6">
        <v>0</v>
      </c>
      <c r="T585" s="6">
        <v>71.804797275943699</v>
      </c>
    </row>
    <row r="586" spans="1:20" ht="13" x14ac:dyDescent="0.15">
      <c r="A586" s="6">
        <v>584</v>
      </c>
      <c r="B586" s="7">
        <v>44007</v>
      </c>
      <c r="C586" s="6">
        <v>91.475283871844695</v>
      </c>
      <c r="D586" s="6">
        <v>41.134706369606398</v>
      </c>
      <c r="E586" s="6">
        <v>103.890139547313</v>
      </c>
      <c r="F586" s="6">
        <v>91.475283871844695</v>
      </c>
      <c r="G586" s="6">
        <v>91.475283871844695</v>
      </c>
      <c r="H586" s="6">
        <v>-19.207207025117501</v>
      </c>
      <c r="I586" s="6">
        <v>-19.207207025117501</v>
      </c>
      <c r="J586" s="6">
        <v>-19.207207025117501</v>
      </c>
      <c r="K586" s="6">
        <v>0.49015521355693997</v>
      </c>
      <c r="L586" s="6">
        <v>0.49015521355693997</v>
      </c>
      <c r="M586" s="6">
        <v>0.49015521355693997</v>
      </c>
      <c r="N586" s="6">
        <v>-19.697362238674501</v>
      </c>
      <c r="O586" s="6">
        <v>-19.697362238674501</v>
      </c>
      <c r="P586" s="6">
        <v>-19.697362238674501</v>
      </c>
      <c r="Q586" s="6">
        <v>0</v>
      </c>
      <c r="R586" s="6">
        <v>0</v>
      </c>
      <c r="S586" s="6">
        <v>0</v>
      </c>
      <c r="T586" s="6">
        <v>72.268076846727098</v>
      </c>
    </row>
    <row r="587" spans="1:20" ht="13" x14ac:dyDescent="0.15">
      <c r="A587" s="6">
        <v>585</v>
      </c>
      <c r="B587" s="7">
        <v>44008</v>
      </c>
      <c r="C587" s="6">
        <v>92.038611720834098</v>
      </c>
      <c r="D587" s="6">
        <v>40.601297614214502</v>
      </c>
      <c r="E587" s="6">
        <v>105.454502942961</v>
      </c>
      <c r="F587" s="6">
        <v>92.038611720834098</v>
      </c>
      <c r="G587" s="6">
        <v>92.038611720834098</v>
      </c>
      <c r="H587" s="6">
        <v>-19.298561451121198</v>
      </c>
      <c r="I587" s="6">
        <v>-19.298561451121198</v>
      </c>
      <c r="J587" s="6">
        <v>-19.298561451121198</v>
      </c>
      <c r="K587" s="6">
        <v>-2.2976765066411199E-2</v>
      </c>
      <c r="L587" s="6">
        <v>-2.2976765066411199E-2</v>
      </c>
      <c r="M587" s="6">
        <v>-2.2976765066411199E-2</v>
      </c>
      <c r="N587" s="6">
        <v>-19.275584686054799</v>
      </c>
      <c r="O587" s="6">
        <v>-19.275584686054799</v>
      </c>
      <c r="P587" s="6">
        <v>-19.275584686054799</v>
      </c>
      <c r="Q587" s="6">
        <v>0</v>
      </c>
      <c r="R587" s="6">
        <v>0</v>
      </c>
      <c r="S587" s="6">
        <v>0</v>
      </c>
      <c r="T587" s="6">
        <v>72.740050269712796</v>
      </c>
    </row>
    <row r="588" spans="1:20" ht="13" x14ac:dyDescent="0.15">
      <c r="A588" s="6">
        <v>586</v>
      </c>
      <c r="B588" s="7">
        <v>44011</v>
      </c>
      <c r="C588" s="6">
        <v>93.728595267802305</v>
      </c>
      <c r="D588" s="6">
        <v>46.269476493347902</v>
      </c>
      <c r="E588" s="6">
        <v>109.275093853724</v>
      </c>
      <c r="F588" s="6">
        <v>93.728595267802305</v>
      </c>
      <c r="G588" s="6">
        <v>93.728595267802305</v>
      </c>
      <c r="H588" s="6">
        <v>-15.8627572096172</v>
      </c>
      <c r="I588" s="6">
        <v>-15.8627572096172</v>
      </c>
      <c r="J588" s="6">
        <v>-15.8627572096172</v>
      </c>
      <c r="K588" s="6">
        <v>1.8228906089397101</v>
      </c>
      <c r="L588" s="6">
        <v>1.8228906089397101</v>
      </c>
      <c r="M588" s="6">
        <v>1.8228906089397101</v>
      </c>
      <c r="N588" s="6">
        <v>-17.685647818556902</v>
      </c>
      <c r="O588" s="6">
        <v>-17.685647818556902</v>
      </c>
      <c r="P588" s="6">
        <v>-17.685647818556902</v>
      </c>
      <c r="Q588" s="6">
        <v>0</v>
      </c>
      <c r="R588" s="6">
        <v>0</v>
      </c>
      <c r="S588" s="6">
        <v>0</v>
      </c>
      <c r="T588" s="6">
        <v>77.865838058185005</v>
      </c>
    </row>
    <row r="589" spans="1:20" ht="13" x14ac:dyDescent="0.15">
      <c r="A589" s="6">
        <v>587</v>
      </c>
      <c r="B589" s="7">
        <v>44012</v>
      </c>
      <c r="C589" s="6">
        <v>94.291923116791807</v>
      </c>
      <c r="D589" s="6">
        <v>46.1404110493608</v>
      </c>
      <c r="E589" s="6">
        <v>109.350914451324</v>
      </c>
      <c r="F589" s="6">
        <v>94.291923116791807</v>
      </c>
      <c r="G589" s="6">
        <v>94.291923116791807</v>
      </c>
      <c r="H589" s="6">
        <v>-16.228068870894099</v>
      </c>
      <c r="I589" s="6">
        <v>-16.228068870894099</v>
      </c>
      <c r="J589" s="6">
        <v>-16.228068870894099</v>
      </c>
      <c r="K589" s="6">
        <v>0.84522403106513899</v>
      </c>
      <c r="L589" s="6">
        <v>0.84522403106513899</v>
      </c>
      <c r="M589" s="6">
        <v>0.84522403106513899</v>
      </c>
      <c r="N589" s="6">
        <v>-17.073292901959199</v>
      </c>
      <c r="O589" s="6">
        <v>-17.073292901959199</v>
      </c>
      <c r="P589" s="6">
        <v>-17.073292901959199</v>
      </c>
      <c r="Q589" s="6">
        <v>0</v>
      </c>
      <c r="R589" s="6">
        <v>0</v>
      </c>
      <c r="S589" s="6">
        <v>0</v>
      </c>
      <c r="T589" s="6">
        <v>78.063854245897602</v>
      </c>
    </row>
    <row r="590" spans="1:20" ht="13" x14ac:dyDescent="0.15">
      <c r="A590" s="6">
        <v>588</v>
      </c>
      <c r="B590" s="7">
        <v>44013</v>
      </c>
      <c r="C590" s="6">
        <v>94.855250965781096</v>
      </c>
      <c r="D590" s="6">
        <v>44.845004495248503</v>
      </c>
      <c r="E590" s="6">
        <v>112.027139173515</v>
      </c>
      <c r="F590" s="6">
        <v>94.855250965781096</v>
      </c>
      <c r="G590" s="6">
        <v>94.855250965781096</v>
      </c>
      <c r="H590" s="6">
        <v>-15.486754260439101</v>
      </c>
      <c r="I590" s="6">
        <v>-15.486754260439101</v>
      </c>
      <c r="J590" s="6">
        <v>-15.486754260439101</v>
      </c>
      <c r="K590" s="6">
        <v>0.94874688043540101</v>
      </c>
      <c r="L590" s="6">
        <v>0.94874688043540101</v>
      </c>
      <c r="M590" s="6">
        <v>0.94874688043540101</v>
      </c>
      <c r="N590" s="6">
        <v>-16.4355011408745</v>
      </c>
      <c r="O590" s="6">
        <v>-16.4355011408745</v>
      </c>
      <c r="P590" s="6">
        <v>-16.4355011408745</v>
      </c>
      <c r="Q590" s="6">
        <v>0</v>
      </c>
      <c r="R590" s="6">
        <v>0</v>
      </c>
      <c r="S590" s="6">
        <v>0</v>
      </c>
      <c r="T590" s="6">
        <v>79.368496705341997</v>
      </c>
    </row>
    <row r="591" spans="1:20" ht="13" x14ac:dyDescent="0.15">
      <c r="A591" s="6">
        <v>589</v>
      </c>
      <c r="B591" s="7">
        <v>44014</v>
      </c>
      <c r="C591" s="6">
        <v>95.418578814770598</v>
      </c>
      <c r="D591" s="6">
        <v>48.809762907070699</v>
      </c>
      <c r="E591" s="6">
        <v>112.516557814216</v>
      </c>
      <c r="F591" s="6">
        <v>95.418578814770598</v>
      </c>
      <c r="G591" s="6">
        <v>95.418578814770598</v>
      </c>
      <c r="H591" s="6">
        <v>-15.2926045186608</v>
      </c>
      <c r="I591" s="6">
        <v>-15.2926045186608</v>
      </c>
      <c r="J591" s="6">
        <v>-15.2926045186608</v>
      </c>
      <c r="K591" s="6">
        <v>0.49015521355811997</v>
      </c>
      <c r="L591" s="6">
        <v>0.49015521355811997</v>
      </c>
      <c r="M591" s="6">
        <v>0.49015521355811997</v>
      </c>
      <c r="N591" s="6">
        <v>-15.782759732218899</v>
      </c>
      <c r="O591" s="6">
        <v>-15.782759732218899</v>
      </c>
      <c r="P591" s="6">
        <v>-15.782759732218899</v>
      </c>
      <c r="Q591" s="6">
        <v>0</v>
      </c>
      <c r="R591" s="6">
        <v>0</v>
      </c>
      <c r="S591" s="6">
        <v>0</v>
      </c>
      <c r="T591" s="6">
        <v>80.125974296109803</v>
      </c>
    </row>
    <row r="592" spans="1:20" ht="13" x14ac:dyDescent="0.15">
      <c r="A592" s="6">
        <v>590</v>
      </c>
      <c r="B592" s="7">
        <v>44018</v>
      </c>
      <c r="C592" s="6">
        <v>97.671890210728293</v>
      </c>
      <c r="D592" s="6">
        <v>54.796792081555502</v>
      </c>
      <c r="E592" s="6">
        <v>116.485894982731</v>
      </c>
      <c r="F592" s="6">
        <v>97.671890210728293</v>
      </c>
      <c r="G592" s="6">
        <v>97.671890210728293</v>
      </c>
      <c r="H592" s="6">
        <v>-11.408791605183101</v>
      </c>
      <c r="I592" s="6">
        <v>-11.408791605183101</v>
      </c>
      <c r="J592" s="6">
        <v>-11.408791605183101</v>
      </c>
      <c r="K592" s="6">
        <v>1.8228906089335</v>
      </c>
      <c r="L592" s="6">
        <v>1.8228906089335</v>
      </c>
      <c r="M592" s="6">
        <v>1.8228906089335</v>
      </c>
      <c r="N592" s="6">
        <v>-13.231682214116599</v>
      </c>
      <c r="O592" s="6">
        <v>-13.231682214116599</v>
      </c>
      <c r="P592" s="6">
        <v>-13.231682214116599</v>
      </c>
      <c r="Q592" s="6">
        <v>0</v>
      </c>
      <c r="R592" s="6">
        <v>0</v>
      </c>
      <c r="S592" s="6">
        <v>0</v>
      </c>
      <c r="T592" s="6">
        <v>86.263098605545096</v>
      </c>
    </row>
    <row r="593" spans="1:20" ht="13" x14ac:dyDescent="0.15">
      <c r="A593" s="6">
        <v>591</v>
      </c>
      <c r="B593" s="7">
        <v>44019</v>
      </c>
      <c r="C593" s="6">
        <v>98.235218059717695</v>
      </c>
      <c r="D593" s="6">
        <v>55.197413563073702</v>
      </c>
      <c r="E593" s="6">
        <v>120.926145404856</v>
      </c>
      <c r="F593" s="6">
        <v>98.235218059717695</v>
      </c>
      <c r="G593" s="6">
        <v>98.235218059717695</v>
      </c>
      <c r="H593" s="6">
        <v>-11.8110480866033</v>
      </c>
      <c r="I593" s="6">
        <v>-11.8110480866033</v>
      </c>
      <c r="J593" s="6">
        <v>-11.8110480866033</v>
      </c>
      <c r="K593" s="6">
        <v>0.84522403106449395</v>
      </c>
      <c r="L593" s="6">
        <v>0.84522403106449395</v>
      </c>
      <c r="M593" s="6">
        <v>0.84522403106449395</v>
      </c>
      <c r="N593" s="6">
        <v>-12.6562721176678</v>
      </c>
      <c r="O593" s="6">
        <v>-12.6562721176678</v>
      </c>
      <c r="P593" s="6">
        <v>-12.6562721176678</v>
      </c>
      <c r="Q593" s="6">
        <v>0</v>
      </c>
      <c r="R593" s="6">
        <v>0</v>
      </c>
      <c r="S593" s="6">
        <v>0</v>
      </c>
      <c r="T593" s="6">
        <v>86.424169973114303</v>
      </c>
    </row>
    <row r="594" spans="1:20" ht="13" x14ac:dyDescent="0.15">
      <c r="A594" s="6">
        <v>592</v>
      </c>
      <c r="B594" s="7">
        <v>44020</v>
      </c>
      <c r="C594" s="6">
        <v>98.798545908707098</v>
      </c>
      <c r="D594" s="6">
        <v>56.464215556265799</v>
      </c>
      <c r="E594" s="6">
        <v>118.14639073588501</v>
      </c>
      <c r="F594" s="6">
        <v>98.798545908707098</v>
      </c>
      <c r="G594" s="6">
        <v>98.798545908707098</v>
      </c>
      <c r="H594" s="6">
        <v>-11.1722593619359</v>
      </c>
      <c r="I594" s="6">
        <v>-11.1722593619359</v>
      </c>
      <c r="J594" s="6">
        <v>-11.1722593619359</v>
      </c>
      <c r="K594" s="6">
        <v>0.94874688043724997</v>
      </c>
      <c r="L594" s="6">
        <v>0.94874688043724997</v>
      </c>
      <c r="M594" s="6">
        <v>0.94874688043724997</v>
      </c>
      <c r="N594" s="6">
        <v>-12.1210062423732</v>
      </c>
      <c r="O594" s="6">
        <v>-12.1210062423732</v>
      </c>
      <c r="P594" s="6">
        <v>-12.1210062423732</v>
      </c>
      <c r="Q594" s="6">
        <v>0</v>
      </c>
      <c r="R594" s="6">
        <v>0</v>
      </c>
      <c r="S594" s="6">
        <v>0</v>
      </c>
      <c r="T594" s="6">
        <v>87.626286546771098</v>
      </c>
    </row>
    <row r="595" spans="1:20" ht="13" x14ac:dyDescent="0.15">
      <c r="A595" s="6">
        <v>593</v>
      </c>
      <c r="B595" s="7">
        <v>44021</v>
      </c>
      <c r="C595" s="6">
        <v>99.3618737576966</v>
      </c>
      <c r="D595" s="6">
        <v>55.452537207445502</v>
      </c>
      <c r="E595" s="6">
        <v>120.234763598569</v>
      </c>
      <c r="F595" s="6">
        <v>99.3618737576966</v>
      </c>
      <c r="G595" s="6">
        <v>99.3618737576966</v>
      </c>
      <c r="H595" s="6">
        <v>-11.140717497861999</v>
      </c>
      <c r="I595" s="6">
        <v>-11.140717497861999</v>
      </c>
      <c r="J595" s="6">
        <v>-11.140717497861999</v>
      </c>
      <c r="K595" s="6">
        <v>0.49015521355528202</v>
      </c>
      <c r="L595" s="6">
        <v>0.49015521355528202</v>
      </c>
      <c r="M595" s="6">
        <v>0.49015521355528202</v>
      </c>
      <c r="N595" s="6">
        <v>-11.630872711417201</v>
      </c>
      <c r="O595" s="6">
        <v>-11.630872711417201</v>
      </c>
      <c r="P595" s="6">
        <v>-11.630872711417201</v>
      </c>
      <c r="Q595" s="6">
        <v>0</v>
      </c>
      <c r="R595" s="6">
        <v>0</v>
      </c>
      <c r="S595" s="6">
        <v>0</v>
      </c>
      <c r="T595" s="6">
        <v>88.221156259834601</v>
      </c>
    </row>
    <row r="596" spans="1:20" ht="13" x14ac:dyDescent="0.15">
      <c r="A596" s="6">
        <v>594</v>
      </c>
      <c r="B596" s="7">
        <v>44022</v>
      </c>
      <c r="C596" s="6">
        <v>99.925201606686002</v>
      </c>
      <c r="D596" s="6">
        <v>59.631694082760397</v>
      </c>
      <c r="E596" s="6">
        <v>119.148883202269</v>
      </c>
      <c r="F596" s="6">
        <v>99.925201606686002</v>
      </c>
      <c r="G596" s="6">
        <v>99.925201606686002</v>
      </c>
      <c r="H596" s="6">
        <v>-11.2120398771116</v>
      </c>
      <c r="I596" s="6">
        <v>-11.2120398771116</v>
      </c>
      <c r="J596" s="6">
        <v>-11.2120398771116</v>
      </c>
      <c r="K596" s="6">
        <v>-2.2976765067077E-2</v>
      </c>
      <c r="L596" s="6">
        <v>-2.2976765067077E-2</v>
      </c>
      <c r="M596" s="6">
        <v>-2.2976765067077E-2</v>
      </c>
      <c r="N596" s="6">
        <v>-11.189063112044501</v>
      </c>
      <c r="O596" s="6">
        <v>-11.189063112044501</v>
      </c>
      <c r="P596" s="6">
        <v>-11.189063112044501</v>
      </c>
      <c r="Q596" s="6">
        <v>0</v>
      </c>
      <c r="R596" s="6">
        <v>0</v>
      </c>
      <c r="S596" s="6">
        <v>0</v>
      </c>
      <c r="T596" s="6">
        <v>88.713161729574296</v>
      </c>
    </row>
    <row r="597" spans="1:20" ht="13" x14ac:dyDescent="0.15">
      <c r="A597" s="6">
        <v>595</v>
      </c>
      <c r="B597" s="7">
        <v>44025</v>
      </c>
      <c r="C597" s="6">
        <v>101.615185153654</v>
      </c>
      <c r="D597" s="6">
        <v>62.847116730479897</v>
      </c>
      <c r="E597" s="6">
        <v>126.43939738186999</v>
      </c>
      <c r="F597" s="6">
        <v>101.615185153654</v>
      </c>
      <c r="G597" s="6">
        <v>101.615185153654</v>
      </c>
      <c r="H597" s="6">
        <v>-8.33393944256472</v>
      </c>
      <c r="I597" s="6">
        <v>-8.33393944256472</v>
      </c>
      <c r="J597" s="6">
        <v>-8.33393944256472</v>
      </c>
      <c r="K597" s="6">
        <v>1.8228906089352099</v>
      </c>
      <c r="L597" s="6">
        <v>1.8228906089352099</v>
      </c>
      <c r="M597" s="6">
        <v>1.8228906089352099</v>
      </c>
      <c r="N597" s="6">
        <v>-10.156830051499901</v>
      </c>
      <c r="O597" s="6">
        <v>-10.156830051499901</v>
      </c>
      <c r="P597" s="6">
        <v>-10.156830051499901</v>
      </c>
      <c r="Q597" s="6">
        <v>0</v>
      </c>
      <c r="R597" s="6">
        <v>0</v>
      </c>
      <c r="S597" s="6">
        <v>0</v>
      </c>
      <c r="T597" s="6">
        <v>93.281245711089497</v>
      </c>
    </row>
    <row r="598" spans="1:20" ht="13" x14ac:dyDescent="0.15">
      <c r="A598" s="6">
        <v>596</v>
      </c>
      <c r="B598" s="7">
        <v>44026</v>
      </c>
      <c r="C598" s="6">
        <v>102.178513002643</v>
      </c>
      <c r="D598" s="6">
        <v>60.658130085586698</v>
      </c>
      <c r="E598" s="6">
        <v>125.390900611154</v>
      </c>
      <c r="F598" s="6">
        <v>102.178513002643</v>
      </c>
      <c r="G598" s="6">
        <v>102.178513002643</v>
      </c>
      <c r="H598" s="6">
        <v>-9.05681963976809</v>
      </c>
      <c r="I598" s="6">
        <v>-9.05681963976809</v>
      </c>
      <c r="J598" s="6">
        <v>-9.05681963976809</v>
      </c>
      <c r="K598" s="6">
        <v>0.84522403106303601</v>
      </c>
      <c r="L598" s="6">
        <v>0.84522403106303601</v>
      </c>
      <c r="M598" s="6">
        <v>0.84522403106303601</v>
      </c>
      <c r="N598" s="6">
        <v>-9.9020436708311195</v>
      </c>
      <c r="O598" s="6">
        <v>-9.9020436708311195</v>
      </c>
      <c r="P598" s="6">
        <v>-9.9020436708311195</v>
      </c>
      <c r="Q598" s="6">
        <v>0</v>
      </c>
      <c r="R598" s="6">
        <v>0</v>
      </c>
      <c r="S598" s="6">
        <v>0</v>
      </c>
      <c r="T598" s="6">
        <v>93.121693362875604</v>
      </c>
    </row>
    <row r="599" spans="1:20" ht="13" x14ac:dyDescent="0.15">
      <c r="A599" s="6">
        <v>597</v>
      </c>
      <c r="B599" s="7">
        <v>44027</v>
      </c>
      <c r="C599" s="6">
        <v>102.741840851633</v>
      </c>
      <c r="D599" s="6">
        <v>62.652097774212997</v>
      </c>
      <c r="E599" s="6">
        <v>126.478640944482</v>
      </c>
      <c r="F599" s="6">
        <v>102.741840851633</v>
      </c>
      <c r="G599" s="6">
        <v>102.741840851633</v>
      </c>
      <c r="H599" s="6">
        <v>-8.7344883775729407</v>
      </c>
      <c r="I599" s="6">
        <v>-8.7344883775729407</v>
      </c>
      <c r="J599" s="6">
        <v>-8.7344883775729407</v>
      </c>
      <c r="K599" s="6">
        <v>0.94874688043641997</v>
      </c>
      <c r="L599" s="6">
        <v>0.94874688043641997</v>
      </c>
      <c r="M599" s="6">
        <v>0.94874688043641997</v>
      </c>
      <c r="N599" s="6">
        <v>-9.6832352580093595</v>
      </c>
      <c r="O599" s="6">
        <v>-9.6832352580093595</v>
      </c>
      <c r="P599" s="6">
        <v>-9.6832352580093595</v>
      </c>
      <c r="Q599" s="6">
        <v>0</v>
      </c>
      <c r="R599" s="6">
        <v>0</v>
      </c>
      <c r="S599" s="6">
        <v>0</v>
      </c>
      <c r="T599" s="6">
        <v>94.007352474060099</v>
      </c>
    </row>
    <row r="600" spans="1:20" ht="13" x14ac:dyDescent="0.15">
      <c r="A600" s="6">
        <v>598</v>
      </c>
      <c r="B600" s="7">
        <v>44028</v>
      </c>
      <c r="C600" s="6">
        <v>103.305168700622</v>
      </c>
      <c r="D600" s="6">
        <v>62.772013672843997</v>
      </c>
      <c r="E600" s="6">
        <v>126.520391518485</v>
      </c>
      <c r="F600" s="6">
        <v>103.305168700622</v>
      </c>
      <c r="G600" s="6">
        <v>103.305168700622</v>
      </c>
      <c r="H600" s="6">
        <v>-9.0027396378219393</v>
      </c>
      <c r="I600" s="6">
        <v>-9.0027396378219393</v>
      </c>
      <c r="J600" s="6">
        <v>-9.0027396378219393</v>
      </c>
      <c r="K600" s="6">
        <v>0.49015521356047798</v>
      </c>
      <c r="L600" s="6">
        <v>0.49015521356047798</v>
      </c>
      <c r="M600" s="6">
        <v>0.49015521356047798</v>
      </c>
      <c r="N600" s="6">
        <v>-9.4928948513824203</v>
      </c>
      <c r="O600" s="6">
        <v>-9.4928948513824203</v>
      </c>
      <c r="P600" s="6">
        <v>-9.4928948513824203</v>
      </c>
      <c r="Q600" s="6">
        <v>0</v>
      </c>
      <c r="R600" s="6">
        <v>0</v>
      </c>
      <c r="S600" s="6">
        <v>0</v>
      </c>
      <c r="T600" s="6">
        <v>94.302429062800499</v>
      </c>
    </row>
    <row r="601" spans="1:20" ht="13" x14ac:dyDescent="0.15">
      <c r="A601" s="6">
        <v>599</v>
      </c>
      <c r="B601" s="7">
        <v>44029</v>
      </c>
      <c r="C601" s="6">
        <v>103.868496549611</v>
      </c>
      <c r="D601" s="6">
        <v>63.271882548839002</v>
      </c>
      <c r="E601" s="6">
        <v>127.473038004228</v>
      </c>
      <c r="F601" s="6">
        <v>103.868496549611</v>
      </c>
      <c r="G601" s="6">
        <v>103.868496549611</v>
      </c>
      <c r="H601" s="6">
        <v>-9.3452899757622703</v>
      </c>
      <c r="I601" s="6">
        <v>-9.3452899757622703</v>
      </c>
      <c r="J601" s="6">
        <v>-9.3452899757622703</v>
      </c>
      <c r="K601" s="6">
        <v>-2.2976765061017999E-2</v>
      </c>
      <c r="L601" s="6">
        <v>-2.2976765061017999E-2</v>
      </c>
      <c r="M601" s="6">
        <v>-2.2976765061017999E-2</v>
      </c>
      <c r="N601" s="6">
        <v>-9.3223132107012496</v>
      </c>
      <c r="O601" s="6">
        <v>-9.3223132107012496</v>
      </c>
      <c r="P601" s="6">
        <v>-9.3223132107012496</v>
      </c>
      <c r="Q601" s="6">
        <v>0</v>
      </c>
      <c r="R601" s="6">
        <v>0</v>
      </c>
      <c r="S601" s="6">
        <v>0</v>
      </c>
      <c r="T601" s="6">
        <v>94.523206573849606</v>
      </c>
    </row>
    <row r="602" spans="1:20" ht="13" x14ac:dyDescent="0.15">
      <c r="A602" s="6">
        <v>600</v>
      </c>
      <c r="B602" s="7">
        <v>44032</v>
      </c>
      <c r="C602" s="6">
        <v>105.55848009658</v>
      </c>
      <c r="D602" s="6">
        <v>66.460101600751798</v>
      </c>
      <c r="E602" s="6">
        <v>129.25465146416599</v>
      </c>
      <c r="F602" s="6">
        <v>105.55848009658</v>
      </c>
      <c r="G602" s="6">
        <v>105.55848009658</v>
      </c>
      <c r="H602" s="6">
        <v>-7.0077156275116099</v>
      </c>
      <c r="I602" s="6">
        <v>-7.0077156275116099</v>
      </c>
      <c r="J602" s="6">
        <v>-7.0077156275116099</v>
      </c>
      <c r="K602" s="6">
        <v>1.82289060893571</v>
      </c>
      <c r="L602" s="6">
        <v>1.82289060893571</v>
      </c>
      <c r="M602" s="6">
        <v>1.82289060893571</v>
      </c>
      <c r="N602" s="6">
        <v>-8.8306062364473306</v>
      </c>
      <c r="O602" s="6">
        <v>-8.8306062364473306</v>
      </c>
      <c r="P602" s="6">
        <v>-8.8306062364473306</v>
      </c>
      <c r="Q602" s="6">
        <v>0</v>
      </c>
      <c r="R602" s="6">
        <v>0</v>
      </c>
      <c r="S602" s="6">
        <v>0</v>
      </c>
      <c r="T602" s="6">
        <v>98.550764469068596</v>
      </c>
    </row>
    <row r="603" spans="1:20" ht="13" x14ac:dyDescent="0.15">
      <c r="A603" s="6">
        <v>601</v>
      </c>
      <c r="B603" s="7">
        <v>44033</v>
      </c>
      <c r="C603" s="6">
        <v>106.121807945569</v>
      </c>
      <c r="D603" s="6">
        <v>63.244495661639199</v>
      </c>
      <c r="E603" s="6">
        <v>130.58248534682099</v>
      </c>
      <c r="F603" s="6">
        <v>106.121807945569</v>
      </c>
      <c r="G603" s="6">
        <v>106.121807945569</v>
      </c>
      <c r="H603" s="6">
        <v>-7.7939477653096496</v>
      </c>
      <c r="I603" s="6">
        <v>-7.7939477653096496</v>
      </c>
      <c r="J603" s="6">
        <v>-7.7939477653096496</v>
      </c>
      <c r="K603" s="6">
        <v>0.84522403106239097</v>
      </c>
      <c r="L603" s="6">
        <v>0.84522403106239097</v>
      </c>
      <c r="M603" s="6">
        <v>0.84522403106239097</v>
      </c>
      <c r="N603" s="6">
        <v>-8.6391717963720396</v>
      </c>
      <c r="O603" s="6">
        <v>-8.6391717963720396</v>
      </c>
      <c r="P603" s="6">
        <v>-8.6391717963720396</v>
      </c>
      <c r="Q603" s="6">
        <v>0</v>
      </c>
      <c r="R603" s="6">
        <v>0</v>
      </c>
      <c r="S603" s="6">
        <v>0</v>
      </c>
      <c r="T603" s="6">
        <v>98.327860180259904</v>
      </c>
    </row>
    <row r="604" spans="1:20" ht="13" x14ac:dyDescent="0.15">
      <c r="A604" s="6">
        <v>602</v>
      </c>
      <c r="B604" s="7">
        <v>44034</v>
      </c>
      <c r="C604" s="6">
        <v>106.685135794559</v>
      </c>
      <c r="D604" s="6">
        <v>67.989719443694199</v>
      </c>
      <c r="E604" s="6">
        <v>130.80757457611901</v>
      </c>
      <c r="F604" s="6">
        <v>106.685135794559</v>
      </c>
      <c r="G604" s="6">
        <v>106.685135794559</v>
      </c>
      <c r="H604" s="6">
        <v>-7.4687041308950697</v>
      </c>
      <c r="I604" s="6">
        <v>-7.4687041308950697</v>
      </c>
      <c r="J604" s="6">
        <v>-7.4687041308950697</v>
      </c>
      <c r="K604" s="6">
        <v>0.94874688043948296</v>
      </c>
      <c r="L604" s="6">
        <v>0.94874688043948296</v>
      </c>
      <c r="M604" s="6">
        <v>0.94874688043948296</v>
      </c>
      <c r="N604" s="6">
        <v>-8.4174510113345598</v>
      </c>
      <c r="O604" s="6">
        <v>-8.4174510113345598</v>
      </c>
      <c r="P604" s="6">
        <v>-8.4174510113345598</v>
      </c>
      <c r="Q604" s="6">
        <v>0</v>
      </c>
      <c r="R604" s="6">
        <v>0</v>
      </c>
      <c r="S604" s="6">
        <v>0</v>
      </c>
      <c r="T604" s="6">
        <v>99.216431663663897</v>
      </c>
    </row>
    <row r="605" spans="1:20" ht="13" x14ac:dyDescent="0.15">
      <c r="A605" s="6">
        <v>603</v>
      </c>
      <c r="B605" s="7">
        <v>44035</v>
      </c>
      <c r="C605" s="6">
        <v>107.24846364354801</v>
      </c>
      <c r="D605" s="6">
        <v>69.459316354930493</v>
      </c>
      <c r="E605" s="6">
        <v>133.873213075856</v>
      </c>
      <c r="F605" s="6">
        <v>107.24846364354801</v>
      </c>
      <c r="G605" s="6">
        <v>107.24846364354801</v>
      </c>
      <c r="H605" s="6">
        <v>-7.6664813817500397</v>
      </c>
      <c r="I605" s="6">
        <v>-7.6664813817500397</v>
      </c>
      <c r="J605" s="6">
        <v>-7.6664813817500397</v>
      </c>
      <c r="K605" s="6">
        <v>0.49015521355764002</v>
      </c>
      <c r="L605" s="6">
        <v>0.49015521355764002</v>
      </c>
      <c r="M605" s="6">
        <v>0.49015521355764002</v>
      </c>
      <c r="N605" s="6">
        <v>-8.1566365953076794</v>
      </c>
      <c r="O605" s="6">
        <v>-8.1566365953076794</v>
      </c>
      <c r="P605" s="6">
        <v>-8.1566365953076794</v>
      </c>
      <c r="Q605" s="6">
        <v>0</v>
      </c>
      <c r="R605" s="6">
        <v>0</v>
      </c>
      <c r="S605" s="6">
        <v>0</v>
      </c>
      <c r="T605" s="6">
        <v>99.581982261798302</v>
      </c>
    </row>
    <row r="606" spans="1:20" ht="13" x14ac:dyDescent="0.15">
      <c r="A606" s="6">
        <v>604</v>
      </c>
      <c r="B606" s="7">
        <v>44036</v>
      </c>
      <c r="C606" s="6">
        <v>107.815234858656</v>
      </c>
      <c r="D606" s="6">
        <v>68.569203416121496</v>
      </c>
      <c r="E606" s="6">
        <v>129.685332424395</v>
      </c>
      <c r="F606" s="6">
        <v>107.815234858656</v>
      </c>
      <c r="G606" s="6">
        <v>107.815234858656</v>
      </c>
      <c r="H606" s="6">
        <v>-7.8721023410996098</v>
      </c>
      <c r="I606" s="6">
        <v>-7.8721023410996098</v>
      </c>
      <c r="J606" s="6">
        <v>-7.8721023410996098</v>
      </c>
      <c r="K606" s="6">
        <v>-2.2976765063630201E-2</v>
      </c>
      <c r="L606" s="6">
        <v>-2.2976765063630201E-2</v>
      </c>
      <c r="M606" s="6">
        <v>-2.2976765063630201E-2</v>
      </c>
      <c r="N606" s="6">
        <v>-7.8491255760359797</v>
      </c>
      <c r="O606" s="6">
        <v>-7.8491255760359797</v>
      </c>
      <c r="P606" s="6">
        <v>-7.8491255760359797</v>
      </c>
      <c r="Q606" s="6">
        <v>0</v>
      </c>
      <c r="R606" s="6">
        <v>0</v>
      </c>
      <c r="S606" s="6">
        <v>0</v>
      </c>
      <c r="T606" s="6">
        <v>99.943132517556805</v>
      </c>
    </row>
    <row r="607" spans="1:20" ht="13" x14ac:dyDescent="0.15">
      <c r="A607" s="6">
        <v>605</v>
      </c>
      <c r="B607" s="7">
        <v>44039</v>
      </c>
      <c r="C607" s="6">
        <v>109.51554850398</v>
      </c>
      <c r="D607" s="6">
        <v>73.184298248464501</v>
      </c>
      <c r="E607" s="6">
        <v>136.51296916739599</v>
      </c>
      <c r="F607" s="6">
        <v>109.51554850398</v>
      </c>
      <c r="G607" s="6">
        <v>109.51554850398</v>
      </c>
      <c r="H607" s="6">
        <v>-4.7713200806934903</v>
      </c>
      <c r="I607" s="6">
        <v>-4.7713200806934903</v>
      </c>
      <c r="J607" s="6">
        <v>-4.7713200806934903</v>
      </c>
      <c r="K607" s="6">
        <v>1.8228906089386501</v>
      </c>
      <c r="L607" s="6">
        <v>1.8228906089386501</v>
      </c>
      <c r="M607" s="6">
        <v>1.8228906089386501</v>
      </c>
      <c r="N607" s="6">
        <v>-6.5942106896321402</v>
      </c>
      <c r="O607" s="6">
        <v>-6.5942106896321402</v>
      </c>
      <c r="P607" s="6">
        <v>-6.5942106896321402</v>
      </c>
      <c r="Q607" s="6">
        <v>0</v>
      </c>
      <c r="R607" s="6">
        <v>0</v>
      </c>
      <c r="S607" s="6">
        <v>0</v>
      </c>
      <c r="T607" s="6">
        <v>104.744228423286</v>
      </c>
    </row>
    <row r="608" spans="1:20" ht="13" x14ac:dyDescent="0.15">
      <c r="A608" s="6">
        <v>606</v>
      </c>
      <c r="B608" s="7">
        <v>44040</v>
      </c>
      <c r="C608" s="6">
        <v>110.08231971908801</v>
      </c>
      <c r="D608" s="6">
        <v>72.207317086243705</v>
      </c>
      <c r="E608" s="6">
        <v>140.71019975595701</v>
      </c>
      <c r="F608" s="6">
        <v>110.08231971908801</v>
      </c>
      <c r="G608" s="6">
        <v>110.08231971908801</v>
      </c>
      <c r="H608" s="6">
        <v>-5.2118790197486096</v>
      </c>
      <c r="I608" s="6">
        <v>-5.2118790197486096</v>
      </c>
      <c r="J608" s="6">
        <v>-5.2118790197486096</v>
      </c>
      <c r="K608" s="6">
        <v>0.84522403106712896</v>
      </c>
      <c r="L608" s="6">
        <v>0.84522403106712896</v>
      </c>
      <c r="M608" s="6">
        <v>0.84522403106712896</v>
      </c>
      <c r="N608" s="6">
        <v>-6.0571030508157397</v>
      </c>
      <c r="O608" s="6">
        <v>-6.0571030508157397</v>
      </c>
      <c r="P608" s="6">
        <v>-6.0571030508157397</v>
      </c>
      <c r="Q608" s="6">
        <v>0</v>
      </c>
      <c r="R608" s="6">
        <v>0</v>
      </c>
      <c r="S608" s="6">
        <v>0</v>
      </c>
      <c r="T608" s="6">
        <v>104.870440699339</v>
      </c>
    </row>
    <row r="609" spans="1:20" ht="13" x14ac:dyDescent="0.15">
      <c r="A609" s="6">
        <v>607</v>
      </c>
      <c r="B609" s="7">
        <v>44041</v>
      </c>
      <c r="C609" s="6">
        <v>110.649090934196</v>
      </c>
      <c r="D609" s="6">
        <v>72.551011044759903</v>
      </c>
      <c r="E609" s="6">
        <v>138.28448883844601</v>
      </c>
      <c r="F609" s="6">
        <v>110.649090934196</v>
      </c>
      <c r="G609" s="6">
        <v>110.649090934196</v>
      </c>
      <c r="H609" s="6">
        <v>-4.5129852078539603</v>
      </c>
      <c r="I609" s="6">
        <v>-4.5129852078539603</v>
      </c>
      <c r="J609" s="6">
        <v>-4.5129852078539603</v>
      </c>
      <c r="K609" s="6">
        <v>0.94874688043597299</v>
      </c>
      <c r="L609" s="6">
        <v>0.94874688043597299</v>
      </c>
      <c r="M609" s="6">
        <v>0.94874688043597299</v>
      </c>
      <c r="N609" s="6">
        <v>-5.4617320882899296</v>
      </c>
      <c r="O609" s="6">
        <v>-5.4617320882899296</v>
      </c>
      <c r="P609" s="6">
        <v>-5.4617320882899296</v>
      </c>
      <c r="Q609" s="6">
        <v>0</v>
      </c>
      <c r="R609" s="6">
        <v>0</v>
      </c>
      <c r="S609" s="6">
        <v>0</v>
      </c>
      <c r="T609" s="6">
        <v>106.136105726342</v>
      </c>
    </row>
    <row r="610" spans="1:20" ht="13" x14ac:dyDescent="0.15">
      <c r="A610" s="6">
        <v>608</v>
      </c>
      <c r="B610" s="7">
        <v>44042</v>
      </c>
      <c r="C610" s="6">
        <v>111.215862149304</v>
      </c>
      <c r="D610" s="6">
        <v>75.199793850038603</v>
      </c>
      <c r="E610" s="6">
        <v>138.91093668372801</v>
      </c>
      <c r="F610" s="6">
        <v>111.215862149304</v>
      </c>
      <c r="G610" s="6">
        <v>111.215862149304</v>
      </c>
      <c r="H610" s="6">
        <v>-4.3217943755364798</v>
      </c>
      <c r="I610" s="6">
        <v>-4.3217943755364798</v>
      </c>
      <c r="J610" s="6">
        <v>-4.3217943755364798</v>
      </c>
      <c r="K610" s="6">
        <v>0.49015521355480202</v>
      </c>
      <c r="L610" s="6">
        <v>0.49015521355480202</v>
      </c>
      <c r="M610" s="6">
        <v>0.49015521355480202</v>
      </c>
      <c r="N610" s="6">
        <v>-4.8119495890912898</v>
      </c>
      <c r="O610" s="6">
        <v>-4.8119495890912898</v>
      </c>
      <c r="P610" s="6">
        <v>-4.8119495890912898</v>
      </c>
      <c r="Q610" s="6">
        <v>0</v>
      </c>
      <c r="R610" s="6">
        <v>0</v>
      </c>
      <c r="S610" s="6">
        <v>0</v>
      </c>
      <c r="T610" s="6">
        <v>106.89406777376701</v>
      </c>
    </row>
    <row r="611" spans="1:20" ht="13" x14ac:dyDescent="0.15">
      <c r="A611" s="6">
        <v>609</v>
      </c>
      <c r="B611" s="7">
        <v>44043</v>
      </c>
      <c r="C611" s="6">
        <v>111.78263336441201</v>
      </c>
      <c r="D611" s="6">
        <v>75.134779866499102</v>
      </c>
      <c r="E611" s="6">
        <v>141.46288436872399</v>
      </c>
      <c r="F611" s="6">
        <v>111.78263336441201</v>
      </c>
      <c r="G611" s="6">
        <v>111.78263336441201</v>
      </c>
      <c r="H611" s="6">
        <v>-4.1366242593944902</v>
      </c>
      <c r="I611" s="6">
        <v>-4.1366242593944902</v>
      </c>
      <c r="J611" s="6">
        <v>-4.1366242593944902</v>
      </c>
      <c r="K611" s="6">
        <v>-2.29767650616837E-2</v>
      </c>
      <c r="L611" s="6">
        <v>-2.29767650616837E-2</v>
      </c>
      <c r="M611" s="6">
        <v>-2.29767650616837E-2</v>
      </c>
      <c r="N611" s="6">
        <v>-4.1136474943327999</v>
      </c>
      <c r="O611" s="6">
        <v>-4.1136474943327999</v>
      </c>
      <c r="P611" s="6">
        <v>-4.1136474943327999</v>
      </c>
      <c r="Q611" s="6">
        <v>0</v>
      </c>
      <c r="R611" s="6">
        <v>0</v>
      </c>
      <c r="S611" s="6">
        <v>0</v>
      </c>
      <c r="T611" s="6">
        <v>107.646009105017</v>
      </c>
    </row>
    <row r="612" spans="1:20" ht="13" x14ac:dyDescent="0.15">
      <c r="A612" s="6">
        <v>610</v>
      </c>
      <c r="B612" s="7">
        <v>44046</v>
      </c>
      <c r="C612" s="6">
        <v>113.48294700973599</v>
      </c>
      <c r="D612" s="6">
        <v>82.791373209890807</v>
      </c>
      <c r="E612" s="6">
        <v>147.74778983802</v>
      </c>
      <c r="F612" s="6">
        <v>113.48294700973599</v>
      </c>
      <c r="G612" s="6">
        <v>113.48294700973599</v>
      </c>
      <c r="H612" s="6">
        <v>9.1804492629847002E-3</v>
      </c>
      <c r="I612" s="6">
        <v>9.1804492629847002E-3</v>
      </c>
      <c r="J612" s="6">
        <v>9.1804492629847002E-3</v>
      </c>
      <c r="K612" s="6">
        <v>1.8228906089391499</v>
      </c>
      <c r="L612" s="6">
        <v>1.8228906089391499</v>
      </c>
      <c r="M612" s="6">
        <v>1.8228906089391499</v>
      </c>
      <c r="N612" s="6">
        <v>-1.81371015967616</v>
      </c>
      <c r="O612" s="6">
        <v>-1.81371015967616</v>
      </c>
      <c r="P612" s="6">
        <v>-1.81371015967616</v>
      </c>
      <c r="Q612" s="6">
        <v>0</v>
      </c>
      <c r="R612" s="6">
        <v>0</v>
      </c>
      <c r="S612" s="6">
        <v>0</v>
      </c>
      <c r="T612" s="6">
        <v>113.492127458998</v>
      </c>
    </row>
    <row r="613" spans="1:20" ht="13" x14ac:dyDescent="0.15">
      <c r="A613" s="6">
        <v>611</v>
      </c>
      <c r="B613" s="7">
        <v>44047</v>
      </c>
      <c r="C613" s="6">
        <v>114.049718224844</v>
      </c>
      <c r="D613" s="6">
        <v>81.678646518008804</v>
      </c>
      <c r="E613" s="6">
        <v>147.30130778751101</v>
      </c>
      <c r="F613" s="6">
        <v>114.049718224844</v>
      </c>
      <c r="G613" s="6">
        <v>114.049718224844</v>
      </c>
      <c r="H613" s="6">
        <v>-0.16953871387546099</v>
      </c>
      <c r="I613" s="6">
        <v>-0.16953871387546099</v>
      </c>
      <c r="J613" s="6">
        <v>-0.16953871387546099</v>
      </c>
      <c r="K613" s="6">
        <v>0.84522403106648403</v>
      </c>
      <c r="L613" s="6">
        <v>0.84522403106648403</v>
      </c>
      <c r="M613" s="6">
        <v>0.84522403106648403</v>
      </c>
      <c r="N613" s="6">
        <v>-1.0147627449419401</v>
      </c>
      <c r="O613" s="6">
        <v>-1.0147627449419401</v>
      </c>
      <c r="P613" s="6">
        <v>-1.0147627449419401</v>
      </c>
      <c r="Q613" s="6">
        <v>0</v>
      </c>
      <c r="R613" s="6">
        <v>0</v>
      </c>
      <c r="S613" s="6">
        <v>0</v>
      </c>
      <c r="T613" s="6">
        <v>113.88017951096801</v>
      </c>
    </row>
    <row r="614" spans="1:20" ht="13" x14ac:dyDescent="0.15">
      <c r="A614" s="6">
        <v>612</v>
      </c>
      <c r="B614" s="7">
        <v>44048</v>
      </c>
      <c r="C614" s="6">
        <v>114.616489439951</v>
      </c>
      <c r="D614" s="6">
        <v>84.552510100264698</v>
      </c>
      <c r="E614" s="6">
        <v>147.958572689047</v>
      </c>
      <c r="F614" s="6">
        <v>114.616489439951</v>
      </c>
      <c r="G614" s="6">
        <v>114.616489439951</v>
      </c>
      <c r="H614" s="6">
        <v>0.72848155706573403</v>
      </c>
      <c r="I614" s="6">
        <v>0.72848155706573403</v>
      </c>
      <c r="J614" s="6">
        <v>0.72848155706573403</v>
      </c>
      <c r="K614" s="6">
        <v>0.94874688043782196</v>
      </c>
      <c r="L614" s="6">
        <v>0.94874688043782196</v>
      </c>
      <c r="M614" s="6">
        <v>0.94874688043782196</v>
      </c>
      <c r="N614" s="6">
        <v>-0.22026532337208701</v>
      </c>
      <c r="O614" s="6">
        <v>-0.22026532337208701</v>
      </c>
      <c r="P614" s="6">
        <v>-0.22026532337208701</v>
      </c>
      <c r="Q614" s="6">
        <v>0</v>
      </c>
      <c r="R614" s="6">
        <v>0</v>
      </c>
      <c r="S614" s="6">
        <v>0</v>
      </c>
      <c r="T614" s="6">
        <v>115.344970997017</v>
      </c>
    </row>
    <row r="615" spans="1:20" ht="13" x14ac:dyDescent="0.15">
      <c r="A615" s="6">
        <v>613</v>
      </c>
      <c r="B615" s="7">
        <v>44049</v>
      </c>
      <c r="C615" s="6">
        <v>115.183260655059</v>
      </c>
      <c r="D615" s="6">
        <v>84.097891818088499</v>
      </c>
      <c r="E615" s="6">
        <v>147.66210416779401</v>
      </c>
      <c r="F615" s="6">
        <v>115.183260655059</v>
      </c>
      <c r="G615" s="6">
        <v>115.183260655059</v>
      </c>
      <c r="H615" s="6">
        <v>1.0467948866565699</v>
      </c>
      <c r="I615" s="6">
        <v>1.0467948866565699</v>
      </c>
      <c r="J615" s="6">
        <v>1.0467948866565699</v>
      </c>
      <c r="K615" s="6">
        <v>0.49015521355598102</v>
      </c>
      <c r="L615" s="6">
        <v>0.49015521355598102</v>
      </c>
      <c r="M615" s="6">
        <v>0.49015521355598102</v>
      </c>
      <c r="N615" s="6">
        <v>0.55663967310059304</v>
      </c>
      <c r="O615" s="6">
        <v>0.55663967310059304</v>
      </c>
      <c r="P615" s="6">
        <v>0.55663967310059304</v>
      </c>
      <c r="Q615" s="6">
        <v>0</v>
      </c>
      <c r="R615" s="6">
        <v>0</v>
      </c>
      <c r="S615" s="6">
        <v>0</v>
      </c>
      <c r="T615" s="6">
        <v>116.230055541716</v>
      </c>
    </row>
    <row r="616" spans="1:20" ht="13" x14ac:dyDescent="0.15">
      <c r="A616" s="6">
        <v>614</v>
      </c>
      <c r="B616" s="7">
        <v>44050</v>
      </c>
      <c r="C616" s="6">
        <v>115.75003187016701</v>
      </c>
      <c r="D616" s="6">
        <v>82.613081923379994</v>
      </c>
      <c r="E616" s="6">
        <v>149.85637858409501</v>
      </c>
      <c r="F616" s="6">
        <v>115.75003187016701</v>
      </c>
      <c r="G616" s="6">
        <v>115.75003187016701</v>
      </c>
      <c r="H616" s="6">
        <v>1.27986919727844</v>
      </c>
      <c r="I616" s="6">
        <v>1.27986919727844</v>
      </c>
      <c r="J616" s="6">
        <v>1.27986919727844</v>
      </c>
      <c r="K616" s="6">
        <v>-2.2976765068854401E-2</v>
      </c>
      <c r="L616" s="6">
        <v>-2.2976765068854401E-2</v>
      </c>
      <c r="M616" s="6">
        <v>-2.2976765068854401E-2</v>
      </c>
      <c r="N616" s="6">
        <v>1.3028459623473001</v>
      </c>
      <c r="O616" s="6">
        <v>1.3028459623473001</v>
      </c>
      <c r="P616" s="6">
        <v>1.3028459623473001</v>
      </c>
      <c r="Q616" s="6">
        <v>0</v>
      </c>
      <c r="R616" s="6">
        <v>0</v>
      </c>
      <c r="S616" s="6">
        <v>0</v>
      </c>
      <c r="T616" s="6">
        <v>117.029901067446</v>
      </c>
    </row>
    <row r="617" spans="1:20" ht="13" x14ac:dyDescent="0.15">
      <c r="A617" s="6">
        <v>615</v>
      </c>
      <c r="B617" s="7">
        <v>44053</v>
      </c>
      <c r="C617" s="6">
        <v>117.45034551549099</v>
      </c>
      <c r="D617" s="6">
        <v>89.3028217355224</v>
      </c>
      <c r="E617" s="6">
        <v>154.08001248527799</v>
      </c>
      <c r="F617" s="6">
        <v>117.45034551549099</v>
      </c>
      <c r="G617" s="6">
        <v>117.45034551549099</v>
      </c>
      <c r="H617" s="6">
        <v>5.0582055783000301</v>
      </c>
      <c r="I617" s="6">
        <v>5.0582055783000301</v>
      </c>
      <c r="J617" s="6">
        <v>5.0582055783000301</v>
      </c>
      <c r="K617" s="6">
        <v>1.8228906089396499</v>
      </c>
      <c r="L617" s="6">
        <v>1.8228906089396499</v>
      </c>
      <c r="M617" s="6">
        <v>1.8228906089396499</v>
      </c>
      <c r="N617" s="6">
        <v>3.2353149693603802</v>
      </c>
      <c r="O617" s="6">
        <v>3.2353149693603802</v>
      </c>
      <c r="P617" s="6">
        <v>3.2353149693603802</v>
      </c>
      <c r="Q617" s="6">
        <v>0</v>
      </c>
      <c r="R617" s="6">
        <v>0</v>
      </c>
      <c r="S617" s="6">
        <v>0</v>
      </c>
      <c r="T617" s="6">
        <v>122.508551093791</v>
      </c>
    </row>
    <row r="618" spans="1:20" ht="13" x14ac:dyDescent="0.15">
      <c r="A618" s="6">
        <v>616</v>
      </c>
      <c r="B618" s="7">
        <v>44054</v>
      </c>
      <c r="C618" s="6">
        <v>118.017116730599</v>
      </c>
      <c r="D618" s="6">
        <v>89.420530670987901</v>
      </c>
      <c r="E618" s="6">
        <v>151.81753753685501</v>
      </c>
      <c r="F618" s="6">
        <v>118.017116730599</v>
      </c>
      <c r="G618" s="6">
        <v>118.017116730599</v>
      </c>
      <c r="H618" s="6">
        <v>4.5877482083147001</v>
      </c>
      <c r="I618" s="6">
        <v>4.5877482083147001</v>
      </c>
      <c r="J618" s="6">
        <v>4.5877482083147001</v>
      </c>
      <c r="K618" s="6">
        <v>0.84522403106502697</v>
      </c>
      <c r="L618" s="6">
        <v>0.84522403106502697</v>
      </c>
      <c r="M618" s="6">
        <v>0.84522403106502697</v>
      </c>
      <c r="N618" s="6">
        <v>3.74252417724967</v>
      </c>
      <c r="O618" s="6">
        <v>3.74252417724967</v>
      </c>
      <c r="P618" s="6">
        <v>3.74252417724967</v>
      </c>
      <c r="Q618" s="6">
        <v>0</v>
      </c>
      <c r="R618" s="6">
        <v>0</v>
      </c>
      <c r="S618" s="6">
        <v>0</v>
      </c>
      <c r="T618" s="6">
        <v>122.60486493891401</v>
      </c>
    </row>
    <row r="619" spans="1:20" ht="13" x14ac:dyDescent="0.15">
      <c r="A619" s="6">
        <v>617</v>
      </c>
      <c r="B619" s="7">
        <v>44055</v>
      </c>
      <c r="C619" s="6">
        <v>118.583887945707</v>
      </c>
      <c r="D619" s="6">
        <v>94.976736803497104</v>
      </c>
      <c r="E619" s="6">
        <v>156.08967268353399</v>
      </c>
      <c r="F619" s="6">
        <v>118.583887945707</v>
      </c>
      <c r="G619" s="6">
        <v>118.583887945707</v>
      </c>
      <c r="H619" s="6">
        <v>5.1166543216954699</v>
      </c>
      <c r="I619" s="6">
        <v>5.1166543216954699</v>
      </c>
      <c r="J619" s="6">
        <v>5.1166543216954699</v>
      </c>
      <c r="K619" s="6">
        <v>0.94874688043699196</v>
      </c>
      <c r="L619" s="6">
        <v>0.94874688043699196</v>
      </c>
      <c r="M619" s="6">
        <v>0.94874688043699196</v>
      </c>
      <c r="N619" s="6">
        <v>4.16790744125848</v>
      </c>
      <c r="O619" s="6">
        <v>4.16790744125848</v>
      </c>
      <c r="P619" s="6">
        <v>4.16790744125848</v>
      </c>
      <c r="Q619" s="6">
        <v>0</v>
      </c>
      <c r="R619" s="6">
        <v>0</v>
      </c>
      <c r="S619" s="6">
        <v>0</v>
      </c>
      <c r="T619" s="6">
        <v>123.70054226740299</v>
      </c>
    </row>
    <row r="620" spans="1:20" ht="13" x14ac:dyDescent="0.15">
      <c r="A620" s="6">
        <v>618</v>
      </c>
      <c r="B620" s="7">
        <v>44056</v>
      </c>
      <c r="C620" s="6">
        <v>119.150659160815</v>
      </c>
      <c r="D620" s="6">
        <v>88.769116803324593</v>
      </c>
      <c r="E620" s="6">
        <v>159.05964707726201</v>
      </c>
      <c r="F620" s="6">
        <v>119.150659160815</v>
      </c>
      <c r="G620" s="6">
        <v>119.150659160815</v>
      </c>
      <c r="H620" s="6">
        <v>4.9966712637053501</v>
      </c>
      <c r="I620" s="6">
        <v>4.9966712637053501</v>
      </c>
      <c r="J620" s="6">
        <v>4.9966712637053501</v>
      </c>
      <c r="K620" s="6">
        <v>0.49015521355168601</v>
      </c>
      <c r="L620" s="6">
        <v>0.49015521355168601</v>
      </c>
      <c r="M620" s="6">
        <v>0.49015521355168601</v>
      </c>
      <c r="N620" s="6">
        <v>4.5065160501536603</v>
      </c>
      <c r="O620" s="6">
        <v>4.5065160501536603</v>
      </c>
      <c r="P620" s="6">
        <v>4.5065160501536603</v>
      </c>
      <c r="Q620" s="6">
        <v>0</v>
      </c>
      <c r="R620" s="6">
        <v>0</v>
      </c>
      <c r="S620" s="6">
        <v>0</v>
      </c>
      <c r="T620" s="6">
        <v>124.14733042452001</v>
      </c>
    </row>
    <row r="621" spans="1:20" ht="13" x14ac:dyDescent="0.15">
      <c r="A621" s="6">
        <v>619</v>
      </c>
      <c r="B621" s="7">
        <v>44057</v>
      </c>
      <c r="C621" s="6">
        <v>119.717430375923</v>
      </c>
      <c r="D621" s="6">
        <v>90.390383328081995</v>
      </c>
      <c r="E621" s="6">
        <v>155.519105898259</v>
      </c>
      <c r="F621" s="6">
        <v>119.717430375923</v>
      </c>
      <c r="G621" s="6">
        <v>119.717430375923</v>
      </c>
      <c r="H621" s="6">
        <v>4.7327618974069097</v>
      </c>
      <c r="I621" s="6">
        <v>4.7327618974069097</v>
      </c>
      <c r="J621" s="6">
        <v>4.7327618974069097</v>
      </c>
      <c r="K621" s="6">
        <v>-2.2976765058236901E-2</v>
      </c>
      <c r="L621" s="6">
        <v>-2.2976765058236901E-2</v>
      </c>
      <c r="M621" s="6">
        <v>-2.2976765058236901E-2</v>
      </c>
      <c r="N621" s="6">
        <v>4.7557386624651397</v>
      </c>
      <c r="O621" s="6">
        <v>4.7557386624651397</v>
      </c>
      <c r="P621" s="6">
        <v>4.7557386624651397</v>
      </c>
      <c r="Q621" s="6">
        <v>0</v>
      </c>
      <c r="R621" s="6">
        <v>0</v>
      </c>
      <c r="S621" s="6">
        <v>0</v>
      </c>
      <c r="T621" s="6">
        <v>124.45019227333</v>
      </c>
    </row>
    <row r="622" spans="1:20" ht="13" x14ac:dyDescent="0.15">
      <c r="A622" s="6">
        <v>620</v>
      </c>
      <c r="B622" s="7">
        <v>44060</v>
      </c>
      <c r="C622" s="6">
        <v>121.417744021247</v>
      </c>
      <c r="D622" s="6">
        <v>95.213008664681297</v>
      </c>
      <c r="E622" s="6">
        <v>160.271265475533</v>
      </c>
      <c r="F622" s="6">
        <v>121.417744021247</v>
      </c>
      <c r="G622" s="6">
        <v>121.417744021247</v>
      </c>
      <c r="H622" s="6">
        <v>6.8009381855698203</v>
      </c>
      <c r="I622" s="6">
        <v>6.8009381855698203</v>
      </c>
      <c r="J622" s="6">
        <v>6.8009381855698203</v>
      </c>
      <c r="K622" s="6">
        <v>1.8228906089413599</v>
      </c>
      <c r="L622" s="6">
        <v>1.8228906089413599</v>
      </c>
      <c r="M622" s="6">
        <v>1.8228906089413599</v>
      </c>
      <c r="N622" s="6">
        <v>4.97804757662845</v>
      </c>
      <c r="O622" s="6">
        <v>4.97804757662845</v>
      </c>
      <c r="P622" s="6">
        <v>4.97804757662845</v>
      </c>
      <c r="Q622" s="6">
        <v>0</v>
      </c>
      <c r="R622" s="6">
        <v>0</v>
      </c>
      <c r="S622" s="6">
        <v>0</v>
      </c>
      <c r="T622" s="6">
        <v>128.21868220681699</v>
      </c>
    </row>
    <row r="623" spans="1:20" ht="13" x14ac:dyDescent="0.15">
      <c r="A623" s="6">
        <v>621</v>
      </c>
      <c r="B623" s="7">
        <v>44061</v>
      </c>
      <c r="C623" s="6">
        <v>121.98451523635499</v>
      </c>
      <c r="D623" s="6">
        <v>94.137716091483696</v>
      </c>
      <c r="E623" s="6">
        <v>159.060348592624</v>
      </c>
      <c r="F623" s="6">
        <v>121.98451523635499</v>
      </c>
      <c r="G623" s="6">
        <v>121.98451523635499</v>
      </c>
      <c r="H623" s="6">
        <v>5.7382254731665903</v>
      </c>
      <c r="I623" s="6">
        <v>5.7382254731665903</v>
      </c>
      <c r="J623" s="6">
        <v>5.7382254731665903</v>
      </c>
      <c r="K623" s="6">
        <v>0.84522403106895305</v>
      </c>
      <c r="L623" s="6">
        <v>0.84522403106895305</v>
      </c>
      <c r="M623" s="6">
        <v>0.84522403106895305</v>
      </c>
      <c r="N623" s="6">
        <v>4.8930014420976304</v>
      </c>
      <c r="O623" s="6">
        <v>4.8930014420976304</v>
      </c>
      <c r="P623" s="6">
        <v>4.8930014420976304</v>
      </c>
      <c r="Q623" s="6">
        <v>0</v>
      </c>
      <c r="R623" s="6">
        <v>0</v>
      </c>
      <c r="S623" s="6">
        <v>0</v>
      </c>
      <c r="T623" s="6">
        <v>127.72274070952101</v>
      </c>
    </row>
    <row r="624" spans="1:20" ht="13" x14ac:dyDescent="0.15">
      <c r="A624" s="6">
        <v>622</v>
      </c>
      <c r="B624" s="7">
        <v>44062</v>
      </c>
      <c r="C624" s="6">
        <v>122.551286451463</v>
      </c>
      <c r="D624" s="6">
        <v>94.648772842659099</v>
      </c>
      <c r="E624" s="6">
        <v>159.680975319655</v>
      </c>
      <c r="F624" s="6">
        <v>122.551286451463</v>
      </c>
      <c r="G624" s="6">
        <v>122.551286451463</v>
      </c>
      <c r="H624" s="6">
        <v>5.6908933270270303</v>
      </c>
      <c r="I624" s="6">
        <v>5.6908933270270303</v>
      </c>
      <c r="J624" s="6">
        <v>5.6908933270270303</v>
      </c>
      <c r="K624" s="6">
        <v>0.94874688043616096</v>
      </c>
      <c r="L624" s="6">
        <v>0.94874688043616096</v>
      </c>
      <c r="M624" s="6">
        <v>0.94874688043616096</v>
      </c>
      <c r="N624" s="6">
        <v>4.74214644659087</v>
      </c>
      <c r="O624" s="6">
        <v>4.74214644659087</v>
      </c>
      <c r="P624" s="6">
        <v>4.74214644659087</v>
      </c>
      <c r="Q624" s="6">
        <v>0</v>
      </c>
      <c r="R624" s="6">
        <v>0</v>
      </c>
      <c r="S624" s="6">
        <v>0</v>
      </c>
      <c r="T624" s="6">
        <v>128.24217977849</v>
      </c>
    </row>
    <row r="625" spans="1:20" ht="13" x14ac:dyDescent="0.15">
      <c r="A625" s="6">
        <v>623</v>
      </c>
      <c r="B625" s="7">
        <v>44063</v>
      </c>
      <c r="C625" s="6">
        <v>123.118057666571</v>
      </c>
      <c r="D625" s="6">
        <v>95.760921273247504</v>
      </c>
      <c r="E625" s="6">
        <v>158.403667599035</v>
      </c>
      <c r="F625" s="6">
        <v>123.118057666571</v>
      </c>
      <c r="G625" s="6">
        <v>123.118057666571</v>
      </c>
      <c r="H625" s="6">
        <v>5.0269302875065502</v>
      </c>
      <c r="I625" s="6">
        <v>5.0269302875065502</v>
      </c>
      <c r="J625" s="6">
        <v>5.0269302875065502</v>
      </c>
      <c r="K625" s="6">
        <v>0.49015521355688202</v>
      </c>
      <c r="L625" s="6">
        <v>0.49015521355688202</v>
      </c>
      <c r="M625" s="6">
        <v>0.49015521355688202</v>
      </c>
      <c r="N625" s="6">
        <v>4.5367750739496699</v>
      </c>
      <c r="O625" s="6">
        <v>4.5367750739496699</v>
      </c>
      <c r="P625" s="6">
        <v>4.5367750739496699</v>
      </c>
      <c r="Q625" s="6">
        <v>0</v>
      </c>
      <c r="R625" s="6">
        <v>0</v>
      </c>
      <c r="S625" s="6">
        <v>0</v>
      </c>
      <c r="T625" s="6">
        <v>128.14498795407701</v>
      </c>
    </row>
    <row r="626" spans="1:20" ht="13" x14ac:dyDescent="0.15">
      <c r="A626" s="6">
        <v>624</v>
      </c>
      <c r="B626" s="7">
        <v>44064</v>
      </c>
      <c r="C626" s="6">
        <v>123.684828881679</v>
      </c>
      <c r="D626" s="6">
        <v>94.264980016310304</v>
      </c>
      <c r="E626" s="6">
        <v>158.99297741498199</v>
      </c>
      <c r="F626" s="6">
        <v>123.684828881679</v>
      </c>
      <c r="G626" s="6">
        <v>123.684828881679</v>
      </c>
      <c r="H626" s="6">
        <v>4.2668083497079401</v>
      </c>
      <c r="I626" s="6">
        <v>4.2668083497079401</v>
      </c>
      <c r="J626" s="6">
        <v>4.2668083497079401</v>
      </c>
      <c r="K626" s="6">
        <v>-2.2976765065407499E-2</v>
      </c>
      <c r="L626" s="6">
        <v>-2.2976765065407499E-2</v>
      </c>
      <c r="M626" s="6">
        <v>-2.2976765065407499E-2</v>
      </c>
      <c r="N626" s="6">
        <v>4.2897851147733501</v>
      </c>
      <c r="O626" s="6">
        <v>4.2897851147733501</v>
      </c>
      <c r="P626" s="6">
        <v>4.2897851147733501</v>
      </c>
      <c r="Q626" s="6">
        <v>0</v>
      </c>
      <c r="R626" s="6">
        <v>0</v>
      </c>
      <c r="S626" s="6">
        <v>0</v>
      </c>
      <c r="T626" s="6">
        <v>127.951637231387</v>
      </c>
    </row>
    <row r="627" spans="1:20" ht="13" x14ac:dyDescent="0.15">
      <c r="A627" s="6">
        <v>625</v>
      </c>
      <c r="B627" s="7">
        <v>44067</v>
      </c>
      <c r="C627" s="6">
        <v>125.385142527003</v>
      </c>
      <c r="D627" s="6">
        <v>97.837924343174393</v>
      </c>
      <c r="E627" s="6">
        <v>163.87143205739801</v>
      </c>
      <c r="F627" s="6">
        <v>125.385142527003</v>
      </c>
      <c r="G627" s="6">
        <v>125.385142527003</v>
      </c>
      <c r="H627" s="6">
        <v>5.2668779531438599</v>
      </c>
      <c r="I627" s="6">
        <v>5.2668779531438599</v>
      </c>
      <c r="J627" s="6">
        <v>5.2668779531438599</v>
      </c>
      <c r="K627" s="6">
        <v>1.8228906089339301</v>
      </c>
      <c r="L627" s="6">
        <v>1.8228906089339301</v>
      </c>
      <c r="M627" s="6">
        <v>1.8228906089339301</v>
      </c>
      <c r="N627" s="6">
        <v>3.44398734420992</v>
      </c>
      <c r="O627" s="6">
        <v>3.44398734420992</v>
      </c>
      <c r="P627" s="6">
        <v>3.44398734420992</v>
      </c>
      <c r="Q627" s="6">
        <v>0</v>
      </c>
      <c r="R627" s="6">
        <v>0</v>
      </c>
      <c r="S627" s="6">
        <v>0</v>
      </c>
      <c r="T627" s="6">
        <v>130.65202048014601</v>
      </c>
    </row>
    <row r="628" spans="1:20" ht="13" x14ac:dyDescent="0.15">
      <c r="A628" s="6">
        <v>626</v>
      </c>
      <c r="B628" s="7">
        <v>44068</v>
      </c>
      <c r="C628" s="6">
        <v>125.951913742111</v>
      </c>
      <c r="D628" s="6">
        <v>95.7724617330841</v>
      </c>
      <c r="E628" s="6">
        <v>162.27532447439401</v>
      </c>
      <c r="F628" s="6">
        <v>125.951913742111</v>
      </c>
      <c r="G628" s="6">
        <v>125.951913742111</v>
      </c>
      <c r="H628" s="6">
        <v>4.0228550782625101</v>
      </c>
      <c r="I628" s="6">
        <v>4.0228550782625101</v>
      </c>
      <c r="J628" s="6">
        <v>4.0228550782625101</v>
      </c>
      <c r="K628" s="6">
        <v>0.845224031067496</v>
      </c>
      <c r="L628" s="6">
        <v>0.845224031067496</v>
      </c>
      <c r="M628" s="6">
        <v>0.845224031067496</v>
      </c>
      <c r="N628" s="6">
        <v>3.1776310471950202</v>
      </c>
      <c r="O628" s="6">
        <v>3.1776310471950202</v>
      </c>
      <c r="P628" s="6">
        <v>3.1776310471950202</v>
      </c>
      <c r="Q628" s="6">
        <v>0</v>
      </c>
      <c r="R628" s="6">
        <v>0</v>
      </c>
      <c r="S628" s="6">
        <v>0</v>
      </c>
      <c r="T628" s="6">
        <v>129.97476882037299</v>
      </c>
    </row>
    <row r="629" spans="1:20" ht="13" x14ac:dyDescent="0.15">
      <c r="A629" s="6">
        <v>627</v>
      </c>
      <c r="B629" s="7">
        <v>44069</v>
      </c>
      <c r="C629" s="6">
        <v>126.51868495721899</v>
      </c>
      <c r="D629" s="6">
        <v>97.112787645542497</v>
      </c>
      <c r="E629" s="6">
        <v>161.64245691174099</v>
      </c>
      <c r="F629" s="6">
        <v>126.51868495721899</v>
      </c>
      <c r="G629" s="6">
        <v>126.51868495721899</v>
      </c>
      <c r="H629" s="6">
        <v>3.89254379272491</v>
      </c>
      <c r="I629" s="6">
        <v>3.89254379272491</v>
      </c>
      <c r="J629" s="6">
        <v>3.89254379272491</v>
      </c>
      <c r="K629" s="6">
        <v>0.94874688043533095</v>
      </c>
      <c r="L629" s="6">
        <v>0.94874688043533095</v>
      </c>
      <c r="M629" s="6">
        <v>0.94874688043533095</v>
      </c>
      <c r="N629" s="6">
        <v>2.9437969122895802</v>
      </c>
      <c r="O629" s="6">
        <v>2.9437969122895802</v>
      </c>
      <c r="P629" s="6">
        <v>2.9437969122895802</v>
      </c>
      <c r="Q629" s="6">
        <v>0</v>
      </c>
      <c r="R629" s="6">
        <v>0</v>
      </c>
      <c r="S629" s="6">
        <v>0</v>
      </c>
      <c r="T629" s="6">
        <v>130.41122874994301</v>
      </c>
    </row>
    <row r="630" spans="1:20" ht="13" x14ac:dyDescent="0.15">
      <c r="A630" s="6">
        <v>628</v>
      </c>
      <c r="B630" s="7">
        <v>44070</v>
      </c>
      <c r="C630" s="6">
        <v>127.085456172326</v>
      </c>
      <c r="D630" s="6">
        <v>96.218069662910693</v>
      </c>
      <c r="E630" s="6">
        <v>161.55371102686399</v>
      </c>
      <c r="F630" s="6">
        <v>127.085456172326</v>
      </c>
      <c r="G630" s="6">
        <v>127.085456172326</v>
      </c>
      <c r="H630" s="6">
        <v>3.2461736203100999</v>
      </c>
      <c r="I630" s="6">
        <v>3.2461736203100999</v>
      </c>
      <c r="J630" s="6">
        <v>3.2461736203100999</v>
      </c>
      <c r="K630" s="6">
        <v>0.49015521355404401</v>
      </c>
      <c r="L630" s="6">
        <v>0.49015521355404401</v>
      </c>
      <c r="M630" s="6">
        <v>0.49015521355404401</v>
      </c>
      <c r="N630" s="6">
        <v>2.7560184067560498</v>
      </c>
      <c r="O630" s="6">
        <v>2.7560184067560498</v>
      </c>
      <c r="P630" s="6">
        <v>2.7560184067560498</v>
      </c>
      <c r="Q630" s="6">
        <v>0</v>
      </c>
      <c r="R630" s="6">
        <v>0</v>
      </c>
      <c r="S630" s="6">
        <v>0</v>
      </c>
      <c r="T630" s="6">
        <v>130.33162979263699</v>
      </c>
    </row>
    <row r="631" spans="1:20" ht="13" x14ac:dyDescent="0.15">
      <c r="A631" s="6">
        <v>629</v>
      </c>
      <c r="B631" s="7">
        <v>44071</v>
      </c>
      <c r="C631" s="6">
        <v>127.652227387434</v>
      </c>
      <c r="D631" s="6">
        <v>99.469767037389801</v>
      </c>
      <c r="E631" s="6">
        <v>162.863737291126</v>
      </c>
      <c r="F631" s="6">
        <v>127.652227387434</v>
      </c>
      <c r="G631" s="6">
        <v>127.652227387434</v>
      </c>
      <c r="H631" s="6">
        <v>2.6033481994413501</v>
      </c>
      <c r="I631" s="6">
        <v>2.6033481994413501</v>
      </c>
      <c r="J631" s="6">
        <v>2.6033481994413501</v>
      </c>
      <c r="K631" s="6">
        <v>-2.2976765063461E-2</v>
      </c>
      <c r="L631" s="6">
        <v>-2.2976765063461E-2</v>
      </c>
      <c r="M631" s="6">
        <v>-2.2976765063461E-2</v>
      </c>
      <c r="N631" s="6">
        <v>2.6263249645048101</v>
      </c>
      <c r="O631" s="6">
        <v>2.6263249645048101</v>
      </c>
      <c r="P631" s="6">
        <v>2.6263249645048101</v>
      </c>
      <c r="Q631" s="6">
        <v>0</v>
      </c>
      <c r="R631" s="6">
        <v>0</v>
      </c>
      <c r="S631" s="6">
        <v>0</v>
      </c>
      <c r="T631" s="6">
        <v>130.25557558687601</v>
      </c>
    </row>
    <row r="632" spans="1:20" ht="13" x14ac:dyDescent="0.15">
      <c r="A632" s="6">
        <v>630</v>
      </c>
      <c r="B632" s="7">
        <v>44074</v>
      </c>
      <c r="C632" s="6">
        <v>129.35254103275801</v>
      </c>
      <c r="D632" s="6">
        <v>102.38575578754499</v>
      </c>
      <c r="E632" s="6">
        <v>165.20944255874801</v>
      </c>
      <c r="F632" s="6">
        <v>129.35254103275801</v>
      </c>
      <c r="G632" s="6">
        <v>129.35254103275801</v>
      </c>
      <c r="H632" s="6">
        <v>4.4981847353898301</v>
      </c>
      <c r="I632" s="6">
        <v>4.4981847353898301</v>
      </c>
      <c r="J632" s="6">
        <v>4.4981847353898301</v>
      </c>
      <c r="K632" s="6">
        <v>1.8228906089380801</v>
      </c>
      <c r="L632" s="6">
        <v>1.8228906089380801</v>
      </c>
      <c r="M632" s="6">
        <v>1.8228906089380801</v>
      </c>
      <c r="N632" s="6">
        <v>2.6752941264517398</v>
      </c>
      <c r="O632" s="6">
        <v>2.6752941264517398</v>
      </c>
      <c r="P632" s="6">
        <v>2.6752941264517398</v>
      </c>
      <c r="Q632" s="6">
        <v>0</v>
      </c>
      <c r="R632" s="6">
        <v>0</v>
      </c>
      <c r="S632" s="6">
        <v>0</v>
      </c>
      <c r="T632" s="6">
        <v>133.85072576814801</v>
      </c>
    </row>
    <row r="633" spans="1:20" ht="13" x14ac:dyDescent="0.15">
      <c r="A633" s="6">
        <v>631</v>
      </c>
      <c r="B633" s="7">
        <v>44075</v>
      </c>
      <c r="C633" s="6">
        <v>129.919312247866</v>
      </c>
      <c r="D633" s="6">
        <v>100.538791091443</v>
      </c>
      <c r="E633" s="6">
        <v>163.52763275231399</v>
      </c>
      <c r="F633" s="6">
        <v>129.919312247866</v>
      </c>
      <c r="G633" s="6">
        <v>129.919312247866</v>
      </c>
      <c r="H633" s="6">
        <v>3.7002502450660502</v>
      </c>
      <c r="I633" s="6">
        <v>3.7002502450660502</v>
      </c>
      <c r="J633" s="6">
        <v>3.7002502450660502</v>
      </c>
      <c r="K633" s="6">
        <v>0.84522403106766297</v>
      </c>
      <c r="L633" s="6">
        <v>0.84522403106766297</v>
      </c>
      <c r="M633" s="6">
        <v>0.84522403106766297</v>
      </c>
      <c r="N633" s="6">
        <v>2.8550262139983902</v>
      </c>
      <c r="O633" s="6">
        <v>2.8550262139983902</v>
      </c>
      <c r="P633" s="6">
        <v>2.8550262139983902</v>
      </c>
      <c r="Q633" s="6">
        <v>0</v>
      </c>
      <c r="R633" s="6">
        <v>0</v>
      </c>
      <c r="S633" s="6">
        <v>0</v>
      </c>
      <c r="T633" s="6">
        <v>133.619562492932</v>
      </c>
    </row>
    <row r="634" spans="1:20" ht="13" x14ac:dyDescent="0.15">
      <c r="A634" s="6">
        <v>632</v>
      </c>
      <c r="B634" s="7">
        <v>44076</v>
      </c>
      <c r="C634" s="6">
        <v>130.48608346297399</v>
      </c>
      <c r="D634" s="6">
        <v>102.631984712689</v>
      </c>
      <c r="E634" s="6">
        <v>167.35934672569101</v>
      </c>
      <c r="F634" s="6">
        <v>130.48608346297399</v>
      </c>
      <c r="G634" s="6">
        <v>130.48608346297399</v>
      </c>
      <c r="H634" s="6">
        <v>4.0669047025914002</v>
      </c>
      <c r="I634" s="6">
        <v>4.0669047025914002</v>
      </c>
      <c r="J634" s="6">
        <v>4.0669047025914002</v>
      </c>
      <c r="K634" s="6">
        <v>0.94874688043718003</v>
      </c>
      <c r="L634" s="6">
        <v>0.94874688043718003</v>
      </c>
      <c r="M634" s="6">
        <v>0.94874688043718003</v>
      </c>
      <c r="N634" s="6">
        <v>3.1181578221542199</v>
      </c>
      <c r="O634" s="6">
        <v>3.1181578221542199</v>
      </c>
      <c r="P634" s="6">
        <v>3.1181578221542199</v>
      </c>
      <c r="Q634" s="6">
        <v>0</v>
      </c>
      <c r="R634" s="6">
        <v>0</v>
      </c>
      <c r="S634" s="6">
        <v>0</v>
      </c>
      <c r="T634" s="6">
        <v>134.55298816556601</v>
      </c>
    </row>
    <row r="635" spans="1:20" ht="13" x14ac:dyDescent="0.15">
      <c r="A635" s="6">
        <v>633</v>
      </c>
      <c r="B635" s="7">
        <v>44077</v>
      </c>
      <c r="C635" s="6">
        <v>131.05285467808201</v>
      </c>
      <c r="D635" s="6">
        <v>102.562642188486</v>
      </c>
      <c r="E635" s="6">
        <v>167.238604389492</v>
      </c>
      <c r="F635" s="6">
        <v>131.05285467808201</v>
      </c>
      <c r="G635" s="6">
        <v>131.05285467808201</v>
      </c>
      <c r="H635" s="6">
        <v>3.9514201991332198</v>
      </c>
      <c r="I635" s="6">
        <v>3.9514201991332198</v>
      </c>
      <c r="J635" s="6">
        <v>3.9514201991332198</v>
      </c>
      <c r="K635" s="6">
        <v>0.49015521355522301</v>
      </c>
      <c r="L635" s="6">
        <v>0.49015521355522301</v>
      </c>
      <c r="M635" s="6">
        <v>0.49015521355522301</v>
      </c>
      <c r="N635" s="6">
        <v>3.461264985578</v>
      </c>
      <c r="O635" s="6">
        <v>3.461264985578</v>
      </c>
      <c r="P635" s="6">
        <v>3.461264985578</v>
      </c>
      <c r="Q635" s="6">
        <v>0</v>
      </c>
      <c r="R635" s="6">
        <v>0</v>
      </c>
      <c r="S635" s="6">
        <v>0</v>
      </c>
      <c r="T635" s="6">
        <v>135.00427487721501</v>
      </c>
    </row>
    <row r="636" spans="1:20" ht="13" x14ac:dyDescent="0.15">
      <c r="A636" s="6">
        <v>634</v>
      </c>
      <c r="B636" s="7">
        <v>44078</v>
      </c>
      <c r="C636" s="6">
        <v>131.61962589319</v>
      </c>
      <c r="D636" s="6">
        <v>105.776259417402</v>
      </c>
      <c r="E636" s="6">
        <v>168.18753405000501</v>
      </c>
      <c r="F636" s="6">
        <v>131.61962589319</v>
      </c>
      <c r="G636" s="6">
        <v>131.61962589319</v>
      </c>
      <c r="H636" s="6">
        <v>3.8549879023499201</v>
      </c>
      <c r="I636" s="6">
        <v>3.8549879023499201</v>
      </c>
      <c r="J636" s="6">
        <v>3.8549879023499201</v>
      </c>
      <c r="K636" s="6">
        <v>-2.2976765061514901E-2</v>
      </c>
      <c r="L636" s="6">
        <v>-2.2976765061514901E-2</v>
      </c>
      <c r="M636" s="6">
        <v>-2.2976765061514901E-2</v>
      </c>
      <c r="N636" s="6">
        <v>3.8779646674114399</v>
      </c>
      <c r="O636" s="6">
        <v>3.8779646674114399</v>
      </c>
      <c r="P636" s="6">
        <v>3.8779646674114399</v>
      </c>
      <c r="Q636" s="6">
        <v>0</v>
      </c>
      <c r="R636" s="6">
        <v>0</v>
      </c>
      <c r="S636" s="6">
        <v>0</v>
      </c>
      <c r="T636" s="6">
        <v>135.47461379553999</v>
      </c>
    </row>
    <row r="637" spans="1:20" ht="13" x14ac:dyDescent="0.15">
      <c r="A637" s="6">
        <v>635</v>
      </c>
      <c r="B637" s="7">
        <v>44082</v>
      </c>
      <c r="C637" s="6">
        <v>133.886710753622</v>
      </c>
      <c r="D637" s="6">
        <v>109.35152414398</v>
      </c>
      <c r="E637" s="6">
        <v>172.966894891675</v>
      </c>
      <c r="F637" s="6">
        <v>133.886710753622</v>
      </c>
      <c r="G637" s="6">
        <v>133.886710753622</v>
      </c>
      <c r="H637" s="6">
        <v>6.9038094729237898</v>
      </c>
      <c r="I637" s="6">
        <v>6.9038094729237898</v>
      </c>
      <c r="J637" s="6">
        <v>6.9038094729237898</v>
      </c>
      <c r="K637" s="6">
        <v>0.84522403106620503</v>
      </c>
      <c r="L637" s="6">
        <v>0.84522403106620503</v>
      </c>
      <c r="M637" s="6">
        <v>0.84522403106620503</v>
      </c>
      <c r="N637" s="6">
        <v>6.0585854418575904</v>
      </c>
      <c r="O637" s="6">
        <v>6.0585854418575904</v>
      </c>
      <c r="P637" s="6">
        <v>6.0585854418575904</v>
      </c>
      <c r="Q637" s="6">
        <v>0</v>
      </c>
      <c r="R637" s="6">
        <v>0</v>
      </c>
      <c r="S637" s="6">
        <v>0</v>
      </c>
      <c r="T637" s="6">
        <v>140.79052022654599</v>
      </c>
    </row>
    <row r="638" spans="1:20" ht="13" x14ac:dyDescent="0.15">
      <c r="A638" s="6">
        <v>636</v>
      </c>
      <c r="B638" s="7">
        <v>44083</v>
      </c>
      <c r="C638" s="6">
        <v>134.45348196872999</v>
      </c>
      <c r="D638" s="6">
        <v>109.89324298046</v>
      </c>
      <c r="E638" s="6">
        <v>175.940931671718</v>
      </c>
      <c r="F638" s="6">
        <v>134.45348196872999</v>
      </c>
      <c r="G638" s="6">
        <v>134.45348196872999</v>
      </c>
      <c r="H638" s="6">
        <v>7.6058240670740904</v>
      </c>
      <c r="I638" s="6">
        <v>7.6058240670740904</v>
      </c>
      <c r="J638" s="6">
        <v>7.6058240670740904</v>
      </c>
      <c r="K638" s="6">
        <v>0.94874688043756294</v>
      </c>
      <c r="L638" s="6">
        <v>0.94874688043756294</v>
      </c>
      <c r="M638" s="6">
        <v>0.94874688043756294</v>
      </c>
      <c r="N638" s="6">
        <v>6.6570771866365304</v>
      </c>
      <c r="O638" s="6">
        <v>6.6570771866365304</v>
      </c>
      <c r="P638" s="6">
        <v>6.6570771866365304</v>
      </c>
      <c r="Q638" s="6">
        <v>0</v>
      </c>
      <c r="R638" s="6">
        <v>0</v>
      </c>
      <c r="S638" s="6">
        <v>0</v>
      </c>
      <c r="T638" s="6">
        <v>142.05930603580401</v>
      </c>
    </row>
    <row r="639" spans="1:20" ht="13" x14ac:dyDescent="0.15">
      <c r="A639" s="6">
        <v>637</v>
      </c>
      <c r="B639" s="7">
        <v>44084</v>
      </c>
      <c r="C639" s="6">
        <v>135.02025318383801</v>
      </c>
      <c r="D639" s="6">
        <v>109.33452798942901</v>
      </c>
      <c r="E639" s="6">
        <v>176.59411625918801</v>
      </c>
      <c r="F639" s="6">
        <v>135.02025318383801</v>
      </c>
      <c r="G639" s="6">
        <v>135.02025318383801</v>
      </c>
      <c r="H639" s="6">
        <v>7.7313875435108104</v>
      </c>
      <c r="I639" s="6">
        <v>7.7313875435108104</v>
      </c>
      <c r="J639" s="6">
        <v>7.7313875435108104</v>
      </c>
      <c r="K639" s="6">
        <v>0.49015521355494401</v>
      </c>
      <c r="L639" s="6">
        <v>0.49015521355494401</v>
      </c>
      <c r="M639" s="6">
        <v>0.49015521355494401</v>
      </c>
      <c r="N639" s="6">
        <v>7.2412323299558601</v>
      </c>
      <c r="O639" s="6">
        <v>7.2412323299558601</v>
      </c>
      <c r="P639" s="6">
        <v>7.2412323299558601</v>
      </c>
      <c r="Q639" s="6">
        <v>0</v>
      </c>
      <c r="R639" s="6">
        <v>0</v>
      </c>
      <c r="S639" s="6">
        <v>0</v>
      </c>
      <c r="T639" s="6">
        <v>142.75164072734901</v>
      </c>
    </row>
    <row r="640" spans="1:20" ht="13" x14ac:dyDescent="0.15">
      <c r="A640" s="6">
        <v>638</v>
      </c>
      <c r="B640" s="7">
        <v>44085</v>
      </c>
      <c r="C640" s="6">
        <v>135.587024398946</v>
      </c>
      <c r="D640" s="6">
        <v>112.048549428285</v>
      </c>
      <c r="E640" s="6">
        <v>178.71615864232501</v>
      </c>
      <c r="F640" s="6">
        <v>135.587024398946</v>
      </c>
      <c r="G640" s="6">
        <v>135.587024398946</v>
      </c>
      <c r="H640" s="6">
        <v>7.7687746193601903</v>
      </c>
      <c r="I640" s="6">
        <v>7.7687746193601903</v>
      </c>
      <c r="J640" s="6">
        <v>7.7687746193601903</v>
      </c>
      <c r="K640" s="6">
        <v>-2.2976765068685401E-2</v>
      </c>
      <c r="L640" s="6">
        <v>-2.2976765068685401E-2</v>
      </c>
      <c r="M640" s="6">
        <v>-2.2976765068685401E-2</v>
      </c>
      <c r="N640" s="6">
        <v>7.7917513844288804</v>
      </c>
      <c r="O640" s="6">
        <v>7.7917513844288804</v>
      </c>
      <c r="P640" s="6">
        <v>7.7917513844288804</v>
      </c>
      <c r="Q640" s="6">
        <v>0</v>
      </c>
      <c r="R640" s="6">
        <v>0</v>
      </c>
      <c r="S640" s="6">
        <v>0</v>
      </c>
      <c r="T640" s="6">
        <v>143.35579901830599</v>
      </c>
    </row>
    <row r="641" spans="1:20" ht="13" x14ac:dyDescent="0.15">
      <c r="A641" s="6">
        <v>639</v>
      </c>
      <c r="B641" s="7">
        <v>44088</v>
      </c>
      <c r="C641" s="6">
        <v>137.28733804427</v>
      </c>
      <c r="D641" s="6">
        <v>113.8672883138</v>
      </c>
      <c r="E641" s="6">
        <v>180.16272392418301</v>
      </c>
      <c r="F641" s="6">
        <v>137.28733804427</v>
      </c>
      <c r="G641" s="6">
        <v>137.28733804427</v>
      </c>
      <c r="H641" s="6">
        <v>10.875191735744799</v>
      </c>
      <c r="I641" s="6">
        <v>10.875191735744799</v>
      </c>
      <c r="J641" s="6">
        <v>10.875191735744799</v>
      </c>
      <c r="K641" s="6">
        <v>1.82289060893237</v>
      </c>
      <c r="L641" s="6">
        <v>1.82289060893237</v>
      </c>
      <c r="M641" s="6">
        <v>1.82289060893237</v>
      </c>
      <c r="N641" s="6">
        <v>9.0523011268125195</v>
      </c>
      <c r="O641" s="6">
        <v>9.0523011268125195</v>
      </c>
      <c r="P641" s="6">
        <v>9.0523011268125195</v>
      </c>
      <c r="Q641" s="6">
        <v>0</v>
      </c>
      <c r="R641" s="6">
        <v>0</v>
      </c>
      <c r="S641" s="6">
        <v>0</v>
      </c>
      <c r="T641" s="6">
        <v>148.16252978001501</v>
      </c>
    </row>
    <row r="642" spans="1:20" ht="13" x14ac:dyDescent="0.15">
      <c r="A642" s="6">
        <v>640</v>
      </c>
      <c r="B642" s="7">
        <v>44089</v>
      </c>
      <c r="C642" s="6">
        <v>137.85410925937799</v>
      </c>
      <c r="D642" s="6">
        <v>117.329700781041</v>
      </c>
      <c r="E642" s="6">
        <v>180.11304213200199</v>
      </c>
      <c r="F642" s="6">
        <v>137.85410925937799</v>
      </c>
      <c r="G642" s="6">
        <v>137.85410925937799</v>
      </c>
      <c r="H642" s="6">
        <v>10.129503961278299</v>
      </c>
      <c r="I642" s="6">
        <v>10.129503961278299</v>
      </c>
      <c r="J642" s="6">
        <v>10.129503961278299</v>
      </c>
      <c r="K642" s="6">
        <v>0.84522403106474797</v>
      </c>
      <c r="L642" s="6">
        <v>0.84522403106474797</v>
      </c>
      <c r="M642" s="6">
        <v>0.84522403106474797</v>
      </c>
      <c r="N642" s="6">
        <v>9.2842799302135699</v>
      </c>
      <c r="O642" s="6">
        <v>9.2842799302135699</v>
      </c>
      <c r="P642" s="6">
        <v>9.2842799302135699</v>
      </c>
      <c r="Q642" s="6">
        <v>0</v>
      </c>
      <c r="R642" s="6">
        <v>0</v>
      </c>
      <c r="S642" s="6">
        <v>0</v>
      </c>
      <c r="T642" s="6">
        <v>147.983613220656</v>
      </c>
    </row>
    <row r="643" spans="1:20" ht="13" x14ac:dyDescent="0.15">
      <c r="A643" s="6">
        <v>641</v>
      </c>
      <c r="B643" s="7">
        <v>44090</v>
      </c>
      <c r="C643" s="6">
        <v>138.42088047448601</v>
      </c>
      <c r="D643" s="6">
        <v>116.961563072327</v>
      </c>
      <c r="E643" s="6">
        <v>182.696943718813</v>
      </c>
      <c r="F643" s="6">
        <v>138.42088047448601</v>
      </c>
      <c r="G643" s="6">
        <v>138.42088047448601</v>
      </c>
      <c r="H643" s="6">
        <v>10.346442456052401</v>
      </c>
      <c r="I643" s="6">
        <v>10.346442456052401</v>
      </c>
      <c r="J643" s="6">
        <v>10.346442456052401</v>
      </c>
      <c r="K643" s="6">
        <v>0.94874688043941302</v>
      </c>
      <c r="L643" s="6">
        <v>0.94874688043941302</v>
      </c>
      <c r="M643" s="6">
        <v>0.94874688043941302</v>
      </c>
      <c r="N643" s="6">
        <v>9.3976955756129907</v>
      </c>
      <c r="O643" s="6">
        <v>9.3976955756129907</v>
      </c>
      <c r="P643" s="6">
        <v>9.3976955756129907</v>
      </c>
      <c r="Q643" s="6">
        <v>0</v>
      </c>
      <c r="R643" s="6">
        <v>0</v>
      </c>
      <c r="S643" s="6">
        <v>0</v>
      </c>
      <c r="T643" s="6">
        <v>148.767322930538</v>
      </c>
    </row>
    <row r="644" spans="1:20" ht="13" x14ac:dyDescent="0.15">
      <c r="A644" s="6">
        <v>642</v>
      </c>
      <c r="B644" s="7">
        <v>44091</v>
      </c>
      <c r="C644" s="6">
        <v>138.98765168959301</v>
      </c>
      <c r="D644" s="6">
        <v>115.683031581248</v>
      </c>
      <c r="E644" s="6">
        <v>180.91001602680601</v>
      </c>
      <c r="F644" s="6">
        <v>138.98765168959301</v>
      </c>
      <c r="G644" s="6">
        <v>138.98765168959301</v>
      </c>
      <c r="H644" s="6">
        <v>9.87172712931023</v>
      </c>
      <c r="I644" s="6">
        <v>9.87172712931023</v>
      </c>
      <c r="J644" s="6">
        <v>9.87172712931023</v>
      </c>
      <c r="K644" s="6">
        <v>0.49015521355612302</v>
      </c>
      <c r="L644" s="6">
        <v>0.49015521355612302</v>
      </c>
      <c r="M644" s="6">
        <v>0.49015521355612302</v>
      </c>
      <c r="N644" s="6">
        <v>9.38157191575411</v>
      </c>
      <c r="O644" s="6">
        <v>9.38157191575411</v>
      </c>
      <c r="P644" s="6">
        <v>9.38157191575411</v>
      </c>
      <c r="Q644" s="6">
        <v>0</v>
      </c>
      <c r="R644" s="6">
        <v>0</v>
      </c>
      <c r="S644" s="6">
        <v>0</v>
      </c>
      <c r="T644" s="6">
        <v>148.85937881890399</v>
      </c>
    </row>
    <row r="645" spans="1:20" ht="13" x14ac:dyDescent="0.15">
      <c r="A645" s="6">
        <v>643</v>
      </c>
      <c r="B645" s="7">
        <v>44092</v>
      </c>
      <c r="C645" s="6">
        <v>139.55442290470199</v>
      </c>
      <c r="D645" s="6">
        <v>118.463058668082</v>
      </c>
      <c r="E645" s="6">
        <v>182.08069382848601</v>
      </c>
      <c r="F645" s="6">
        <v>139.55442290470199</v>
      </c>
      <c r="G645" s="6">
        <v>139.55442290470199</v>
      </c>
      <c r="H645" s="6">
        <v>9.2049928113389399</v>
      </c>
      <c r="I645" s="6">
        <v>9.2049928113389399</v>
      </c>
      <c r="J645" s="6">
        <v>9.2049928113389399</v>
      </c>
      <c r="K645" s="6">
        <v>-2.2976765066738899E-2</v>
      </c>
      <c r="L645" s="6">
        <v>-2.2976765066738899E-2</v>
      </c>
      <c r="M645" s="6">
        <v>-2.2976765066738899E-2</v>
      </c>
      <c r="N645" s="6">
        <v>9.2279695764056804</v>
      </c>
      <c r="O645" s="6">
        <v>9.2279695764056804</v>
      </c>
      <c r="P645" s="6">
        <v>9.2279695764056804</v>
      </c>
      <c r="Q645" s="6">
        <v>0</v>
      </c>
      <c r="R645" s="6">
        <v>0</v>
      </c>
      <c r="S645" s="6">
        <v>0</v>
      </c>
      <c r="T645" s="6">
        <v>148.75941571604099</v>
      </c>
    </row>
    <row r="646" spans="1:20" ht="13" x14ac:dyDescent="0.15">
      <c r="A646" s="6">
        <v>644</v>
      </c>
      <c r="B646" s="7">
        <v>44095</v>
      </c>
      <c r="C646" s="6">
        <v>141.25473739079899</v>
      </c>
      <c r="D646" s="6">
        <v>120.58634968853001</v>
      </c>
      <c r="E646" s="6">
        <v>183.75773231805201</v>
      </c>
      <c r="F646" s="6">
        <v>141.25473739079899</v>
      </c>
      <c r="G646" s="6">
        <v>141.25473739079899</v>
      </c>
      <c r="H646" s="6">
        <v>9.7371896435409493</v>
      </c>
      <c r="I646" s="6">
        <v>9.7371896435409493</v>
      </c>
      <c r="J646" s="6">
        <v>9.7371896435409493</v>
      </c>
      <c r="K646" s="6">
        <v>1.82289060893287</v>
      </c>
      <c r="L646" s="6">
        <v>1.82289060893287</v>
      </c>
      <c r="M646" s="6">
        <v>1.82289060893287</v>
      </c>
      <c r="N646" s="6">
        <v>7.9142990346080699</v>
      </c>
      <c r="O646" s="6">
        <v>7.9142990346080699</v>
      </c>
      <c r="P646" s="6">
        <v>7.9142990346080699</v>
      </c>
      <c r="Q646" s="6">
        <v>0</v>
      </c>
      <c r="R646" s="6">
        <v>0</v>
      </c>
      <c r="S646" s="6">
        <v>0</v>
      </c>
      <c r="T646" s="6">
        <v>150.99192703433999</v>
      </c>
    </row>
    <row r="647" spans="1:20" ht="13" x14ac:dyDescent="0.15">
      <c r="A647" s="6">
        <v>645</v>
      </c>
      <c r="B647" s="7">
        <v>44096</v>
      </c>
      <c r="C647" s="6">
        <v>141.821508886164</v>
      </c>
      <c r="D647" s="6">
        <v>120.362176839583</v>
      </c>
      <c r="E647" s="6">
        <v>180.76660655612301</v>
      </c>
      <c r="F647" s="6">
        <v>141.821508886164</v>
      </c>
      <c r="G647" s="6">
        <v>141.821508886164</v>
      </c>
      <c r="H647" s="6">
        <v>8.0462446411642308</v>
      </c>
      <c r="I647" s="6">
        <v>8.0462446411642308</v>
      </c>
      <c r="J647" s="6">
        <v>8.0462446411642308</v>
      </c>
      <c r="K647" s="6">
        <v>0.84522403106491495</v>
      </c>
      <c r="L647" s="6">
        <v>0.84522403106491495</v>
      </c>
      <c r="M647" s="6">
        <v>0.84522403106491495</v>
      </c>
      <c r="N647" s="6">
        <v>7.2010206100993104</v>
      </c>
      <c r="O647" s="6">
        <v>7.2010206100993104</v>
      </c>
      <c r="P647" s="6">
        <v>7.2010206100993104</v>
      </c>
      <c r="Q647" s="6">
        <v>0</v>
      </c>
      <c r="R647" s="6">
        <v>0</v>
      </c>
      <c r="S647" s="6">
        <v>0</v>
      </c>
      <c r="T647" s="6">
        <v>149.867753527329</v>
      </c>
    </row>
    <row r="648" spans="1:20" ht="13" x14ac:dyDescent="0.15">
      <c r="A648" s="6">
        <v>646</v>
      </c>
      <c r="B648" s="7">
        <v>44097</v>
      </c>
      <c r="C648" s="6">
        <v>142.38828038153</v>
      </c>
      <c r="D648" s="6">
        <v>119.834774817693</v>
      </c>
      <c r="E648" s="6">
        <v>182.19382198511499</v>
      </c>
      <c r="F648" s="6">
        <v>142.38828038153</v>
      </c>
      <c r="G648" s="6">
        <v>142.38828038153</v>
      </c>
      <c r="H648" s="6">
        <v>7.3124476247154302</v>
      </c>
      <c r="I648" s="6">
        <v>7.3124476247154302</v>
      </c>
      <c r="J648" s="6">
        <v>7.3124476247154302</v>
      </c>
      <c r="K648" s="6">
        <v>0.94874688043590305</v>
      </c>
      <c r="L648" s="6">
        <v>0.94874688043590305</v>
      </c>
      <c r="M648" s="6">
        <v>0.94874688043590305</v>
      </c>
      <c r="N648" s="6">
        <v>6.3637007442795301</v>
      </c>
      <c r="O648" s="6">
        <v>6.3637007442795301</v>
      </c>
      <c r="P648" s="6">
        <v>6.3637007442795301</v>
      </c>
      <c r="Q648" s="6">
        <v>0</v>
      </c>
      <c r="R648" s="6">
        <v>0</v>
      </c>
      <c r="S648" s="6">
        <v>0</v>
      </c>
      <c r="T648" s="6">
        <v>149.70072800624601</v>
      </c>
    </row>
    <row r="649" spans="1:20" ht="13" x14ac:dyDescent="0.15">
      <c r="A649" s="6">
        <v>647</v>
      </c>
      <c r="B649" s="7">
        <v>44098</v>
      </c>
      <c r="C649" s="6">
        <v>142.95505187689599</v>
      </c>
      <c r="D649" s="6">
        <v>118.28970505223501</v>
      </c>
      <c r="E649" s="6">
        <v>180.711276161424</v>
      </c>
      <c r="F649" s="6">
        <v>142.95505187689599</v>
      </c>
      <c r="G649" s="6">
        <v>142.95505187689599</v>
      </c>
      <c r="H649" s="6">
        <v>5.9059771710501101</v>
      </c>
      <c r="I649" s="6">
        <v>5.9059771710501101</v>
      </c>
      <c r="J649" s="6">
        <v>5.9059771710501101</v>
      </c>
      <c r="K649" s="6">
        <v>0.49015521355730202</v>
      </c>
      <c r="L649" s="6">
        <v>0.49015521355730202</v>
      </c>
      <c r="M649" s="6">
        <v>0.49015521355730202</v>
      </c>
      <c r="N649" s="6">
        <v>5.4158219574928097</v>
      </c>
      <c r="O649" s="6">
        <v>5.4158219574928097</v>
      </c>
      <c r="P649" s="6">
        <v>5.4158219574928097</v>
      </c>
      <c r="Q649" s="6">
        <v>0</v>
      </c>
      <c r="R649" s="6">
        <v>0</v>
      </c>
      <c r="S649" s="6">
        <v>0</v>
      </c>
      <c r="T649" s="6">
        <v>148.861029047946</v>
      </c>
    </row>
    <row r="650" spans="1:20" ht="13" x14ac:dyDescent="0.15">
      <c r="A650" s="6">
        <v>648</v>
      </c>
      <c r="B650" s="7">
        <v>44099</v>
      </c>
      <c r="C650" s="6">
        <v>143.52182337226199</v>
      </c>
      <c r="D650" s="6">
        <v>116.337549462783</v>
      </c>
      <c r="E650" s="6">
        <v>179.018452762301</v>
      </c>
      <c r="F650" s="6">
        <v>143.52182337226199</v>
      </c>
      <c r="G650" s="6">
        <v>143.52182337226199</v>
      </c>
      <c r="H650" s="6">
        <v>4.3510779946819502</v>
      </c>
      <c r="I650" s="6">
        <v>4.3510779946819502</v>
      </c>
      <c r="J650" s="6">
        <v>4.3510779946819502</v>
      </c>
      <c r="K650" s="6">
        <v>-2.2976765060680301E-2</v>
      </c>
      <c r="L650" s="6">
        <v>-2.2976765060680301E-2</v>
      </c>
      <c r="M650" s="6">
        <v>-2.2976765060680301E-2</v>
      </c>
      <c r="N650" s="6">
        <v>4.3740547597426298</v>
      </c>
      <c r="O650" s="6">
        <v>4.3740547597426298</v>
      </c>
      <c r="P650" s="6">
        <v>4.3740547597426298</v>
      </c>
      <c r="Q650" s="6">
        <v>0</v>
      </c>
      <c r="R650" s="6">
        <v>0</v>
      </c>
      <c r="S650" s="6">
        <v>0</v>
      </c>
      <c r="T650" s="6">
        <v>147.87290136694301</v>
      </c>
    </row>
    <row r="651" spans="1:20" ht="13" x14ac:dyDescent="0.15">
      <c r="A651" s="6">
        <v>649</v>
      </c>
      <c r="B651" s="7">
        <v>44102</v>
      </c>
      <c r="C651" s="6">
        <v>145.22213785835899</v>
      </c>
      <c r="D651" s="6">
        <v>116.958534518322</v>
      </c>
      <c r="E651" s="6">
        <v>178.87451611101699</v>
      </c>
      <c r="F651" s="6">
        <v>145.22213785835899</v>
      </c>
      <c r="G651" s="6">
        <v>145.22213785835899</v>
      </c>
      <c r="H651" s="6">
        <v>2.7145872313325898</v>
      </c>
      <c r="I651" s="6">
        <v>2.7145872313325898</v>
      </c>
      <c r="J651" s="6">
        <v>2.7145872313325898</v>
      </c>
      <c r="K651" s="6">
        <v>1.82289060893459</v>
      </c>
      <c r="L651" s="6">
        <v>1.82289060893459</v>
      </c>
      <c r="M651" s="6">
        <v>1.82289060893459</v>
      </c>
      <c r="N651" s="6">
        <v>0.89169662239800296</v>
      </c>
      <c r="O651" s="6">
        <v>0.89169662239800296</v>
      </c>
      <c r="P651" s="6">
        <v>0.89169662239800296</v>
      </c>
      <c r="Q651" s="6">
        <v>0</v>
      </c>
      <c r="R651" s="6">
        <v>0</v>
      </c>
      <c r="S651" s="6">
        <v>0</v>
      </c>
      <c r="T651" s="6">
        <v>147.93672508969101</v>
      </c>
    </row>
    <row r="652" spans="1:20" ht="13" x14ac:dyDescent="0.15">
      <c r="A652" s="6">
        <v>650</v>
      </c>
      <c r="B652" s="7">
        <v>44103</v>
      </c>
      <c r="C652" s="6">
        <v>145.78890935372399</v>
      </c>
      <c r="D652" s="6">
        <v>113.946143090514</v>
      </c>
      <c r="E652" s="6">
        <v>177.332396589355</v>
      </c>
      <c r="F652" s="6">
        <v>145.78890935372399</v>
      </c>
      <c r="G652" s="6">
        <v>145.78890935372399</v>
      </c>
      <c r="H652" s="6">
        <v>0.53561106295224903</v>
      </c>
      <c r="I652" s="6">
        <v>0.53561106295224903</v>
      </c>
      <c r="J652" s="6">
        <v>0.53561106295224903</v>
      </c>
      <c r="K652" s="6">
        <v>0.845224031063458</v>
      </c>
      <c r="L652" s="6">
        <v>0.845224031063458</v>
      </c>
      <c r="M652" s="6">
        <v>0.845224031063458</v>
      </c>
      <c r="N652" s="6">
        <v>-0.30961296811120798</v>
      </c>
      <c r="O652" s="6">
        <v>-0.30961296811120798</v>
      </c>
      <c r="P652" s="6">
        <v>-0.30961296811120798</v>
      </c>
      <c r="Q652" s="6">
        <v>0</v>
      </c>
      <c r="R652" s="6">
        <v>0</v>
      </c>
      <c r="S652" s="6">
        <v>0</v>
      </c>
      <c r="T652" s="6">
        <v>146.32452041667699</v>
      </c>
    </row>
    <row r="653" spans="1:20" ht="13" x14ac:dyDescent="0.15">
      <c r="A653" s="6">
        <v>651</v>
      </c>
      <c r="B653" s="7">
        <v>44104</v>
      </c>
      <c r="C653" s="6">
        <v>146.35568084908999</v>
      </c>
      <c r="D653" s="6">
        <v>112.40480489630301</v>
      </c>
      <c r="E653" s="6">
        <v>177.50968703717899</v>
      </c>
      <c r="F653" s="6">
        <v>146.35568084908999</v>
      </c>
      <c r="G653" s="6">
        <v>146.35568084908999</v>
      </c>
      <c r="H653" s="6">
        <v>-0.54032028818881905</v>
      </c>
      <c r="I653" s="6">
        <v>-0.54032028818881905</v>
      </c>
      <c r="J653" s="6">
        <v>-0.54032028818881905</v>
      </c>
      <c r="K653" s="6">
        <v>0.94874688043775202</v>
      </c>
      <c r="L653" s="6">
        <v>0.94874688043775202</v>
      </c>
      <c r="M653" s="6">
        <v>0.94874688043775202</v>
      </c>
      <c r="N653" s="6">
        <v>-1.48906716862657</v>
      </c>
      <c r="O653" s="6">
        <v>-1.48906716862657</v>
      </c>
      <c r="P653" s="6">
        <v>-1.48906716862657</v>
      </c>
      <c r="Q653" s="6">
        <v>0</v>
      </c>
      <c r="R653" s="6">
        <v>0</v>
      </c>
      <c r="S653" s="6">
        <v>0</v>
      </c>
      <c r="T653" s="6">
        <v>145.81536056090101</v>
      </c>
    </row>
    <row r="654" spans="1:20" ht="13" x14ac:dyDescent="0.15">
      <c r="A654" s="6">
        <v>652</v>
      </c>
      <c r="B654" s="7">
        <v>44105</v>
      </c>
      <c r="C654" s="6">
        <v>146.92245234445599</v>
      </c>
      <c r="D654" s="6">
        <v>112.388178335623</v>
      </c>
      <c r="E654" s="6">
        <v>175.67157515953801</v>
      </c>
      <c r="F654" s="6">
        <v>146.92245234445599</v>
      </c>
      <c r="G654" s="6">
        <v>146.92245234445599</v>
      </c>
      <c r="H654" s="6">
        <v>-2.1308274283193702</v>
      </c>
      <c r="I654" s="6">
        <v>-2.1308274283193702</v>
      </c>
      <c r="J654" s="6">
        <v>-2.1308274283193702</v>
      </c>
      <c r="K654" s="6">
        <v>0.49015521355848202</v>
      </c>
      <c r="L654" s="6">
        <v>0.49015521355848202</v>
      </c>
      <c r="M654" s="6">
        <v>0.49015521355848202</v>
      </c>
      <c r="N654" s="6">
        <v>-2.6209826418778501</v>
      </c>
      <c r="O654" s="6">
        <v>-2.6209826418778501</v>
      </c>
      <c r="P654" s="6">
        <v>-2.6209826418778501</v>
      </c>
      <c r="Q654" s="6">
        <v>0</v>
      </c>
      <c r="R654" s="6">
        <v>0</v>
      </c>
      <c r="S654" s="6">
        <v>0</v>
      </c>
      <c r="T654" s="6">
        <v>144.79162491613599</v>
      </c>
    </row>
    <row r="655" spans="1:20" ht="13" x14ac:dyDescent="0.15">
      <c r="A655" s="6">
        <v>653</v>
      </c>
      <c r="B655" s="7">
        <v>44106</v>
      </c>
      <c r="C655" s="6">
        <v>147.48922383982099</v>
      </c>
      <c r="D655" s="6">
        <v>111.852088134627</v>
      </c>
      <c r="E655" s="6">
        <v>175.12722603708499</v>
      </c>
      <c r="F655" s="6">
        <v>147.48922383982099</v>
      </c>
      <c r="G655" s="6">
        <v>147.48922383982099</v>
      </c>
      <c r="H655" s="6">
        <v>-3.70328255501185</v>
      </c>
      <c r="I655" s="6">
        <v>-3.70328255501185</v>
      </c>
      <c r="J655" s="6">
        <v>-3.70328255501185</v>
      </c>
      <c r="K655" s="6">
        <v>-2.2976765058733799E-2</v>
      </c>
      <c r="L655" s="6">
        <v>-2.2976765058733799E-2</v>
      </c>
      <c r="M655" s="6">
        <v>-2.2976765058733799E-2</v>
      </c>
      <c r="N655" s="6">
        <v>-3.6803057899531102</v>
      </c>
      <c r="O655" s="6">
        <v>-3.6803057899531102</v>
      </c>
      <c r="P655" s="6">
        <v>-3.6803057899531102</v>
      </c>
      <c r="Q655" s="6">
        <v>0</v>
      </c>
      <c r="R655" s="6">
        <v>0</v>
      </c>
      <c r="S655" s="6">
        <v>0</v>
      </c>
      <c r="T655" s="6">
        <v>143.78594128481001</v>
      </c>
    </row>
    <row r="656" spans="1:20" ht="13" x14ac:dyDescent="0.15">
      <c r="A656" s="6">
        <v>654</v>
      </c>
      <c r="B656" s="7">
        <v>44109</v>
      </c>
      <c r="C656" s="6">
        <v>149.18953832591799</v>
      </c>
      <c r="D656" s="6">
        <v>114.168043787296</v>
      </c>
      <c r="E656" s="6">
        <v>179.53825933719401</v>
      </c>
      <c r="F656" s="6">
        <v>149.18953832591799</v>
      </c>
      <c r="G656" s="6">
        <v>149.18953832591799</v>
      </c>
      <c r="H656" s="6">
        <v>-4.3719640519484599</v>
      </c>
      <c r="I656" s="6">
        <v>-4.3719640519484599</v>
      </c>
      <c r="J656" s="6">
        <v>-4.3719640519484599</v>
      </c>
      <c r="K656" s="6">
        <v>1.8228906089363099</v>
      </c>
      <c r="L656" s="6">
        <v>1.8228906089363099</v>
      </c>
      <c r="M656" s="6">
        <v>1.8228906089363099</v>
      </c>
      <c r="N656" s="6">
        <v>-6.1948546608847703</v>
      </c>
      <c r="O656" s="6">
        <v>-6.1948546608847703</v>
      </c>
      <c r="P656" s="6">
        <v>-6.1948546608847703</v>
      </c>
      <c r="Q656" s="6">
        <v>0</v>
      </c>
      <c r="R656" s="6">
        <v>0</v>
      </c>
      <c r="S656" s="6">
        <v>0</v>
      </c>
      <c r="T656" s="6">
        <v>144.81757427397</v>
      </c>
    </row>
    <row r="657" spans="1:20" ht="13" x14ac:dyDescent="0.15">
      <c r="A657" s="6">
        <v>655</v>
      </c>
      <c r="B657" s="7">
        <v>44110</v>
      </c>
      <c r="C657" s="6">
        <v>149.75630982128399</v>
      </c>
      <c r="D657" s="6">
        <v>109.978851817649</v>
      </c>
      <c r="E657" s="6">
        <v>176.39029320199501</v>
      </c>
      <c r="F657" s="6">
        <v>149.75630982128399</v>
      </c>
      <c r="G657" s="6">
        <v>149.75630982128399</v>
      </c>
      <c r="H657" s="6">
        <v>-5.9023338722777297</v>
      </c>
      <c r="I657" s="6">
        <v>-5.9023338722777297</v>
      </c>
      <c r="J657" s="6">
        <v>-5.9023338722777297</v>
      </c>
      <c r="K657" s="6">
        <v>0.84522403106738397</v>
      </c>
      <c r="L657" s="6">
        <v>0.84522403106738397</v>
      </c>
      <c r="M657" s="6">
        <v>0.84522403106738397</v>
      </c>
      <c r="N657" s="6">
        <v>-6.7475579033451103</v>
      </c>
      <c r="O657" s="6">
        <v>-6.7475579033451103</v>
      </c>
      <c r="P657" s="6">
        <v>-6.7475579033451103</v>
      </c>
      <c r="Q657" s="6">
        <v>0</v>
      </c>
      <c r="R657" s="6">
        <v>0</v>
      </c>
      <c r="S657" s="6">
        <v>0</v>
      </c>
      <c r="T657" s="6">
        <v>143.85397594900601</v>
      </c>
    </row>
    <row r="658" spans="1:20" ht="13" x14ac:dyDescent="0.15">
      <c r="A658" s="6">
        <v>656</v>
      </c>
      <c r="B658" s="7">
        <v>44111</v>
      </c>
      <c r="C658" s="6">
        <v>150.32308131664999</v>
      </c>
      <c r="D658" s="6">
        <v>110.916727669529</v>
      </c>
      <c r="E658" s="6">
        <v>175.205144774232</v>
      </c>
      <c r="F658" s="6">
        <v>150.32308131664999</v>
      </c>
      <c r="G658" s="6">
        <v>150.32308131664999</v>
      </c>
      <c r="H658" s="6">
        <v>-6.18417225063284</v>
      </c>
      <c r="I658" s="6">
        <v>-6.18417225063284</v>
      </c>
      <c r="J658" s="6">
        <v>-6.18417225063284</v>
      </c>
      <c r="K658" s="6">
        <v>0.94874688043960198</v>
      </c>
      <c r="L658" s="6">
        <v>0.94874688043960198</v>
      </c>
      <c r="M658" s="6">
        <v>0.94874688043960198</v>
      </c>
      <c r="N658" s="6">
        <v>-7.13291913107245</v>
      </c>
      <c r="O658" s="6">
        <v>-7.13291913107245</v>
      </c>
      <c r="P658" s="6">
        <v>-7.13291913107245</v>
      </c>
      <c r="Q658" s="6">
        <v>0</v>
      </c>
      <c r="R658" s="6">
        <v>0</v>
      </c>
      <c r="S658" s="6">
        <v>0</v>
      </c>
      <c r="T658" s="6">
        <v>144.13890906601699</v>
      </c>
    </row>
    <row r="659" spans="1:20" ht="13" x14ac:dyDescent="0.15">
      <c r="A659" s="6">
        <v>657</v>
      </c>
      <c r="B659" s="7">
        <v>44112</v>
      </c>
      <c r="C659" s="6">
        <v>150.88985281201599</v>
      </c>
      <c r="D659" s="6">
        <v>111.64409725277901</v>
      </c>
      <c r="E659" s="6">
        <v>177.23572761459499</v>
      </c>
      <c r="F659" s="6">
        <v>150.88985281201599</v>
      </c>
      <c r="G659" s="6">
        <v>150.88985281201599</v>
      </c>
      <c r="H659" s="6">
        <v>-6.8514053040873497</v>
      </c>
      <c r="I659" s="6">
        <v>-6.8514053040873497</v>
      </c>
      <c r="J659" s="6">
        <v>-6.8514053040873497</v>
      </c>
      <c r="K659" s="6">
        <v>0.49015521355564401</v>
      </c>
      <c r="L659" s="6">
        <v>0.49015521355564401</v>
      </c>
      <c r="M659" s="6">
        <v>0.49015521355564401</v>
      </c>
      <c r="N659" s="6">
        <v>-7.3415605176429999</v>
      </c>
      <c r="O659" s="6">
        <v>-7.3415605176429999</v>
      </c>
      <c r="P659" s="6">
        <v>-7.3415605176429999</v>
      </c>
      <c r="Q659" s="6">
        <v>0</v>
      </c>
      <c r="R659" s="6">
        <v>0</v>
      </c>
      <c r="S659" s="6">
        <v>0</v>
      </c>
      <c r="T659" s="6">
        <v>144.038447507928</v>
      </c>
    </row>
    <row r="660" spans="1:20" ht="13" x14ac:dyDescent="0.15">
      <c r="A660" s="6">
        <v>658</v>
      </c>
      <c r="B660" s="7">
        <v>44113</v>
      </c>
      <c r="C660" s="6">
        <v>151.45662430738099</v>
      </c>
      <c r="D660" s="6">
        <v>111.64832792154399</v>
      </c>
      <c r="E660" s="6">
        <v>177.26791435457301</v>
      </c>
      <c r="F660" s="6">
        <v>151.45662430738099</v>
      </c>
      <c r="G660" s="6">
        <v>151.45662430738099</v>
      </c>
      <c r="H660" s="6">
        <v>-7.3910622937748602</v>
      </c>
      <c r="I660" s="6">
        <v>-7.3910622937748602</v>
      </c>
      <c r="J660" s="6">
        <v>-7.3910622937748602</v>
      </c>
      <c r="K660" s="6">
        <v>-2.2976765061346001E-2</v>
      </c>
      <c r="L660" s="6">
        <v>-2.2976765061346001E-2</v>
      </c>
      <c r="M660" s="6">
        <v>-2.2976765061346001E-2</v>
      </c>
      <c r="N660" s="6">
        <v>-7.3680855287135198</v>
      </c>
      <c r="O660" s="6">
        <v>-7.3680855287135198</v>
      </c>
      <c r="P660" s="6">
        <v>-7.3680855287135198</v>
      </c>
      <c r="Q660" s="6">
        <v>0</v>
      </c>
      <c r="R660" s="6">
        <v>0</v>
      </c>
      <c r="S660" s="6">
        <v>0</v>
      </c>
      <c r="T660" s="6">
        <v>144.06556201360601</v>
      </c>
    </row>
    <row r="661" spans="1:20" ht="13" x14ac:dyDescent="0.15">
      <c r="A661" s="6">
        <v>659</v>
      </c>
      <c r="B661" s="7">
        <v>44116</v>
      </c>
      <c r="C661" s="6">
        <v>153.15693879347799</v>
      </c>
      <c r="D661" s="6">
        <v>115.857581379038</v>
      </c>
      <c r="E661" s="6">
        <v>181.363912703945</v>
      </c>
      <c r="F661" s="6">
        <v>153.15693879347799</v>
      </c>
      <c r="G661" s="6">
        <v>153.15693879347799</v>
      </c>
      <c r="H661" s="6">
        <v>-4.5401014566972204</v>
      </c>
      <c r="I661" s="6">
        <v>-4.5401014566972204</v>
      </c>
      <c r="J661" s="6">
        <v>-4.5401014566972204</v>
      </c>
      <c r="K661" s="6">
        <v>1.8228906089380199</v>
      </c>
      <c r="L661" s="6">
        <v>1.8228906089380199</v>
      </c>
      <c r="M661" s="6">
        <v>1.8228906089380199</v>
      </c>
      <c r="N661" s="6">
        <v>-6.3629920656352503</v>
      </c>
      <c r="O661" s="6">
        <v>-6.3629920656352503</v>
      </c>
      <c r="P661" s="6">
        <v>-6.3629920656352503</v>
      </c>
      <c r="Q661" s="6">
        <v>0</v>
      </c>
      <c r="R661" s="6">
        <v>0</v>
      </c>
      <c r="S661" s="6">
        <v>0</v>
      </c>
      <c r="T661" s="6">
        <v>148.616837336781</v>
      </c>
    </row>
    <row r="662" spans="1:20" ht="13" x14ac:dyDescent="0.15">
      <c r="A662" s="6">
        <v>660</v>
      </c>
      <c r="B662" s="7">
        <v>44117</v>
      </c>
      <c r="C662" s="6">
        <v>153.72371028884399</v>
      </c>
      <c r="D662" s="6">
        <v>115.258436137527</v>
      </c>
      <c r="E662" s="6">
        <v>181.04875369327601</v>
      </c>
      <c r="F662" s="6">
        <v>153.72371028884399</v>
      </c>
      <c r="G662" s="6">
        <v>153.72371028884399</v>
      </c>
      <c r="H662" s="6">
        <v>-4.8442666019651197</v>
      </c>
      <c r="I662" s="6">
        <v>-4.8442666019651197</v>
      </c>
      <c r="J662" s="6">
        <v>-4.8442666019651197</v>
      </c>
      <c r="K662" s="6">
        <v>0.84522403106592703</v>
      </c>
      <c r="L662" s="6">
        <v>0.84522403106592703</v>
      </c>
      <c r="M662" s="6">
        <v>0.84522403106592703</v>
      </c>
      <c r="N662" s="6">
        <v>-5.68949063303105</v>
      </c>
      <c r="O662" s="6">
        <v>-5.68949063303105</v>
      </c>
      <c r="P662" s="6">
        <v>-5.68949063303105</v>
      </c>
      <c r="Q662" s="6">
        <v>0</v>
      </c>
      <c r="R662" s="6">
        <v>0</v>
      </c>
      <c r="S662" s="6">
        <v>0</v>
      </c>
      <c r="T662" s="6">
        <v>148.879443686879</v>
      </c>
    </row>
    <row r="663" spans="1:20" ht="13" x14ac:dyDescent="0.15">
      <c r="A663" s="6">
        <v>661</v>
      </c>
      <c r="B663" s="7">
        <v>44118</v>
      </c>
      <c r="C663" s="6">
        <v>154.29048178420999</v>
      </c>
      <c r="D663" s="6">
        <v>120.504687514534</v>
      </c>
      <c r="E663" s="6">
        <v>182.77965042898401</v>
      </c>
      <c r="F663" s="6">
        <v>154.29048178420999</v>
      </c>
      <c r="G663" s="6">
        <v>154.29048178420999</v>
      </c>
      <c r="H663" s="6">
        <v>-3.9191255378619401</v>
      </c>
      <c r="I663" s="6">
        <v>-3.9191255378619401</v>
      </c>
      <c r="J663" s="6">
        <v>-3.9191255378619401</v>
      </c>
      <c r="K663" s="6">
        <v>0.94874688043730504</v>
      </c>
      <c r="L663" s="6">
        <v>0.94874688043730504</v>
      </c>
      <c r="M663" s="6">
        <v>0.94874688043730504</v>
      </c>
      <c r="N663" s="6">
        <v>-4.8678724182992497</v>
      </c>
      <c r="O663" s="6">
        <v>-4.8678724182992497</v>
      </c>
      <c r="P663" s="6">
        <v>-4.8678724182992497</v>
      </c>
      <c r="Q663" s="6">
        <v>0</v>
      </c>
      <c r="R663" s="6">
        <v>0</v>
      </c>
      <c r="S663" s="6">
        <v>0</v>
      </c>
      <c r="T663" s="6">
        <v>150.371356246348</v>
      </c>
    </row>
    <row r="664" spans="1:20" ht="13" x14ac:dyDescent="0.15">
      <c r="A664" s="6">
        <v>662</v>
      </c>
      <c r="B664" s="7">
        <v>44119</v>
      </c>
      <c r="C664" s="6">
        <v>154.85725327957499</v>
      </c>
      <c r="D664" s="6">
        <v>121.620059934324</v>
      </c>
      <c r="E664" s="6">
        <v>182.28552089755101</v>
      </c>
      <c r="F664" s="6">
        <v>154.85725327957499</v>
      </c>
      <c r="G664" s="6">
        <v>154.85725327957499</v>
      </c>
      <c r="H664" s="6">
        <v>-3.4257370592265102</v>
      </c>
      <c r="I664" s="6">
        <v>-3.4257370592265102</v>
      </c>
      <c r="J664" s="6">
        <v>-3.4257370592265102</v>
      </c>
      <c r="K664" s="6">
        <v>0.49015521356084002</v>
      </c>
      <c r="L664" s="6">
        <v>0.49015521356084002</v>
      </c>
      <c r="M664" s="6">
        <v>0.49015521356084002</v>
      </c>
      <c r="N664" s="6">
        <v>-3.91589227278735</v>
      </c>
      <c r="O664" s="6">
        <v>-3.91589227278735</v>
      </c>
      <c r="P664" s="6">
        <v>-3.91589227278735</v>
      </c>
      <c r="Q664" s="6">
        <v>0</v>
      </c>
      <c r="R664" s="6">
        <v>0</v>
      </c>
      <c r="S664" s="6">
        <v>0</v>
      </c>
      <c r="T664" s="6">
        <v>151.43151622034901</v>
      </c>
    </row>
    <row r="665" spans="1:20" ht="13" x14ac:dyDescent="0.15">
      <c r="A665" s="6">
        <v>663</v>
      </c>
      <c r="B665" s="7">
        <v>44120</v>
      </c>
      <c r="C665" s="6">
        <v>155.42402477494099</v>
      </c>
      <c r="D665" s="6">
        <v>121.34523150806299</v>
      </c>
      <c r="E665" s="6">
        <v>182.58566193031101</v>
      </c>
      <c r="F665" s="6">
        <v>155.42402477494099</v>
      </c>
      <c r="G665" s="6">
        <v>155.42402477494099</v>
      </c>
      <c r="H665" s="6">
        <v>-2.8770606927711899</v>
      </c>
      <c r="I665" s="6">
        <v>-2.8770606927711899</v>
      </c>
      <c r="J665" s="6">
        <v>-2.8770606927711899</v>
      </c>
      <c r="K665" s="6">
        <v>-2.2976765063957998E-2</v>
      </c>
      <c r="L665" s="6">
        <v>-2.2976765063957998E-2</v>
      </c>
      <c r="M665" s="6">
        <v>-2.2976765063957998E-2</v>
      </c>
      <c r="N665" s="6">
        <v>-2.8540839277072299</v>
      </c>
      <c r="O665" s="6">
        <v>-2.8540839277072299</v>
      </c>
      <c r="P665" s="6">
        <v>-2.8540839277072299</v>
      </c>
      <c r="Q665" s="6">
        <v>0</v>
      </c>
      <c r="R665" s="6">
        <v>0</v>
      </c>
      <c r="S665" s="6">
        <v>0</v>
      </c>
      <c r="T665" s="6">
        <v>152.54696408217001</v>
      </c>
    </row>
    <row r="666" spans="1:20" ht="13" x14ac:dyDescent="0.15">
      <c r="A666" s="6">
        <v>664</v>
      </c>
      <c r="B666" s="7">
        <v>44123</v>
      </c>
      <c r="C666" s="6">
        <v>157.12433926103799</v>
      </c>
      <c r="D666" s="6">
        <v>125.40228152914101</v>
      </c>
      <c r="E666" s="6">
        <v>190.85274222383299</v>
      </c>
      <c r="F666" s="6">
        <v>157.12433926103799</v>
      </c>
      <c r="G666" s="6">
        <v>157.12433926103799</v>
      </c>
      <c r="H666" s="6">
        <v>2.5778505692233802</v>
      </c>
      <c r="I666" s="6">
        <v>2.5778505692233802</v>
      </c>
      <c r="J666" s="6">
        <v>2.5778505692233802</v>
      </c>
      <c r="K666" s="6">
        <v>1.82289060893852</v>
      </c>
      <c r="L666" s="6">
        <v>1.82289060893852</v>
      </c>
      <c r="M666" s="6">
        <v>1.82289060893852</v>
      </c>
      <c r="N666" s="6">
        <v>0.75495996028486001</v>
      </c>
      <c r="O666" s="6">
        <v>0.75495996028486001</v>
      </c>
      <c r="P666" s="6">
        <v>0.75495996028486001</v>
      </c>
      <c r="Q666" s="6">
        <v>0</v>
      </c>
      <c r="R666" s="6">
        <v>0</v>
      </c>
      <c r="S666" s="6">
        <v>0</v>
      </c>
      <c r="T666" s="6">
        <v>159.702189830262</v>
      </c>
    </row>
    <row r="667" spans="1:20" ht="13" x14ac:dyDescent="0.15">
      <c r="A667" s="6">
        <v>665</v>
      </c>
      <c r="B667" s="7">
        <v>44124</v>
      </c>
      <c r="C667" s="6">
        <v>157.69111075640399</v>
      </c>
      <c r="D667" s="6">
        <v>128.222797662407</v>
      </c>
      <c r="E667" s="6">
        <v>195.38769525528301</v>
      </c>
      <c r="F667" s="6">
        <v>157.69111075640399</v>
      </c>
      <c r="G667" s="6">
        <v>157.69111075640399</v>
      </c>
      <c r="H667" s="6">
        <v>2.8602903941596902</v>
      </c>
      <c r="I667" s="6">
        <v>2.8602903941596902</v>
      </c>
      <c r="J667" s="6">
        <v>2.8602903941596902</v>
      </c>
      <c r="K667" s="6">
        <v>0.84522403106528199</v>
      </c>
      <c r="L667" s="6">
        <v>0.84522403106528199</v>
      </c>
      <c r="M667" s="6">
        <v>0.84522403106528199</v>
      </c>
      <c r="N667" s="6">
        <v>2.0150663630944101</v>
      </c>
      <c r="O667" s="6">
        <v>2.0150663630944101</v>
      </c>
      <c r="P667" s="6">
        <v>2.0150663630944101</v>
      </c>
      <c r="Q667" s="6">
        <v>0</v>
      </c>
      <c r="R667" s="6">
        <v>0</v>
      </c>
      <c r="S667" s="6">
        <v>0</v>
      </c>
      <c r="T667" s="6">
        <v>160.55140115056301</v>
      </c>
    </row>
    <row r="668" spans="1:20" ht="13" x14ac:dyDescent="0.15">
      <c r="A668" s="6">
        <v>666</v>
      </c>
      <c r="B668" s="7">
        <v>44125</v>
      </c>
      <c r="C668" s="6">
        <v>158.25788225177001</v>
      </c>
      <c r="D668" s="6">
        <v>130.71494526471199</v>
      </c>
      <c r="E668" s="6">
        <v>195.452662174381</v>
      </c>
      <c r="F668" s="6">
        <v>158.25788225177001</v>
      </c>
      <c r="G668" s="6">
        <v>158.25788225177001</v>
      </c>
      <c r="H668" s="6">
        <v>4.2098679548092104</v>
      </c>
      <c r="I668" s="6">
        <v>4.2098679548092104</v>
      </c>
      <c r="J668" s="6">
        <v>4.2098679548092104</v>
      </c>
      <c r="K668" s="6">
        <v>0.94874688043915401</v>
      </c>
      <c r="L668" s="6">
        <v>0.94874688043915401</v>
      </c>
      <c r="M668" s="6">
        <v>0.94874688043915401</v>
      </c>
      <c r="N668" s="6">
        <v>3.26112107437006</v>
      </c>
      <c r="O668" s="6">
        <v>3.26112107437006</v>
      </c>
      <c r="P668" s="6">
        <v>3.26112107437006</v>
      </c>
      <c r="Q668" s="6">
        <v>0</v>
      </c>
      <c r="R668" s="6">
        <v>0</v>
      </c>
      <c r="S668" s="6">
        <v>0</v>
      </c>
      <c r="T668" s="6">
        <v>162.46775020657901</v>
      </c>
    </row>
    <row r="669" spans="1:20" ht="13" x14ac:dyDescent="0.15">
      <c r="A669" s="6">
        <v>667</v>
      </c>
      <c r="B669" s="7">
        <v>44126</v>
      </c>
      <c r="C669" s="6">
        <v>158.82465374713499</v>
      </c>
      <c r="D669" s="6">
        <v>129.96036044794499</v>
      </c>
      <c r="E669" s="6">
        <v>196.41783372897299</v>
      </c>
      <c r="F669" s="6">
        <v>158.82465374713499</v>
      </c>
      <c r="G669" s="6">
        <v>158.82465374713499</v>
      </c>
      <c r="H669" s="6">
        <v>4.9587797460057201</v>
      </c>
      <c r="I669" s="6">
        <v>4.9587797460057201</v>
      </c>
      <c r="J669" s="6">
        <v>4.9587797460057201</v>
      </c>
      <c r="K669" s="6">
        <v>0.49015521355654401</v>
      </c>
      <c r="L669" s="6">
        <v>0.49015521355654401</v>
      </c>
      <c r="M669" s="6">
        <v>0.49015521355654401</v>
      </c>
      <c r="N669" s="6">
        <v>4.4686245324491702</v>
      </c>
      <c r="O669" s="6">
        <v>4.4686245324491702</v>
      </c>
      <c r="P669" s="6">
        <v>4.4686245324491702</v>
      </c>
      <c r="Q669" s="6">
        <v>0</v>
      </c>
      <c r="R669" s="6">
        <v>0</v>
      </c>
      <c r="S669" s="6">
        <v>0</v>
      </c>
      <c r="T669" s="6">
        <v>163.78343349314099</v>
      </c>
    </row>
    <row r="670" spans="1:20" ht="13" x14ac:dyDescent="0.15">
      <c r="A670" s="6">
        <v>668</v>
      </c>
      <c r="B670" s="7">
        <v>44127</v>
      </c>
      <c r="C670" s="6">
        <v>159.39142524250099</v>
      </c>
      <c r="D670" s="6">
        <v>133.02071092829601</v>
      </c>
      <c r="E670" s="6">
        <v>197.72511945512099</v>
      </c>
      <c r="F670" s="6">
        <v>159.39142524250099</v>
      </c>
      <c r="G670" s="6">
        <v>159.39142524250099</v>
      </c>
      <c r="H670" s="6">
        <v>5.5916902013688903</v>
      </c>
      <c r="I670" s="6">
        <v>5.5916902013688903</v>
      </c>
      <c r="J670" s="6">
        <v>5.5916902013688903</v>
      </c>
      <c r="K670" s="6">
        <v>-2.29767650665702E-2</v>
      </c>
      <c r="L670" s="6">
        <v>-2.29767650665702E-2</v>
      </c>
      <c r="M670" s="6">
        <v>-2.29767650665702E-2</v>
      </c>
      <c r="N670" s="6">
        <v>5.61466696643547</v>
      </c>
      <c r="O670" s="6">
        <v>5.61466696643547</v>
      </c>
      <c r="P670" s="6">
        <v>5.61466696643547</v>
      </c>
      <c r="Q670" s="6">
        <v>0</v>
      </c>
      <c r="R670" s="6">
        <v>0</v>
      </c>
      <c r="S670" s="6">
        <v>0</v>
      </c>
      <c r="T670" s="6">
        <v>164.98311544386999</v>
      </c>
    </row>
    <row r="671" spans="1:20" ht="13" x14ac:dyDescent="0.15">
      <c r="A671" s="6">
        <v>669</v>
      </c>
      <c r="B671" s="7">
        <v>44130</v>
      </c>
      <c r="C671" s="6">
        <v>161.09173972859799</v>
      </c>
      <c r="D671" s="6">
        <v>137.61903906652901</v>
      </c>
      <c r="E671" s="6">
        <v>206.602565883067</v>
      </c>
      <c r="F671" s="6">
        <v>161.09173972859799</v>
      </c>
      <c r="G671" s="6">
        <v>161.09173972859799</v>
      </c>
      <c r="H671" s="6">
        <v>10.313258278019401</v>
      </c>
      <c r="I671" s="6">
        <v>10.313258278019401</v>
      </c>
      <c r="J671" s="6">
        <v>10.313258278019401</v>
      </c>
      <c r="K671" s="6">
        <v>1.82289060894146</v>
      </c>
      <c r="L671" s="6">
        <v>1.82289060894146</v>
      </c>
      <c r="M671" s="6">
        <v>1.82289060894146</v>
      </c>
      <c r="N671" s="6">
        <v>8.4903676690779992</v>
      </c>
      <c r="O671" s="6">
        <v>8.4903676690779992</v>
      </c>
      <c r="P671" s="6">
        <v>8.4903676690779992</v>
      </c>
      <c r="Q671" s="6">
        <v>0</v>
      </c>
      <c r="R671" s="6">
        <v>0</v>
      </c>
      <c r="S671" s="6">
        <v>0</v>
      </c>
      <c r="T671" s="6">
        <v>171.40499800661701</v>
      </c>
    </row>
    <row r="672" spans="1:20" ht="13" x14ac:dyDescent="0.15">
      <c r="A672" s="6">
        <v>670</v>
      </c>
      <c r="B672" s="7">
        <v>44131</v>
      </c>
      <c r="C672" s="6">
        <v>161.65851122396401</v>
      </c>
      <c r="D672" s="6">
        <v>140.20389344794901</v>
      </c>
      <c r="E672" s="6">
        <v>201.74720617886101</v>
      </c>
      <c r="F672" s="6">
        <v>161.65851122396401</v>
      </c>
      <c r="G672" s="6">
        <v>161.65851122396401</v>
      </c>
      <c r="H672" s="6">
        <v>10.057137842062</v>
      </c>
      <c r="I672" s="6">
        <v>10.057137842062</v>
      </c>
      <c r="J672" s="6">
        <v>10.057137842062</v>
      </c>
      <c r="K672" s="6">
        <v>0.84522403106463595</v>
      </c>
      <c r="L672" s="6">
        <v>0.84522403106463595</v>
      </c>
      <c r="M672" s="6">
        <v>0.84522403106463595</v>
      </c>
      <c r="N672" s="6">
        <v>9.2119138109974408</v>
      </c>
      <c r="O672" s="6">
        <v>9.2119138109974408</v>
      </c>
      <c r="P672" s="6">
        <v>9.2119138109974408</v>
      </c>
      <c r="Q672" s="6">
        <v>0</v>
      </c>
      <c r="R672" s="6">
        <v>0</v>
      </c>
      <c r="S672" s="6">
        <v>0</v>
      </c>
      <c r="T672" s="6">
        <v>171.715649066026</v>
      </c>
    </row>
    <row r="673" spans="1:20" ht="13" x14ac:dyDescent="0.15">
      <c r="A673" s="6">
        <v>671</v>
      </c>
      <c r="B673" s="7">
        <v>44132</v>
      </c>
      <c r="C673" s="6">
        <v>162.22528271932899</v>
      </c>
      <c r="D673" s="6">
        <v>142.11376762924999</v>
      </c>
      <c r="E673" s="6">
        <v>205.63651320586999</v>
      </c>
      <c r="F673" s="6">
        <v>162.22528271932899</v>
      </c>
      <c r="G673" s="6">
        <v>162.22528271932899</v>
      </c>
      <c r="H673" s="6">
        <v>10.7476185565133</v>
      </c>
      <c r="I673" s="6">
        <v>10.7476185565133</v>
      </c>
      <c r="J673" s="6">
        <v>10.7476185565133</v>
      </c>
      <c r="K673" s="6">
        <v>0.94874688043564404</v>
      </c>
      <c r="L673" s="6">
        <v>0.94874688043564404</v>
      </c>
      <c r="M673" s="6">
        <v>0.94874688043564404</v>
      </c>
      <c r="N673" s="6">
        <v>9.7988716760777308</v>
      </c>
      <c r="O673" s="6">
        <v>9.7988716760777308</v>
      </c>
      <c r="P673" s="6">
        <v>9.7988716760777308</v>
      </c>
      <c r="Q673" s="6">
        <v>0</v>
      </c>
      <c r="R673" s="6">
        <v>0</v>
      </c>
      <c r="S673" s="6">
        <v>0</v>
      </c>
      <c r="T673" s="6">
        <v>172.97290127584299</v>
      </c>
    </row>
    <row r="674" spans="1:20" ht="13" x14ac:dyDescent="0.15">
      <c r="A674" s="6">
        <v>672</v>
      </c>
      <c r="B674" s="7">
        <v>44133</v>
      </c>
      <c r="C674" s="6">
        <v>162.79205421469501</v>
      </c>
      <c r="D674" s="6">
        <v>142.21508869137</v>
      </c>
      <c r="E674" s="6">
        <v>204.162431770903</v>
      </c>
      <c r="F674" s="6">
        <v>162.79205421469501</v>
      </c>
      <c r="G674" s="6">
        <v>162.79205421469501</v>
      </c>
      <c r="H674" s="6">
        <v>10.737403625518599</v>
      </c>
      <c r="I674" s="6">
        <v>10.737403625518599</v>
      </c>
      <c r="J674" s="6">
        <v>10.737403625518599</v>
      </c>
      <c r="K674" s="6">
        <v>0.49015521355772301</v>
      </c>
      <c r="L674" s="6">
        <v>0.49015521355772301</v>
      </c>
      <c r="M674" s="6">
        <v>0.49015521355772301</v>
      </c>
      <c r="N674" s="6">
        <v>10.2472484119609</v>
      </c>
      <c r="O674" s="6">
        <v>10.2472484119609</v>
      </c>
      <c r="P674" s="6">
        <v>10.2472484119609</v>
      </c>
      <c r="Q674" s="6">
        <v>0</v>
      </c>
      <c r="R674" s="6">
        <v>0</v>
      </c>
      <c r="S674" s="6">
        <v>0</v>
      </c>
      <c r="T674" s="6">
        <v>173.52945784021401</v>
      </c>
    </row>
    <row r="675" spans="1:20" ht="13" x14ac:dyDescent="0.15">
      <c r="A675" s="6">
        <v>673</v>
      </c>
      <c r="B675" s="7">
        <v>44134</v>
      </c>
      <c r="C675" s="6">
        <v>163.35882571006101</v>
      </c>
      <c r="D675" s="6">
        <v>142.361518574949</v>
      </c>
      <c r="E675" s="6">
        <v>205.65840939023599</v>
      </c>
      <c r="F675" s="6">
        <v>163.35882571006101</v>
      </c>
      <c r="G675" s="6">
        <v>163.35882571006101</v>
      </c>
      <c r="H675" s="6">
        <v>10.533936674339101</v>
      </c>
      <c r="I675" s="6">
        <v>10.533936674339101</v>
      </c>
      <c r="J675" s="6">
        <v>10.533936674339101</v>
      </c>
      <c r="K675" s="6">
        <v>-2.2976765064624E-2</v>
      </c>
      <c r="L675" s="6">
        <v>-2.2976765064624E-2</v>
      </c>
      <c r="M675" s="6">
        <v>-2.2976765064624E-2</v>
      </c>
      <c r="N675" s="6">
        <v>10.556913439403701</v>
      </c>
      <c r="O675" s="6">
        <v>10.556913439403701</v>
      </c>
      <c r="P675" s="6">
        <v>10.556913439403701</v>
      </c>
      <c r="Q675" s="6">
        <v>0</v>
      </c>
      <c r="R675" s="6">
        <v>0</v>
      </c>
      <c r="S675" s="6">
        <v>0</v>
      </c>
      <c r="T675" s="6">
        <v>173.89276238439999</v>
      </c>
    </row>
    <row r="676" spans="1:20" ht="13" x14ac:dyDescent="0.15">
      <c r="A676" s="6">
        <v>674</v>
      </c>
      <c r="B676" s="7">
        <v>44137</v>
      </c>
      <c r="C676" s="6">
        <v>165.05914019615801</v>
      </c>
      <c r="D676" s="6">
        <v>146.607621893367</v>
      </c>
      <c r="E676" s="6">
        <v>208.90487711935501</v>
      </c>
      <c r="F676" s="6">
        <v>165.05914019615801</v>
      </c>
      <c r="G676" s="6">
        <v>165.05914019615801</v>
      </c>
      <c r="H676" s="6">
        <v>12.5307736855779</v>
      </c>
      <c r="I676" s="6">
        <v>12.5307736855779</v>
      </c>
      <c r="J676" s="6">
        <v>12.5307736855779</v>
      </c>
      <c r="K676" s="6">
        <v>1.82289060893403</v>
      </c>
      <c r="L676" s="6">
        <v>1.82289060893403</v>
      </c>
      <c r="M676" s="6">
        <v>1.82289060893403</v>
      </c>
      <c r="N676" s="6">
        <v>10.7078830766438</v>
      </c>
      <c r="O676" s="6">
        <v>10.7078830766438</v>
      </c>
      <c r="P676" s="6">
        <v>10.7078830766438</v>
      </c>
      <c r="Q676" s="6">
        <v>0</v>
      </c>
      <c r="R676" s="6">
        <v>0</v>
      </c>
      <c r="S676" s="6">
        <v>0</v>
      </c>
      <c r="T676" s="6">
        <v>177.58991388173601</v>
      </c>
    </row>
    <row r="677" spans="1:20" ht="13" x14ac:dyDescent="0.15">
      <c r="A677" s="6">
        <v>675</v>
      </c>
      <c r="B677" s="7">
        <v>44138</v>
      </c>
      <c r="C677" s="6">
        <v>165.62591169152401</v>
      </c>
      <c r="D677" s="6">
        <v>144.51178061052599</v>
      </c>
      <c r="E677" s="6">
        <v>207.647903257862</v>
      </c>
      <c r="F677" s="6">
        <v>165.62591169152401</v>
      </c>
      <c r="G677" s="6">
        <v>165.62591169152401</v>
      </c>
      <c r="H677" s="6">
        <v>11.3789363272199</v>
      </c>
      <c r="I677" s="6">
        <v>11.3789363272199</v>
      </c>
      <c r="J677" s="6">
        <v>11.3789363272199</v>
      </c>
      <c r="K677" s="6">
        <v>0.84522403106399202</v>
      </c>
      <c r="L677" s="6">
        <v>0.84522403106399202</v>
      </c>
      <c r="M677" s="6">
        <v>0.84522403106399202</v>
      </c>
      <c r="N677" s="6">
        <v>10.533712296155899</v>
      </c>
      <c r="O677" s="6">
        <v>10.533712296155899</v>
      </c>
      <c r="P677" s="6">
        <v>10.533712296155899</v>
      </c>
      <c r="Q677" s="6">
        <v>0</v>
      </c>
      <c r="R677" s="6">
        <v>0</v>
      </c>
      <c r="S677" s="6">
        <v>0</v>
      </c>
      <c r="T677" s="6">
        <v>177.00484801874401</v>
      </c>
    </row>
    <row r="678" spans="1:20" ht="13" x14ac:dyDescent="0.15">
      <c r="A678" s="6">
        <v>676</v>
      </c>
      <c r="B678" s="7">
        <v>44139</v>
      </c>
      <c r="C678" s="6">
        <v>166.19268318688901</v>
      </c>
      <c r="D678" s="6">
        <v>144.57952556753301</v>
      </c>
      <c r="E678" s="6">
        <v>210.226395284798</v>
      </c>
      <c r="F678" s="6">
        <v>166.19268318688901</v>
      </c>
      <c r="G678" s="6">
        <v>166.19268318688901</v>
      </c>
      <c r="H678" s="6">
        <v>11.2205424171676</v>
      </c>
      <c r="I678" s="6">
        <v>11.2205424171676</v>
      </c>
      <c r="J678" s="6">
        <v>11.2205424171676</v>
      </c>
      <c r="K678" s="6">
        <v>0.948746880437494</v>
      </c>
      <c r="L678" s="6">
        <v>0.948746880437494</v>
      </c>
      <c r="M678" s="6">
        <v>0.948746880437494</v>
      </c>
      <c r="N678" s="6">
        <v>10.271795536730099</v>
      </c>
      <c r="O678" s="6">
        <v>10.271795536730099</v>
      </c>
      <c r="P678" s="6">
        <v>10.271795536730099</v>
      </c>
      <c r="Q678" s="6">
        <v>0</v>
      </c>
      <c r="R678" s="6">
        <v>0</v>
      </c>
      <c r="S678" s="6">
        <v>0</v>
      </c>
      <c r="T678" s="6">
        <v>177.413225604057</v>
      </c>
    </row>
    <row r="679" spans="1:20" ht="13" x14ac:dyDescent="0.15">
      <c r="A679" s="6">
        <v>677</v>
      </c>
      <c r="B679" s="7">
        <v>44140</v>
      </c>
      <c r="C679" s="6">
        <v>166.75945468225501</v>
      </c>
      <c r="D679" s="6">
        <v>145.64243863963401</v>
      </c>
      <c r="E679" s="6">
        <v>212.27518356757199</v>
      </c>
      <c r="F679" s="6">
        <v>166.75945468225501</v>
      </c>
      <c r="G679" s="6">
        <v>166.75945468225501</v>
      </c>
      <c r="H679" s="6">
        <v>10.430233074447299</v>
      </c>
      <c r="I679" s="6">
        <v>10.430233074447299</v>
      </c>
      <c r="J679" s="6">
        <v>10.430233074447299</v>
      </c>
      <c r="K679" s="6">
        <v>0.490155213554886</v>
      </c>
      <c r="L679" s="6">
        <v>0.490155213554886</v>
      </c>
      <c r="M679" s="6">
        <v>0.490155213554886</v>
      </c>
      <c r="N679" s="6">
        <v>9.9400778608924707</v>
      </c>
      <c r="O679" s="6">
        <v>9.9400778608924707</v>
      </c>
      <c r="P679" s="6">
        <v>9.9400778608924707</v>
      </c>
      <c r="Q679" s="6">
        <v>0</v>
      </c>
      <c r="R679" s="6">
        <v>0</v>
      </c>
      <c r="S679" s="6">
        <v>0</v>
      </c>
      <c r="T679" s="6">
        <v>177.189687756702</v>
      </c>
    </row>
    <row r="680" spans="1:20" ht="13" x14ac:dyDescent="0.15">
      <c r="A680" s="6">
        <v>678</v>
      </c>
      <c r="B680" s="7">
        <v>44141</v>
      </c>
      <c r="C680" s="6">
        <v>167.32622617762101</v>
      </c>
      <c r="D680" s="6">
        <v>145.65763228615501</v>
      </c>
      <c r="E680" s="6">
        <v>208.64853609267001</v>
      </c>
      <c r="F680" s="6">
        <v>167.32622617762101</v>
      </c>
      <c r="G680" s="6">
        <v>167.32622617762101</v>
      </c>
      <c r="H680" s="6">
        <v>9.5349106490978901</v>
      </c>
      <c r="I680" s="6">
        <v>9.5349106490978901</v>
      </c>
      <c r="J680" s="6">
        <v>9.5349106490978901</v>
      </c>
      <c r="K680" s="6">
        <v>-2.29767650717944E-2</v>
      </c>
      <c r="L680" s="6">
        <v>-2.29767650717944E-2</v>
      </c>
      <c r="M680" s="6">
        <v>-2.29767650717944E-2</v>
      </c>
      <c r="N680" s="6">
        <v>9.5578874141696897</v>
      </c>
      <c r="O680" s="6">
        <v>9.5578874141696897</v>
      </c>
      <c r="P680" s="6">
        <v>9.5578874141696897</v>
      </c>
      <c r="Q680" s="6">
        <v>0</v>
      </c>
      <c r="R680" s="6">
        <v>0</v>
      </c>
      <c r="S680" s="6">
        <v>0</v>
      </c>
      <c r="T680" s="6">
        <v>176.86113682671899</v>
      </c>
    </row>
    <row r="681" spans="1:20" ht="13" x14ac:dyDescent="0.15">
      <c r="A681" s="6">
        <v>679</v>
      </c>
      <c r="B681" s="7">
        <v>44144</v>
      </c>
      <c r="C681" s="6">
        <v>169.02654066371801</v>
      </c>
      <c r="D681" s="6">
        <v>148.615132223557</v>
      </c>
      <c r="E681" s="6">
        <v>209.84927356979699</v>
      </c>
      <c r="F681" s="6">
        <v>169.02654066371801</v>
      </c>
      <c r="G681" s="6">
        <v>169.02654066371801</v>
      </c>
      <c r="H681" s="6">
        <v>10.1325006853532</v>
      </c>
      <c r="I681" s="6">
        <v>10.1325006853532</v>
      </c>
      <c r="J681" s="6">
        <v>10.1325006853532</v>
      </c>
      <c r="K681" s="6">
        <v>1.82289060893574</v>
      </c>
      <c r="L681" s="6">
        <v>1.82289060893574</v>
      </c>
      <c r="M681" s="6">
        <v>1.82289060893574</v>
      </c>
      <c r="N681" s="6">
        <v>8.3096100764174796</v>
      </c>
      <c r="O681" s="6">
        <v>8.3096100764174796</v>
      </c>
      <c r="P681" s="6">
        <v>8.3096100764174796</v>
      </c>
      <c r="Q681" s="6">
        <v>0</v>
      </c>
      <c r="R681" s="6">
        <v>0</v>
      </c>
      <c r="S681" s="6">
        <v>0</v>
      </c>
      <c r="T681" s="6">
        <v>179.159041349071</v>
      </c>
    </row>
    <row r="682" spans="1:20" ht="13" x14ac:dyDescent="0.15">
      <c r="A682" s="6">
        <v>680</v>
      </c>
      <c r="B682" s="7">
        <v>44145</v>
      </c>
      <c r="C682" s="6">
        <v>169.59331215908301</v>
      </c>
      <c r="D682" s="6">
        <v>145.74776419773801</v>
      </c>
      <c r="E682" s="6">
        <v>210.11704687089801</v>
      </c>
      <c r="F682" s="6">
        <v>169.59331215908301</v>
      </c>
      <c r="G682" s="6">
        <v>169.59331215908301</v>
      </c>
      <c r="H682" s="6">
        <v>8.7701421089186606</v>
      </c>
      <c r="I682" s="6">
        <v>8.7701421089186606</v>
      </c>
      <c r="J682" s="6">
        <v>8.7701421089186606</v>
      </c>
      <c r="K682" s="6">
        <v>0.84522403106791699</v>
      </c>
      <c r="L682" s="6">
        <v>0.84522403106791699</v>
      </c>
      <c r="M682" s="6">
        <v>0.84522403106791699</v>
      </c>
      <c r="N682" s="6">
        <v>7.92491807785074</v>
      </c>
      <c r="O682" s="6">
        <v>7.92491807785074</v>
      </c>
      <c r="P682" s="6">
        <v>7.92491807785074</v>
      </c>
      <c r="Q682" s="6">
        <v>0</v>
      </c>
      <c r="R682" s="6">
        <v>0</v>
      </c>
      <c r="S682" s="6">
        <v>0</v>
      </c>
      <c r="T682" s="6">
        <v>178.36345426800199</v>
      </c>
    </row>
    <row r="683" spans="1:20" ht="13" x14ac:dyDescent="0.15">
      <c r="A683" s="6">
        <v>681</v>
      </c>
      <c r="B683" s="7">
        <v>44146</v>
      </c>
      <c r="C683" s="6">
        <v>170.16008365444901</v>
      </c>
      <c r="D683" s="6">
        <v>146.03395642758301</v>
      </c>
      <c r="E683" s="6">
        <v>211.46538577132901</v>
      </c>
      <c r="F683" s="6">
        <v>170.16008365444901</v>
      </c>
      <c r="G683" s="6">
        <v>170.16008365444901</v>
      </c>
      <c r="H683" s="6">
        <v>8.5343546214292694</v>
      </c>
      <c r="I683" s="6">
        <v>8.5343546214292694</v>
      </c>
      <c r="J683" s="6">
        <v>8.5343546214292694</v>
      </c>
      <c r="K683" s="6">
        <v>0.948746880436663</v>
      </c>
      <c r="L683" s="6">
        <v>0.948746880436663</v>
      </c>
      <c r="M683" s="6">
        <v>0.948746880436663</v>
      </c>
      <c r="N683" s="6">
        <v>7.5856077409926099</v>
      </c>
      <c r="O683" s="6">
        <v>7.5856077409926099</v>
      </c>
      <c r="P683" s="6">
        <v>7.5856077409926099</v>
      </c>
      <c r="Q683" s="6">
        <v>0</v>
      </c>
      <c r="R683" s="6">
        <v>0</v>
      </c>
      <c r="S683" s="6">
        <v>0</v>
      </c>
      <c r="T683" s="6">
        <v>178.69443827587801</v>
      </c>
    </row>
    <row r="684" spans="1:20" ht="13" x14ac:dyDescent="0.15">
      <c r="A684" s="6">
        <v>682</v>
      </c>
      <c r="B684" s="7">
        <v>44147</v>
      </c>
      <c r="C684" s="6">
        <v>170.72685514981501</v>
      </c>
      <c r="D684" s="6">
        <v>148.44614950365599</v>
      </c>
      <c r="E684" s="6">
        <v>211.044373260241</v>
      </c>
      <c r="F684" s="6">
        <v>170.72685514981501</v>
      </c>
      <c r="G684" s="6">
        <v>170.72685514981501</v>
      </c>
      <c r="H684" s="6">
        <v>7.7967122201453698</v>
      </c>
      <c r="I684" s="6">
        <v>7.7967122201453698</v>
      </c>
      <c r="J684" s="6">
        <v>7.7967122201453698</v>
      </c>
      <c r="K684" s="6">
        <v>0.490155213552048</v>
      </c>
      <c r="L684" s="6">
        <v>0.490155213552048</v>
      </c>
      <c r="M684" s="6">
        <v>0.490155213552048</v>
      </c>
      <c r="N684" s="6">
        <v>7.3065570065933301</v>
      </c>
      <c r="O684" s="6">
        <v>7.3065570065933301</v>
      </c>
      <c r="P684" s="6">
        <v>7.3065570065933301</v>
      </c>
      <c r="Q684" s="6">
        <v>0</v>
      </c>
      <c r="R684" s="6">
        <v>0</v>
      </c>
      <c r="S684" s="6">
        <v>0</v>
      </c>
      <c r="T684" s="6">
        <v>178.52356736996001</v>
      </c>
    </row>
    <row r="685" spans="1:20" ht="13" x14ac:dyDescent="0.15">
      <c r="A685" s="6">
        <v>683</v>
      </c>
      <c r="B685" s="7">
        <v>44148</v>
      </c>
      <c r="C685" s="6">
        <v>171.29362664518001</v>
      </c>
      <c r="D685" s="6">
        <v>146.79642391298</v>
      </c>
      <c r="E685" s="6">
        <v>209.51460475022401</v>
      </c>
      <c r="F685" s="6">
        <v>171.29362664518001</v>
      </c>
      <c r="G685" s="6">
        <v>171.29362664518001</v>
      </c>
      <c r="H685" s="6">
        <v>7.07705910462633</v>
      </c>
      <c r="I685" s="6">
        <v>7.07705910462633</v>
      </c>
      <c r="J685" s="6">
        <v>7.07705910462633</v>
      </c>
      <c r="K685" s="6">
        <v>-2.2976765061177001E-2</v>
      </c>
      <c r="L685" s="6">
        <v>-2.2976765061177001E-2</v>
      </c>
      <c r="M685" s="6">
        <v>-2.2976765061177001E-2</v>
      </c>
      <c r="N685" s="6">
        <v>7.1000358696875097</v>
      </c>
      <c r="O685" s="6">
        <v>7.1000358696875097</v>
      </c>
      <c r="P685" s="6">
        <v>7.1000358696875097</v>
      </c>
      <c r="Q685" s="6">
        <v>0</v>
      </c>
      <c r="R685" s="6">
        <v>0</v>
      </c>
      <c r="S685" s="6">
        <v>0</v>
      </c>
      <c r="T685" s="6">
        <v>178.370685749807</v>
      </c>
    </row>
    <row r="686" spans="1:20" ht="13" x14ac:dyDescent="0.15">
      <c r="A686" s="6">
        <v>684</v>
      </c>
      <c r="B686" s="7">
        <v>44151</v>
      </c>
      <c r="C686" s="6">
        <v>172.99394112620399</v>
      </c>
      <c r="D686" s="6">
        <v>151.581930359533</v>
      </c>
      <c r="E686" s="6">
        <v>215.47430521377399</v>
      </c>
      <c r="F686" s="6">
        <v>172.99394112620399</v>
      </c>
      <c r="G686" s="6">
        <v>172.99394112620399</v>
      </c>
      <c r="H686" s="6">
        <v>8.8151416940722207</v>
      </c>
      <c r="I686" s="6">
        <v>8.8151416940722207</v>
      </c>
      <c r="J686" s="6">
        <v>8.8151416940722207</v>
      </c>
      <c r="K686" s="6">
        <v>1.82289060893624</v>
      </c>
      <c r="L686" s="6">
        <v>1.82289060893624</v>
      </c>
      <c r="M686" s="6">
        <v>1.82289060893624</v>
      </c>
      <c r="N686" s="6">
        <v>6.9922510851359698</v>
      </c>
      <c r="O686" s="6">
        <v>6.9922510851359698</v>
      </c>
      <c r="P686" s="6">
        <v>6.9922510851359698</v>
      </c>
      <c r="Q686" s="6">
        <v>0</v>
      </c>
      <c r="R686" s="6">
        <v>0</v>
      </c>
      <c r="S686" s="6">
        <v>0</v>
      </c>
      <c r="T686" s="6">
        <v>181.80908282027599</v>
      </c>
    </row>
    <row r="687" spans="1:20" ht="13" x14ac:dyDescent="0.15">
      <c r="A687" s="6">
        <v>685</v>
      </c>
      <c r="B687" s="7">
        <v>44152</v>
      </c>
      <c r="C687" s="6">
        <v>173.56071261987799</v>
      </c>
      <c r="D687" s="6">
        <v>149.91885602781099</v>
      </c>
      <c r="E687" s="6">
        <v>214.93222394502899</v>
      </c>
      <c r="F687" s="6">
        <v>173.56071261987799</v>
      </c>
      <c r="G687" s="6">
        <v>173.56071261987799</v>
      </c>
      <c r="H687" s="6">
        <v>7.9808777928819703</v>
      </c>
      <c r="I687" s="6">
        <v>7.9808777928819703</v>
      </c>
      <c r="J687" s="6">
        <v>7.9808777928819703</v>
      </c>
      <c r="K687" s="6">
        <v>0.84522403106727195</v>
      </c>
      <c r="L687" s="6">
        <v>0.84522403106727195</v>
      </c>
      <c r="M687" s="6">
        <v>0.84522403106727195</v>
      </c>
      <c r="N687" s="6">
        <v>7.1356537618146998</v>
      </c>
      <c r="O687" s="6">
        <v>7.1356537618146998</v>
      </c>
      <c r="P687" s="6">
        <v>7.1356537618146998</v>
      </c>
      <c r="Q687" s="6">
        <v>0</v>
      </c>
      <c r="R687" s="6">
        <v>0</v>
      </c>
      <c r="S687" s="6">
        <v>0</v>
      </c>
      <c r="T687" s="6">
        <v>181.54159041276</v>
      </c>
    </row>
    <row r="688" spans="1:20" ht="13" x14ac:dyDescent="0.15">
      <c r="A688" s="6">
        <v>686</v>
      </c>
      <c r="B688" s="7">
        <v>44153</v>
      </c>
      <c r="C688" s="6">
        <v>174.12748411355199</v>
      </c>
      <c r="D688" s="6">
        <v>149.61845308950399</v>
      </c>
      <c r="E688" s="6">
        <v>214.36228291461501</v>
      </c>
      <c r="F688" s="6">
        <v>174.12748411355199</v>
      </c>
      <c r="G688" s="6">
        <v>174.12748411355199</v>
      </c>
      <c r="H688" s="6">
        <v>8.3132073190330402</v>
      </c>
      <c r="I688" s="6">
        <v>8.3132073190330402</v>
      </c>
      <c r="J688" s="6">
        <v>8.3132073190330402</v>
      </c>
      <c r="K688" s="6">
        <v>0.94874688043704702</v>
      </c>
      <c r="L688" s="6">
        <v>0.94874688043704702</v>
      </c>
      <c r="M688" s="6">
        <v>0.94874688043704702</v>
      </c>
      <c r="N688" s="6">
        <v>7.3644604385959997</v>
      </c>
      <c r="O688" s="6">
        <v>7.3644604385959997</v>
      </c>
      <c r="P688" s="6">
        <v>7.3644604385959997</v>
      </c>
      <c r="Q688" s="6">
        <v>0</v>
      </c>
      <c r="R688" s="6">
        <v>0</v>
      </c>
      <c r="S688" s="6">
        <v>0</v>
      </c>
      <c r="T688" s="6">
        <v>182.440691432585</v>
      </c>
    </row>
    <row r="689" spans="1:20" ht="13" x14ac:dyDescent="0.15">
      <c r="A689" s="6">
        <v>687</v>
      </c>
      <c r="B689" s="7">
        <v>44154</v>
      </c>
      <c r="C689" s="6">
        <v>174.69425560722701</v>
      </c>
      <c r="D689" s="6">
        <v>149.480950286488</v>
      </c>
      <c r="E689" s="6">
        <v>214.95201687966599</v>
      </c>
      <c r="F689" s="6">
        <v>174.69425560722701</v>
      </c>
      <c r="G689" s="6">
        <v>174.69425560722701</v>
      </c>
      <c r="H689" s="6">
        <v>8.1612471060525795</v>
      </c>
      <c r="I689" s="6">
        <v>8.1612471060525795</v>
      </c>
      <c r="J689" s="6">
        <v>8.1612471060525795</v>
      </c>
      <c r="K689" s="6">
        <v>0.49015521355724401</v>
      </c>
      <c r="L689" s="6">
        <v>0.49015521355724401</v>
      </c>
      <c r="M689" s="6">
        <v>0.49015521355724401</v>
      </c>
      <c r="N689" s="6">
        <v>7.6710918924953404</v>
      </c>
      <c r="O689" s="6">
        <v>7.6710918924953404</v>
      </c>
      <c r="P689" s="6">
        <v>7.6710918924953404</v>
      </c>
      <c r="Q689" s="6">
        <v>0</v>
      </c>
      <c r="R689" s="6">
        <v>0</v>
      </c>
      <c r="S689" s="6">
        <v>0</v>
      </c>
      <c r="T689" s="6">
        <v>182.85550271328</v>
      </c>
    </row>
    <row r="690" spans="1:20" ht="13" x14ac:dyDescent="0.15">
      <c r="A690" s="6">
        <v>688</v>
      </c>
      <c r="B690" s="7">
        <v>44155</v>
      </c>
      <c r="C690" s="6">
        <v>175.261027100901</v>
      </c>
      <c r="D690" s="6">
        <v>150.78885381715801</v>
      </c>
      <c r="E690" s="6">
        <v>213.02563869067799</v>
      </c>
      <c r="F690" s="6">
        <v>175.261027100901</v>
      </c>
      <c r="G690" s="6">
        <v>175.261027100901</v>
      </c>
      <c r="H690" s="6">
        <v>8.0219399334077295</v>
      </c>
      <c r="I690" s="6">
        <v>8.0219399334077295</v>
      </c>
      <c r="J690" s="6">
        <v>8.0219399334077295</v>
      </c>
      <c r="K690" s="6">
        <v>-2.2976765063789199E-2</v>
      </c>
      <c r="L690" s="6">
        <v>-2.2976765063789199E-2</v>
      </c>
      <c r="M690" s="6">
        <v>-2.2976765063789199E-2</v>
      </c>
      <c r="N690" s="6">
        <v>8.0449166984715195</v>
      </c>
      <c r="O690" s="6">
        <v>8.0449166984715195</v>
      </c>
      <c r="P690" s="6">
        <v>8.0449166984715195</v>
      </c>
      <c r="Q690" s="6">
        <v>0</v>
      </c>
      <c r="R690" s="6">
        <v>0</v>
      </c>
      <c r="S690" s="6">
        <v>0</v>
      </c>
      <c r="T690" s="6">
        <v>183.282967034309</v>
      </c>
    </row>
    <row r="691" spans="1:20" ht="13" x14ac:dyDescent="0.15">
      <c r="A691" s="6">
        <v>689</v>
      </c>
      <c r="B691" s="7">
        <v>44158</v>
      </c>
      <c r="C691" s="6">
        <v>176.96134158192399</v>
      </c>
      <c r="D691" s="6">
        <v>156.791294934837</v>
      </c>
      <c r="E691" s="6">
        <v>222.402839335382</v>
      </c>
      <c r="F691" s="6">
        <v>176.96134158192399</v>
      </c>
      <c r="G691" s="6">
        <v>176.96134158192399</v>
      </c>
      <c r="H691" s="6">
        <v>11.2480256217644</v>
      </c>
      <c r="I691" s="6">
        <v>11.2480256217644</v>
      </c>
      <c r="J691" s="6">
        <v>11.2480256217644</v>
      </c>
      <c r="K691" s="6">
        <v>1.82289060893674</v>
      </c>
      <c r="L691" s="6">
        <v>1.82289060893674</v>
      </c>
      <c r="M691" s="6">
        <v>1.82289060893674</v>
      </c>
      <c r="N691" s="6">
        <v>9.4251350128277007</v>
      </c>
      <c r="O691" s="6">
        <v>9.4251350128277007</v>
      </c>
      <c r="P691" s="6">
        <v>9.4251350128277007</v>
      </c>
      <c r="Q691" s="6">
        <v>0</v>
      </c>
      <c r="R691" s="6">
        <v>0</v>
      </c>
      <c r="S691" s="6">
        <v>0</v>
      </c>
      <c r="T691" s="6">
        <v>188.209367203689</v>
      </c>
    </row>
    <row r="692" spans="1:20" ht="13" x14ac:dyDescent="0.15">
      <c r="A692" s="6">
        <v>690</v>
      </c>
      <c r="B692" s="7">
        <v>44159</v>
      </c>
      <c r="C692" s="6">
        <v>177.52811307559901</v>
      </c>
      <c r="D692" s="6">
        <v>157.62816677101901</v>
      </c>
      <c r="E692" s="6">
        <v>220.45982937743699</v>
      </c>
      <c r="F692" s="6">
        <v>177.52811307559901</v>
      </c>
      <c r="G692" s="6">
        <v>177.52811307559901</v>
      </c>
      <c r="H692" s="6">
        <v>10.7591094512076</v>
      </c>
      <c r="I692" s="6">
        <v>10.7591094512076</v>
      </c>
      <c r="J692" s="6">
        <v>10.7591094512076</v>
      </c>
      <c r="K692" s="6">
        <v>0.84522403106581501</v>
      </c>
      <c r="L692" s="6">
        <v>0.84522403106581501</v>
      </c>
      <c r="M692" s="6">
        <v>0.84522403106581501</v>
      </c>
      <c r="N692" s="6">
        <v>9.9138854201418791</v>
      </c>
      <c r="O692" s="6">
        <v>9.9138854201418791</v>
      </c>
      <c r="P692" s="6">
        <v>9.9138854201418791</v>
      </c>
      <c r="Q692" s="6">
        <v>0</v>
      </c>
      <c r="R692" s="6">
        <v>0</v>
      </c>
      <c r="S692" s="6">
        <v>0</v>
      </c>
      <c r="T692" s="6">
        <v>188.287222526807</v>
      </c>
    </row>
    <row r="693" spans="1:20" ht="13" x14ac:dyDescent="0.15">
      <c r="A693" s="6">
        <v>691</v>
      </c>
      <c r="B693" s="7">
        <v>44160</v>
      </c>
      <c r="C693" s="6">
        <v>178.09488456927301</v>
      </c>
      <c r="D693" s="6">
        <v>158.69364137665599</v>
      </c>
      <c r="E693" s="6">
        <v>221.69492400231599</v>
      </c>
      <c r="F693" s="6">
        <v>178.09488456927301</v>
      </c>
      <c r="G693" s="6">
        <v>178.09488456927301</v>
      </c>
      <c r="H693" s="6">
        <v>11.334125502353499</v>
      </c>
      <c r="I693" s="6">
        <v>11.334125502353499</v>
      </c>
      <c r="J693" s="6">
        <v>11.334125502353499</v>
      </c>
      <c r="K693" s="6">
        <v>0.94874688043621602</v>
      </c>
      <c r="L693" s="6">
        <v>0.94874688043621602</v>
      </c>
      <c r="M693" s="6">
        <v>0.94874688043621602</v>
      </c>
      <c r="N693" s="6">
        <v>10.385378621917299</v>
      </c>
      <c r="O693" s="6">
        <v>10.385378621917299</v>
      </c>
      <c r="P693" s="6">
        <v>10.385378621917299</v>
      </c>
      <c r="Q693" s="6">
        <v>0</v>
      </c>
      <c r="R693" s="6">
        <v>0</v>
      </c>
      <c r="S693" s="6">
        <v>0</v>
      </c>
      <c r="T693" s="6">
        <v>189.429010071627</v>
      </c>
    </row>
    <row r="694" spans="1:20" ht="13" x14ac:dyDescent="0.15">
      <c r="A694" s="6">
        <v>692</v>
      </c>
      <c r="B694" s="7">
        <v>44162</v>
      </c>
      <c r="C694" s="6">
        <v>179.22842755662199</v>
      </c>
      <c r="D694" s="6">
        <v>159.66447245088801</v>
      </c>
      <c r="E694" s="6">
        <v>222.31603829724301</v>
      </c>
      <c r="F694" s="6">
        <v>179.22842755662199</v>
      </c>
      <c r="G694" s="6">
        <v>179.22842755662199</v>
      </c>
      <c r="H694" s="6">
        <v>11.1765952558736</v>
      </c>
      <c r="I694" s="6">
        <v>11.1765952558736</v>
      </c>
      <c r="J694" s="6">
        <v>11.1765952558736</v>
      </c>
      <c r="K694" s="6">
        <v>-2.2976765066401301E-2</v>
      </c>
      <c r="L694" s="6">
        <v>-2.2976765066401301E-2</v>
      </c>
      <c r="M694" s="6">
        <v>-2.2976765066401301E-2</v>
      </c>
      <c r="N694" s="6">
        <v>11.19957202094</v>
      </c>
      <c r="O694" s="6">
        <v>11.19957202094</v>
      </c>
      <c r="P694" s="6">
        <v>11.19957202094</v>
      </c>
      <c r="Q694" s="6">
        <v>0</v>
      </c>
      <c r="R694" s="6">
        <v>0</v>
      </c>
      <c r="S694" s="6">
        <v>0</v>
      </c>
      <c r="T694" s="6">
        <v>190.40502281249599</v>
      </c>
    </row>
    <row r="695" spans="1:20" ht="13" x14ac:dyDescent="0.15">
      <c r="A695" s="6">
        <v>693</v>
      </c>
      <c r="B695" s="7">
        <v>44165</v>
      </c>
      <c r="C695" s="6">
        <v>180.92874203764501</v>
      </c>
      <c r="D695" s="6">
        <v>162.68240951265599</v>
      </c>
      <c r="E695" s="6">
        <v>228.14638783863401</v>
      </c>
      <c r="F695" s="6">
        <v>180.92874203764501</v>
      </c>
      <c r="G695" s="6">
        <v>180.92874203764501</v>
      </c>
      <c r="H695" s="6">
        <v>13.6602099926743</v>
      </c>
      <c r="I695" s="6">
        <v>13.6602099926743</v>
      </c>
      <c r="J695" s="6">
        <v>13.6602099926743</v>
      </c>
      <c r="K695" s="6">
        <v>1.8228906089396799</v>
      </c>
      <c r="L695" s="6">
        <v>1.8228906089396799</v>
      </c>
      <c r="M695" s="6">
        <v>1.8228906089396799</v>
      </c>
      <c r="N695" s="6">
        <v>11.8373193837346</v>
      </c>
      <c r="O695" s="6">
        <v>11.8373193837346</v>
      </c>
      <c r="P695" s="6">
        <v>11.8373193837346</v>
      </c>
      <c r="Q695" s="6">
        <v>0</v>
      </c>
      <c r="R695" s="6">
        <v>0</v>
      </c>
      <c r="S695" s="6">
        <v>0</v>
      </c>
      <c r="T695" s="6">
        <v>194.58895203032</v>
      </c>
    </row>
    <row r="696" spans="1:20" ht="13" x14ac:dyDescent="0.15">
      <c r="A696" s="6">
        <v>694</v>
      </c>
      <c r="B696" s="7">
        <v>44166</v>
      </c>
      <c r="C696" s="6">
        <v>181.49551353132</v>
      </c>
      <c r="D696" s="6">
        <v>160.095605774164</v>
      </c>
      <c r="E696" s="6">
        <v>228.95002482937099</v>
      </c>
      <c r="F696" s="6">
        <v>181.49551353132</v>
      </c>
      <c r="G696" s="6">
        <v>181.49551353132</v>
      </c>
      <c r="H696" s="6">
        <v>12.683270818793501</v>
      </c>
      <c r="I696" s="6">
        <v>12.683270818793501</v>
      </c>
      <c r="J696" s="6">
        <v>12.683270818793501</v>
      </c>
      <c r="K696" s="6">
        <v>0.84522403106598198</v>
      </c>
      <c r="L696" s="6">
        <v>0.84522403106598198</v>
      </c>
      <c r="M696" s="6">
        <v>0.84522403106598198</v>
      </c>
      <c r="N696" s="6">
        <v>11.8380467877275</v>
      </c>
      <c r="O696" s="6">
        <v>11.8380467877275</v>
      </c>
      <c r="P696" s="6">
        <v>11.8380467877275</v>
      </c>
      <c r="Q696" s="6">
        <v>0</v>
      </c>
      <c r="R696" s="6">
        <v>0</v>
      </c>
      <c r="S696" s="6">
        <v>0</v>
      </c>
      <c r="T696" s="6">
        <v>194.17878435011301</v>
      </c>
    </row>
    <row r="697" spans="1:20" ht="13" x14ac:dyDescent="0.15">
      <c r="A697" s="6">
        <v>695</v>
      </c>
      <c r="B697" s="7">
        <v>44167</v>
      </c>
      <c r="C697" s="6">
        <v>182.062285024994</v>
      </c>
      <c r="D697" s="6">
        <v>161.866755349382</v>
      </c>
      <c r="E697" s="6">
        <v>227.655966618505</v>
      </c>
      <c r="F697" s="6">
        <v>182.062285024994</v>
      </c>
      <c r="G697" s="6">
        <v>182.062285024994</v>
      </c>
      <c r="H697" s="6">
        <v>12.6660006686977</v>
      </c>
      <c r="I697" s="6">
        <v>12.6660006686977</v>
      </c>
      <c r="J697" s="6">
        <v>12.6660006686977</v>
      </c>
      <c r="K697" s="6">
        <v>0.94874688043806599</v>
      </c>
      <c r="L697" s="6">
        <v>0.94874688043806599</v>
      </c>
      <c r="M697" s="6">
        <v>0.94874688043806599</v>
      </c>
      <c r="N697" s="6">
        <v>11.717253788259599</v>
      </c>
      <c r="O697" s="6">
        <v>11.717253788259599</v>
      </c>
      <c r="P697" s="6">
        <v>11.717253788259599</v>
      </c>
      <c r="Q697" s="6">
        <v>0</v>
      </c>
      <c r="R697" s="6">
        <v>0</v>
      </c>
      <c r="S697" s="6">
        <v>0</v>
      </c>
      <c r="T697" s="6">
        <v>194.72828569369199</v>
      </c>
    </row>
    <row r="698" spans="1:20" ht="13" x14ac:dyDescent="0.15">
      <c r="A698" s="6">
        <v>696</v>
      </c>
      <c r="B698" s="7">
        <v>44168</v>
      </c>
      <c r="C698" s="6">
        <v>182.62905651866899</v>
      </c>
      <c r="D698" s="6">
        <v>162.565358716459</v>
      </c>
      <c r="E698" s="6">
        <v>226.84435690950701</v>
      </c>
      <c r="F698" s="6">
        <v>182.62905651866899</v>
      </c>
      <c r="G698" s="6">
        <v>182.62905651866899</v>
      </c>
      <c r="H698" s="6">
        <v>11.9606416445421</v>
      </c>
      <c r="I698" s="6">
        <v>11.9606416445421</v>
      </c>
      <c r="J698" s="6">
        <v>11.9606416445421</v>
      </c>
      <c r="K698" s="6">
        <v>0.490155213555585</v>
      </c>
      <c r="L698" s="6">
        <v>0.490155213555585</v>
      </c>
      <c r="M698" s="6">
        <v>0.490155213555585</v>
      </c>
      <c r="N698" s="6">
        <v>11.470486430986499</v>
      </c>
      <c r="O698" s="6">
        <v>11.470486430986499</v>
      </c>
      <c r="P698" s="6">
        <v>11.470486430986499</v>
      </c>
      <c r="Q698" s="6">
        <v>0</v>
      </c>
      <c r="R698" s="6">
        <v>0</v>
      </c>
      <c r="S698" s="6">
        <v>0</v>
      </c>
      <c r="T698" s="6">
        <v>194.58969816321101</v>
      </c>
    </row>
    <row r="699" spans="1:20" ht="13" x14ac:dyDescent="0.15">
      <c r="A699" s="6">
        <v>697</v>
      </c>
      <c r="B699" s="7">
        <v>44169</v>
      </c>
      <c r="C699" s="6">
        <v>183.19582801234299</v>
      </c>
      <c r="D699" s="6">
        <v>161.716428956953</v>
      </c>
      <c r="E699" s="6">
        <v>226.309847920842</v>
      </c>
      <c r="F699" s="6">
        <v>183.19582801234299</v>
      </c>
      <c r="G699" s="6">
        <v>183.19582801234299</v>
      </c>
      <c r="H699" s="6">
        <v>11.073897097490301</v>
      </c>
      <c r="I699" s="6">
        <v>11.073897097490301</v>
      </c>
      <c r="J699" s="6">
        <v>11.073897097490301</v>
      </c>
      <c r="K699" s="6">
        <v>-2.29767650603422E-2</v>
      </c>
      <c r="L699" s="6">
        <v>-2.29767650603422E-2</v>
      </c>
      <c r="M699" s="6">
        <v>-2.29767650603422E-2</v>
      </c>
      <c r="N699" s="6">
        <v>11.0968738625506</v>
      </c>
      <c r="O699" s="6">
        <v>11.0968738625506</v>
      </c>
      <c r="P699" s="6">
        <v>11.0968738625506</v>
      </c>
      <c r="Q699" s="6">
        <v>0</v>
      </c>
      <c r="R699" s="6">
        <v>0</v>
      </c>
      <c r="S699" s="6">
        <v>0</v>
      </c>
      <c r="T699" s="6">
        <v>194.26972510983299</v>
      </c>
    </row>
    <row r="700" spans="1:20" ht="13" x14ac:dyDescent="0.15">
      <c r="A700" s="6">
        <v>698</v>
      </c>
      <c r="B700" s="7">
        <v>44172</v>
      </c>
      <c r="C700" s="6">
        <v>184.896142493366</v>
      </c>
      <c r="D700" s="6">
        <v>163.16817738744601</v>
      </c>
      <c r="E700" s="6">
        <v>228.18916819276299</v>
      </c>
      <c r="F700" s="6">
        <v>184.896142493366</v>
      </c>
      <c r="G700" s="6">
        <v>184.896142493366</v>
      </c>
      <c r="H700" s="6">
        <v>11.0840098090758</v>
      </c>
      <c r="I700" s="6">
        <v>11.0840098090758</v>
      </c>
      <c r="J700" s="6">
        <v>11.0840098090758</v>
      </c>
      <c r="K700" s="6">
        <v>1.8228906089346799</v>
      </c>
      <c r="L700" s="6">
        <v>1.8228906089346799</v>
      </c>
      <c r="M700" s="6">
        <v>1.8228906089346799</v>
      </c>
      <c r="N700" s="6">
        <v>9.26111920014114</v>
      </c>
      <c r="O700" s="6">
        <v>9.26111920014114</v>
      </c>
      <c r="P700" s="6">
        <v>9.26111920014114</v>
      </c>
      <c r="Q700" s="6">
        <v>0</v>
      </c>
      <c r="R700" s="6">
        <v>0</v>
      </c>
      <c r="S700" s="6">
        <v>0</v>
      </c>
      <c r="T700" s="6">
        <v>195.98015230244201</v>
      </c>
    </row>
    <row r="701" spans="1:20" ht="13" x14ac:dyDescent="0.15">
      <c r="A701" s="6">
        <v>699</v>
      </c>
      <c r="B701" s="7">
        <v>44173</v>
      </c>
      <c r="C701" s="6">
        <v>185.46291398704099</v>
      </c>
      <c r="D701" s="6">
        <v>159.73539264817401</v>
      </c>
      <c r="E701" s="6">
        <v>227.21121261188799</v>
      </c>
      <c r="F701" s="6">
        <v>185.46291398704099</v>
      </c>
      <c r="G701" s="6">
        <v>185.46291398704099</v>
      </c>
      <c r="H701" s="6">
        <v>9.2891685331065208</v>
      </c>
      <c r="I701" s="6">
        <v>9.2891685331065208</v>
      </c>
      <c r="J701" s="6">
        <v>9.2891685331065208</v>
      </c>
      <c r="K701" s="6">
        <v>0.84522403106452504</v>
      </c>
      <c r="L701" s="6">
        <v>0.84522403106452504</v>
      </c>
      <c r="M701" s="6">
        <v>0.84522403106452504</v>
      </c>
      <c r="N701" s="6">
        <v>8.4439445020419903</v>
      </c>
      <c r="O701" s="6">
        <v>8.4439445020419903</v>
      </c>
      <c r="P701" s="6">
        <v>8.4439445020419903</v>
      </c>
      <c r="Q701" s="6">
        <v>0</v>
      </c>
      <c r="R701" s="6">
        <v>0</v>
      </c>
      <c r="S701" s="6">
        <v>0</v>
      </c>
      <c r="T701" s="6">
        <v>194.75208252014701</v>
      </c>
    </row>
    <row r="702" spans="1:20" ht="13" x14ac:dyDescent="0.15">
      <c r="A702" s="6">
        <v>700</v>
      </c>
      <c r="B702" s="7">
        <v>44174</v>
      </c>
      <c r="C702" s="6">
        <v>186.02968548071499</v>
      </c>
      <c r="D702" s="6">
        <v>163.23394418850799</v>
      </c>
      <c r="E702" s="6">
        <v>228.78221812739801</v>
      </c>
      <c r="F702" s="6">
        <v>186.02968548071499</v>
      </c>
      <c r="G702" s="6">
        <v>186.02968548071499</v>
      </c>
      <c r="H702" s="6">
        <v>8.4974507260162095</v>
      </c>
      <c r="I702" s="6">
        <v>8.4974507260162095</v>
      </c>
      <c r="J702" s="6">
        <v>8.4974507260162095</v>
      </c>
      <c r="K702" s="6">
        <v>0.94874688043723499</v>
      </c>
      <c r="L702" s="6">
        <v>0.94874688043723499</v>
      </c>
      <c r="M702" s="6">
        <v>0.94874688043723499</v>
      </c>
      <c r="N702" s="6">
        <v>7.5487038455789799</v>
      </c>
      <c r="O702" s="6">
        <v>7.5487038455789799</v>
      </c>
      <c r="P702" s="6">
        <v>7.5487038455789799</v>
      </c>
      <c r="Q702" s="6">
        <v>0</v>
      </c>
      <c r="R702" s="6">
        <v>0</v>
      </c>
      <c r="S702" s="6">
        <v>0</v>
      </c>
      <c r="T702" s="6">
        <v>194.527136206731</v>
      </c>
    </row>
    <row r="703" spans="1:20" ht="13" x14ac:dyDescent="0.15">
      <c r="A703" s="6">
        <v>701</v>
      </c>
      <c r="B703" s="7">
        <v>44175</v>
      </c>
      <c r="C703" s="6">
        <v>186.59645697438901</v>
      </c>
      <c r="D703" s="6">
        <v>160.58951162781199</v>
      </c>
      <c r="E703" s="6">
        <v>225.459263550999</v>
      </c>
      <c r="F703" s="6">
        <v>186.59645697438901</v>
      </c>
      <c r="G703" s="6">
        <v>186.59645697438901</v>
      </c>
      <c r="H703" s="6">
        <v>7.08436840027165</v>
      </c>
      <c r="I703" s="6">
        <v>7.08436840027165</v>
      </c>
      <c r="J703" s="6">
        <v>7.08436840027165</v>
      </c>
      <c r="K703" s="6">
        <v>0.490155213555306</v>
      </c>
      <c r="L703" s="6">
        <v>0.490155213555306</v>
      </c>
      <c r="M703" s="6">
        <v>0.490155213555306</v>
      </c>
      <c r="N703" s="6">
        <v>6.5942131867163498</v>
      </c>
      <c r="O703" s="6">
        <v>6.5942131867163498</v>
      </c>
      <c r="P703" s="6">
        <v>6.5942131867163498</v>
      </c>
      <c r="Q703" s="6">
        <v>0</v>
      </c>
      <c r="R703" s="6">
        <v>0</v>
      </c>
      <c r="S703" s="6">
        <v>0</v>
      </c>
      <c r="T703" s="6">
        <v>193.680825374661</v>
      </c>
    </row>
    <row r="704" spans="1:20" ht="13" x14ac:dyDescent="0.15">
      <c r="A704" s="6">
        <v>702</v>
      </c>
      <c r="B704" s="7">
        <v>44176</v>
      </c>
      <c r="C704" s="6">
        <v>187.16322846806401</v>
      </c>
      <c r="D704" s="6">
        <v>161.23843090751001</v>
      </c>
      <c r="E704" s="6">
        <v>224.617638330517</v>
      </c>
      <c r="F704" s="6">
        <v>187.16322846806401</v>
      </c>
      <c r="G704" s="6">
        <v>187.16322846806401</v>
      </c>
      <c r="H704" s="6">
        <v>5.5783798838248</v>
      </c>
      <c r="I704" s="6">
        <v>5.5783798838248</v>
      </c>
      <c r="J704" s="6">
        <v>5.5783798838248</v>
      </c>
      <c r="K704" s="6">
        <v>-2.2976765062954398E-2</v>
      </c>
      <c r="L704" s="6">
        <v>-2.2976765062954398E-2</v>
      </c>
      <c r="M704" s="6">
        <v>-2.2976765062954398E-2</v>
      </c>
      <c r="N704" s="6">
        <v>5.6013566488877604</v>
      </c>
      <c r="O704" s="6">
        <v>5.6013566488877604</v>
      </c>
      <c r="P704" s="6">
        <v>5.6013566488877604</v>
      </c>
      <c r="Q704" s="6">
        <v>0</v>
      </c>
      <c r="R704" s="6">
        <v>0</v>
      </c>
      <c r="S704" s="6">
        <v>0</v>
      </c>
      <c r="T704" s="6">
        <v>192.741608351889</v>
      </c>
    </row>
    <row r="705" spans="1:20" ht="13" x14ac:dyDescent="0.15">
      <c r="A705" s="6">
        <v>703</v>
      </c>
      <c r="B705" s="7">
        <v>44179</v>
      </c>
      <c r="C705" s="6">
        <v>188.86354294908699</v>
      </c>
      <c r="D705" s="6">
        <v>161.56602911085801</v>
      </c>
      <c r="E705" s="6">
        <v>225.25445826493399</v>
      </c>
      <c r="F705" s="6">
        <v>188.86354294908699</v>
      </c>
      <c r="G705" s="6">
        <v>188.86354294908699</v>
      </c>
      <c r="H705" s="6">
        <v>4.4434101541355204</v>
      </c>
      <c r="I705" s="6">
        <v>4.4434101541355204</v>
      </c>
      <c r="J705" s="6">
        <v>4.4434101541355204</v>
      </c>
      <c r="K705" s="6">
        <v>1.82289060893518</v>
      </c>
      <c r="L705" s="6">
        <v>1.82289060893518</v>
      </c>
      <c r="M705" s="6">
        <v>1.82289060893518</v>
      </c>
      <c r="N705" s="6">
        <v>2.62051954520033</v>
      </c>
      <c r="O705" s="6">
        <v>2.62051954520033</v>
      </c>
      <c r="P705" s="6">
        <v>2.62051954520033</v>
      </c>
      <c r="Q705" s="6">
        <v>0</v>
      </c>
      <c r="R705" s="6">
        <v>0</v>
      </c>
      <c r="S705" s="6">
        <v>0</v>
      </c>
      <c r="T705" s="6">
        <v>193.30695310322301</v>
      </c>
    </row>
    <row r="706" spans="1:20" ht="13" x14ac:dyDescent="0.15">
      <c r="A706" s="6">
        <v>704</v>
      </c>
      <c r="B706" s="7">
        <v>44180</v>
      </c>
      <c r="C706" s="6">
        <v>189.43031444276201</v>
      </c>
      <c r="D706" s="6">
        <v>158.58506570566499</v>
      </c>
      <c r="E706" s="6">
        <v>222.21447155470401</v>
      </c>
      <c r="F706" s="6">
        <v>189.43031444276201</v>
      </c>
      <c r="G706" s="6">
        <v>189.43031444276201</v>
      </c>
      <c r="H706" s="6">
        <v>2.5493905823801302</v>
      </c>
      <c r="I706" s="6">
        <v>2.5493905823801302</v>
      </c>
      <c r="J706" s="6">
        <v>2.5493905823801302</v>
      </c>
      <c r="K706" s="6">
        <v>0.84522403106845101</v>
      </c>
      <c r="L706" s="6">
        <v>0.84522403106845101</v>
      </c>
      <c r="M706" s="6">
        <v>0.84522403106845101</v>
      </c>
      <c r="N706" s="6">
        <v>1.7041665513116799</v>
      </c>
      <c r="O706" s="6">
        <v>1.7041665513116799</v>
      </c>
      <c r="P706" s="6">
        <v>1.7041665513116799</v>
      </c>
      <c r="Q706" s="6">
        <v>0</v>
      </c>
      <c r="R706" s="6">
        <v>0</v>
      </c>
      <c r="S706" s="6">
        <v>0</v>
      </c>
      <c r="T706" s="6">
        <v>191.97970502514201</v>
      </c>
    </row>
    <row r="707" spans="1:20" ht="13" x14ac:dyDescent="0.15">
      <c r="A707" s="6">
        <v>705</v>
      </c>
      <c r="B707" s="7">
        <v>44181</v>
      </c>
      <c r="C707" s="6">
        <v>189.99708593643601</v>
      </c>
      <c r="D707" s="6">
        <v>158.20751389638099</v>
      </c>
      <c r="E707" s="6">
        <v>223.18528229147901</v>
      </c>
      <c r="F707" s="6">
        <v>189.99708593643601</v>
      </c>
      <c r="G707" s="6">
        <v>189.99708593643601</v>
      </c>
      <c r="H707" s="6">
        <v>1.81299039002463</v>
      </c>
      <c r="I707" s="6">
        <v>1.81299039002463</v>
      </c>
      <c r="J707" s="6">
        <v>1.81299039002463</v>
      </c>
      <c r="K707" s="6">
        <v>0.94874688043908495</v>
      </c>
      <c r="L707" s="6">
        <v>0.94874688043908495</v>
      </c>
      <c r="M707" s="6">
        <v>0.94874688043908495</v>
      </c>
      <c r="N707" s="6">
        <v>0.86424350958555296</v>
      </c>
      <c r="O707" s="6">
        <v>0.86424350958555296</v>
      </c>
      <c r="P707" s="6">
        <v>0.86424350958555296</v>
      </c>
      <c r="Q707" s="6">
        <v>0</v>
      </c>
      <c r="R707" s="6">
        <v>0</v>
      </c>
      <c r="S707" s="6">
        <v>0</v>
      </c>
      <c r="T707" s="6">
        <v>191.810076326461</v>
      </c>
    </row>
    <row r="708" spans="1:20" ht="13" x14ac:dyDescent="0.15">
      <c r="A708" s="6">
        <v>706</v>
      </c>
      <c r="B708" s="7">
        <v>44182</v>
      </c>
      <c r="C708" s="6">
        <v>190.56385743011</v>
      </c>
      <c r="D708" s="6">
        <v>159.86611924730599</v>
      </c>
      <c r="E708" s="6">
        <v>224.037398396882</v>
      </c>
      <c r="F708" s="6">
        <v>190.56385743011</v>
      </c>
      <c r="G708" s="6">
        <v>190.56385743011</v>
      </c>
      <c r="H708" s="6">
        <v>0.61155175707057696</v>
      </c>
      <c r="I708" s="6">
        <v>0.61155175707057696</v>
      </c>
      <c r="J708" s="6">
        <v>0.61155175707057696</v>
      </c>
      <c r="K708" s="6">
        <v>0.490155213556485</v>
      </c>
      <c r="L708" s="6">
        <v>0.490155213556485</v>
      </c>
      <c r="M708" s="6">
        <v>0.490155213556485</v>
      </c>
      <c r="N708" s="6">
        <v>0.121396543514091</v>
      </c>
      <c r="O708" s="6">
        <v>0.121396543514091</v>
      </c>
      <c r="P708" s="6">
        <v>0.121396543514091</v>
      </c>
      <c r="Q708" s="6">
        <v>0</v>
      </c>
      <c r="R708" s="6">
        <v>0</v>
      </c>
      <c r="S708" s="6">
        <v>0</v>
      </c>
      <c r="T708" s="6">
        <v>191.175409187181</v>
      </c>
    </row>
    <row r="709" spans="1:20" ht="13" x14ac:dyDescent="0.15">
      <c r="A709" s="6">
        <v>707</v>
      </c>
      <c r="B709" s="7">
        <v>44183</v>
      </c>
      <c r="C709" s="6">
        <v>191.130628923785</v>
      </c>
      <c r="D709" s="6">
        <v>161.62092349932101</v>
      </c>
      <c r="E709" s="6">
        <v>222.66671037048701</v>
      </c>
      <c r="F709" s="6">
        <v>191.130628923785</v>
      </c>
      <c r="G709" s="6">
        <v>191.130628923785</v>
      </c>
      <c r="H709" s="6">
        <v>-0.52887316831295095</v>
      </c>
      <c r="I709" s="6">
        <v>-0.52887316831295095</v>
      </c>
      <c r="J709" s="6">
        <v>-0.52887316831295095</v>
      </c>
      <c r="K709" s="6">
        <v>-2.29767650655665E-2</v>
      </c>
      <c r="L709" s="6">
        <v>-2.29767650655665E-2</v>
      </c>
      <c r="M709" s="6">
        <v>-2.29767650655665E-2</v>
      </c>
      <c r="N709" s="6">
        <v>-0.50589640324738405</v>
      </c>
      <c r="O709" s="6">
        <v>-0.50589640324738405</v>
      </c>
      <c r="P709" s="6">
        <v>-0.50589640324738405</v>
      </c>
      <c r="Q709" s="6">
        <v>0</v>
      </c>
      <c r="R709" s="6">
        <v>0</v>
      </c>
      <c r="S709" s="6">
        <v>0</v>
      </c>
      <c r="T709" s="6">
        <v>190.601755755472</v>
      </c>
    </row>
    <row r="710" spans="1:20" ht="13" x14ac:dyDescent="0.15">
      <c r="A710" s="6">
        <v>708</v>
      </c>
      <c r="B710" s="7">
        <v>44186</v>
      </c>
      <c r="C710" s="6">
        <v>192.83094340480801</v>
      </c>
      <c r="D710" s="6">
        <v>163.93289869383199</v>
      </c>
      <c r="E710" s="6">
        <v>226.16068252279999</v>
      </c>
      <c r="F710" s="6">
        <v>192.83094340480801</v>
      </c>
      <c r="G710" s="6">
        <v>192.83094340480801</v>
      </c>
      <c r="H710" s="6">
        <v>0.270566640712881</v>
      </c>
      <c r="I710" s="6">
        <v>0.270566640712881</v>
      </c>
      <c r="J710" s="6">
        <v>0.270566640712881</v>
      </c>
      <c r="K710" s="6">
        <v>1.82289060893568</v>
      </c>
      <c r="L710" s="6">
        <v>1.82289060893568</v>
      </c>
      <c r="M710" s="6">
        <v>1.82289060893568</v>
      </c>
      <c r="N710" s="6">
        <v>-1.5523239682228001</v>
      </c>
      <c r="O710" s="6">
        <v>-1.5523239682228001</v>
      </c>
      <c r="P710" s="6">
        <v>-1.5523239682228001</v>
      </c>
      <c r="Q710" s="6">
        <v>0</v>
      </c>
      <c r="R710" s="6">
        <v>0</v>
      </c>
      <c r="S710" s="6">
        <v>0</v>
      </c>
      <c r="T710" s="6">
        <v>193.101510045521</v>
      </c>
    </row>
    <row r="711" spans="1:20" ht="13" x14ac:dyDescent="0.15">
      <c r="A711" s="6">
        <v>709</v>
      </c>
      <c r="B711" s="7">
        <v>44187</v>
      </c>
      <c r="C711" s="6">
        <v>193.39771489848201</v>
      </c>
      <c r="D711" s="6">
        <v>162.24428675669799</v>
      </c>
      <c r="E711" s="6">
        <v>226.02244502048501</v>
      </c>
      <c r="F711" s="6">
        <v>193.39771489848201</v>
      </c>
      <c r="G711" s="6">
        <v>193.39771489848201</v>
      </c>
      <c r="H711" s="6">
        <v>-0.74689011250162596</v>
      </c>
      <c r="I711" s="6">
        <v>-0.74689011250162596</v>
      </c>
      <c r="J711" s="6">
        <v>-0.74689011250162596</v>
      </c>
      <c r="K711" s="6">
        <v>0.84522403106780497</v>
      </c>
      <c r="L711" s="6">
        <v>0.84522403106780497</v>
      </c>
      <c r="M711" s="6">
        <v>0.84522403106780497</v>
      </c>
      <c r="N711" s="6">
        <v>-1.5921141435694299</v>
      </c>
      <c r="O711" s="6">
        <v>-1.5921141435694299</v>
      </c>
      <c r="P711" s="6">
        <v>-1.5921141435694299</v>
      </c>
      <c r="Q711" s="6">
        <v>0</v>
      </c>
      <c r="R711" s="6">
        <v>0</v>
      </c>
      <c r="S711" s="6">
        <v>0</v>
      </c>
      <c r="T711" s="6">
        <v>192.650824785981</v>
      </c>
    </row>
    <row r="712" spans="1:20" ht="13" x14ac:dyDescent="0.15">
      <c r="A712" s="6">
        <v>710</v>
      </c>
      <c r="B712" s="7">
        <v>44188</v>
      </c>
      <c r="C712" s="6">
        <v>193.964486392157</v>
      </c>
      <c r="D712" s="6">
        <v>159.67870630295201</v>
      </c>
      <c r="E712" s="6">
        <v>225.64648612267001</v>
      </c>
      <c r="F712" s="6">
        <v>193.964486392157</v>
      </c>
      <c r="G712" s="6">
        <v>193.964486392157</v>
      </c>
      <c r="H712" s="6">
        <v>-0.52267135093179595</v>
      </c>
      <c r="I712" s="6">
        <v>-0.52267135093179595</v>
      </c>
      <c r="J712" s="6">
        <v>-0.52267135093179595</v>
      </c>
      <c r="K712" s="6">
        <v>0.94874688043557398</v>
      </c>
      <c r="L712" s="6">
        <v>0.94874688043557398</v>
      </c>
      <c r="M712" s="6">
        <v>0.94874688043557398</v>
      </c>
      <c r="N712" s="6">
        <v>-1.47141823136737</v>
      </c>
      <c r="O712" s="6">
        <v>-1.47141823136737</v>
      </c>
      <c r="P712" s="6">
        <v>-1.47141823136737</v>
      </c>
      <c r="Q712" s="6">
        <v>0</v>
      </c>
      <c r="R712" s="6">
        <v>0</v>
      </c>
      <c r="S712" s="6">
        <v>0</v>
      </c>
      <c r="T712" s="6">
        <v>193.441815041225</v>
      </c>
    </row>
    <row r="713" spans="1:20" ht="13" x14ac:dyDescent="0.15">
      <c r="A713" s="6">
        <v>711</v>
      </c>
      <c r="B713" s="7">
        <v>44189</v>
      </c>
      <c r="C713" s="6">
        <v>194.531257885831</v>
      </c>
      <c r="D713" s="6">
        <v>160.994704194745</v>
      </c>
      <c r="E713" s="6">
        <v>225.19692038841399</v>
      </c>
      <c r="F713" s="6">
        <v>194.531257885831</v>
      </c>
      <c r="G713" s="6">
        <v>194.531257885831</v>
      </c>
      <c r="H713" s="6">
        <v>-0.70230164646623106</v>
      </c>
      <c r="I713" s="6">
        <v>-0.70230164646623106</v>
      </c>
      <c r="J713" s="6">
        <v>-0.70230164646623106</v>
      </c>
      <c r="K713" s="6">
        <v>0.490155213557665</v>
      </c>
      <c r="L713" s="6">
        <v>0.490155213557665</v>
      </c>
      <c r="M713" s="6">
        <v>0.490155213557665</v>
      </c>
      <c r="N713" s="6">
        <v>-1.1924568600238901</v>
      </c>
      <c r="O713" s="6">
        <v>-1.1924568600238901</v>
      </c>
      <c r="P713" s="6">
        <v>-1.1924568600238901</v>
      </c>
      <c r="Q713" s="6">
        <v>0</v>
      </c>
      <c r="R713" s="6">
        <v>0</v>
      </c>
      <c r="S713" s="6">
        <v>0</v>
      </c>
      <c r="T713" s="6">
        <v>193.828956239365</v>
      </c>
    </row>
    <row r="714" spans="1:20" ht="13" x14ac:dyDescent="0.15">
      <c r="A714" s="6">
        <v>712</v>
      </c>
      <c r="B714" s="7">
        <v>44193</v>
      </c>
      <c r="C714" s="6">
        <v>196.798343860529</v>
      </c>
      <c r="D714" s="6">
        <v>169.689839582926</v>
      </c>
      <c r="E714" s="6">
        <v>232.726648096585</v>
      </c>
      <c r="F714" s="6">
        <v>196.798343860529</v>
      </c>
      <c r="G714" s="6">
        <v>196.798343860529</v>
      </c>
      <c r="H714" s="6">
        <v>3.1551366463631698</v>
      </c>
      <c r="I714" s="6">
        <v>3.1551366463631698</v>
      </c>
      <c r="J714" s="6">
        <v>3.1551366463631698</v>
      </c>
      <c r="K714" s="6">
        <v>1.8228906089374</v>
      </c>
      <c r="L714" s="6">
        <v>1.8228906089374</v>
      </c>
      <c r="M714" s="6">
        <v>1.8228906089374</v>
      </c>
      <c r="N714" s="6">
        <v>1.3322460374257701</v>
      </c>
      <c r="O714" s="6">
        <v>1.3322460374257701</v>
      </c>
      <c r="P714" s="6">
        <v>1.3322460374257701</v>
      </c>
      <c r="Q714" s="6">
        <v>0</v>
      </c>
      <c r="R714" s="6">
        <v>0</v>
      </c>
      <c r="S714" s="6">
        <v>0</v>
      </c>
      <c r="T714" s="6">
        <v>199.95348050689199</v>
      </c>
    </row>
    <row r="715" spans="1:20" ht="13" x14ac:dyDescent="0.15">
      <c r="A715" s="6">
        <v>713</v>
      </c>
      <c r="B715" s="7">
        <v>44194</v>
      </c>
      <c r="C715" s="6">
        <v>197.365115354203</v>
      </c>
      <c r="D715" s="6">
        <v>168.85398844686401</v>
      </c>
      <c r="E715" s="6">
        <v>232.55833505782601</v>
      </c>
      <c r="F715" s="6">
        <v>197.365115354203</v>
      </c>
      <c r="G715" s="6">
        <v>197.365115354203</v>
      </c>
      <c r="H715" s="6">
        <v>3.0889334888884599</v>
      </c>
      <c r="I715" s="6">
        <v>3.0889334888884599</v>
      </c>
      <c r="J715" s="6">
        <v>3.0889334888884599</v>
      </c>
      <c r="K715" s="6">
        <v>0.84522403106716004</v>
      </c>
      <c r="L715" s="6">
        <v>0.84522403106716004</v>
      </c>
      <c r="M715" s="6">
        <v>0.84522403106716004</v>
      </c>
      <c r="N715" s="6">
        <v>2.2437094578212902</v>
      </c>
      <c r="O715" s="6">
        <v>2.2437094578212902</v>
      </c>
      <c r="P715" s="6">
        <v>2.2437094578212902</v>
      </c>
      <c r="Q715" s="6">
        <v>0</v>
      </c>
      <c r="R715" s="6">
        <v>0</v>
      </c>
      <c r="S715" s="6">
        <v>0</v>
      </c>
      <c r="T715" s="6">
        <v>200.45404884309201</v>
      </c>
    </row>
    <row r="716" spans="1:20" ht="13" x14ac:dyDescent="0.15">
      <c r="A716" s="6">
        <v>714</v>
      </c>
      <c r="B716" s="7">
        <v>44195</v>
      </c>
      <c r="C716" s="6">
        <v>197.93188684787799</v>
      </c>
      <c r="D716" s="6">
        <v>170.33360718797499</v>
      </c>
      <c r="E716" s="6">
        <v>232.608407548776</v>
      </c>
      <c r="F716" s="6">
        <v>197.93188684787799</v>
      </c>
      <c r="G716" s="6">
        <v>197.93188684787799</v>
      </c>
      <c r="H716" s="6">
        <v>4.1781789688224897</v>
      </c>
      <c r="I716" s="6">
        <v>4.1781789688224897</v>
      </c>
      <c r="J716" s="6">
        <v>4.1781789688224897</v>
      </c>
      <c r="K716" s="6">
        <v>0.94874688043742395</v>
      </c>
      <c r="L716" s="6">
        <v>0.94874688043742395</v>
      </c>
      <c r="M716" s="6">
        <v>0.94874688043742395</v>
      </c>
      <c r="N716" s="6">
        <v>3.2294320883850598</v>
      </c>
      <c r="O716" s="6">
        <v>3.2294320883850598</v>
      </c>
      <c r="P716" s="6">
        <v>3.2294320883850598</v>
      </c>
      <c r="Q716" s="6">
        <v>0</v>
      </c>
      <c r="R716" s="6">
        <v>0</v>
      </c>
      <c r="S716" s="6">
        <v>0</v>
      </c>
      <c r="T716" s="6">
        <v>202.1100658167</v>
      </c>
    </row>
    <row r="717" spans="1:20" ht="13" x14ac:dyDescent="0.15">
      <c r="A717" s="6">
        <v>715</v>
      </c>
      <c r="B717" s="7">
        <v>44196</v>
      </c>
      <c r="C717" s="6">
        <v>198.49865834155199</v>
      </c>
      <c r="D717" s="6">
        <v>170.41409406922</v>
      </c>
      <c r="E717" s="6">
        <v>234.20599716112699</v>
      </c>
      <c r="F717" s="6">
        <v>198.49865834155199</v>
      </c>
      <c r="G717" s="6">
        <v>198.49865834155199</v>
      </c>
      <c r="H717" s="6">
        <v>4.7575594693427403</v>
      </c>
      <c r="I717" s="6">
        <v>4.7575594693427403</v>
      </c>
      <c r="J717" s="6">
        <v>4.7575594693427403</v>
      </c>
      <c r="K717" s="6">
        <v>0.490155213557386</v>
      </c>
      <c r="L717" s="6">
        <v>0.490155213557386</v>
      </c>
      <c r="M717" s="6">
        <v>0.490155213557386</v>
      </c>
      <c r="N717" s="6">
        <v>4.2674042557853502</v>
      </c>
      <c r="O717" s="6">
        <v>4.2674042557853502</v>
      </c>
      <c r="P717" s="6">
        <v>4.2674042557853502</v>
      </c>
      <c r="Q717" s="6">
        <v>0</v>
      </c>
      <c r="R717" s="6">
        <v>0</v>
      </c>
      <c r="S717" s="6">
        <v>0</v>
      </c>
      <c r="T717" s="6">
        <v>203.25621781089501</v>
      </c>
    </row>
    <row r="718" spans="1:20" ht="13" x14ac:dyDescent="0.15">
      <c r="A718" s="6">
        <v>716</v>
      </c>
      <c r="B718" s="7">
        <v>44200</v>
      </c>
      <c r="C718" s="6">
        <v>200.76574431624999</v>
      </c>
      <c r="D718" s="6">
        <v>181.31460860270201</v>
      </c>
      <c r="E718" s="6">
        <v>242.382631458996</v>
      </c>
      <c r="F718" s="6">
        <v>200.76574431624999</v>
      </c>
      <c r="G718" s="6">
        <v>200.76574431624999</v>
      </c>
      <c r="H718" s="6">
        <v>10.3099230455539</v>
      </c>
      <c r="I718" s="6">
        <v>10.3099230455539</v>
      </c>
      <c r="J718" s="6">
        <v>10.3099230455539</v>
      </c>
      <c r="K718" s="6">
        <v>1.8228906089391099</v>
      </c>
      <c r="L718" s="6">
        <v>1.8228906089391099</v>
      </c>
      <c r="M718" s="6">
        <v>1.8228906089391099</v>
      </c>
      <c r="N718" s="6">
        <v>8.4870324366148502</v>
      </c>
      <c r="O718" s="6">
        <v>8.4870324366148502</v>
      </c>
      <c r="P718" s="6">
        <v>8.4870324366148502</v>
      </c>
      <c r="Q718" s="6">
        <v>0</v>
      </c>
      <c r="R718" s="6">
        <v>0</v>
      </c>
      <c r="S718" s="6">
        <v>0</v>
      </c>
      <c r="T718" s="6">
        <v>211.07566736180399</v>
      </c>
    </row>
    <row r="719" spans="1:20" ht="13" x14ac:dyDescent="0.15">
      <c r="A719" s="6">
        <v>717</v>
      </c>
      <c r="B719" s="7">
        <v>44201</v>
      </c>
      <c r="C719" s="6">
        <v>201.33251580992399</v>
      </c>
      <c r="D719" s="6">
        <v>179.89360657936899</v>
      </c>
      <c r="E719" s="6">
        <v>245.23057373205401</v>
      </c>
      <c r="F719" s="6">
        <v>201.33251580992399</v>
      </c>
      <c r="G719" s="6">
        <v>201.33251580992399</v>
      </c>
      <c r="H719" s="6">
        <v>10.2956681684849</v>
      </c>
      <c r="I719" s="6">
        <v>10.2956681684849</v>
      </c>
      <c r="J719" s="6">
        <v>10.2956681684849</v>
      </c>
      <c r="K719" s="6">
        <v>0.84522403106570299</v>
      </c>
      <c r="L719" s="6">
        <v>0.84522403106570299</v>
      </c>
      <c r="M719" s="6">
        <v>0.84522403106570299</v>
      </c>
      <c r="N719" s="6">
        <v>9.4504441374192094</v>
      </c>
      <c r="O719" s="6">
        <v>9.4504441374192094</v>
      </c>
      <c r="P719" s="6">
        <v>9.4504441374192094</v>
      </c>
      <c r="Q719" s="6">
        <v>0</v>
      </c>
      <c r="R719" s="6">
        <v>0</v>
      </c>
      <c r="S719" s="6">
        <v>0</v>
      </c>
      <c r="T719" s="6">
        <v>211.628183978409</v>
      </c>
    </row>
    <row r="720" spans="1:20" ht="13" x14ac:dyDescent="0.15">
      <c r="A720" s="6">
        <v>718</v>
      </c>
      <c r="B720" s="7">
        <v>44202</v>
      </c>
      <c r="C720" s="6">
        <v>201.89928730359799</v>
      </c>
      <c r="D720" s="6">
        <v>180.810633326155</v>
      </c>
      <c r="E720" s="6">
        <v>244.25665684413801</v>
      </c>
      <c r="F720" s="6">
        <v>201.89928730359799</v>
      </c>
      <c r="G720" s="6">
        <v>201.89928730359799</v>
      </c>
      <c r="H720" s="6">
        <v>11.2881125326419</v>
      </c>
      <c r="I720" s="6">
        <v>11.2881125326419</v>
      </c>
      <c r="J720" s="6">
        <v>11.2881125326419</v>
      </c>
      <c r="K720" s="6">
        <v>0.94874688043780697</v>
      </c>
      <c r="L720" s="6">
        <v>0.94874688043780697</v>
      </c>
      <c r="M720" s="6">
        <v>0.94874688043780697</v>
      </c>
      <c r="N720" s="6">
        <v>10.3393656522041</v>
      </c>
      <c r="O720" s="6">
        <v>10.3393656522041</v>
      </c>
      <c r="P720" s="6">
        <v>10.3393656522041</v>
      </c>
      <c r="Q720" s="6">
        <v>0</v>
      </c>
      <c r="R720" s="6">
        <v>0</v>
      </c>
      <c r="S720" s="6">
        <v>0</v>
      </c>
      <c r="T720" s="6">
        <v>213.18739983623999</v>
      </c>
    </row>
    <row r="721" spans="1:20" ht="13" x14ac:dyDescent="0.15">
      <c r="A721" s="6">
        <v>719</v>
      </c>
      <c r="B721" s="7">
        <v>44203</v>
      </c>
      <c r="C721" s="6">
        <v>202.46605879727301</v>
      </c>
      <c r="D721" s="6">
        <v>184.07857086036501</v>
      </c>
      <c r="E721" s="6">
        <v>246.53042233920999</v>
      </c>
      <c r="F721" s="6">
        <v>202.46605879727301</v>
      </c>
      <c r="G721" s="6">
        <v>202.46605879727301</v>
      </c>
      <c r="H721" s="6">
        <v>11.6292379721888</v>
      </c>
      <c r="I721" s="6">
        <v>11.6292379721888</v>
      </c>
      <c r="J721" s="6">
        <v>11.6292379721888</v>
      </c>
      <c r="K721" s="6">
        <v>0.490155213554548</v>
      </c>
      <c r="L721" s="6">
        <v>0.490155213554548</v>
      </c>
      <c r="M721" s="6">
        <v>0.490155213554548</v>
      </c>
      <c r="N721" s="6">
        <v>11.1390827586343</v>
      </c>
      <c r="O721" s="6">
        <v>11.1390827586343</v>
      </c>
      <c r="P721" s="6">
        <v>11.1390827586343</v>
      </c>
      <c r="Q721" s="6">
        <v>0</v>
      </c>
      <c r="R721" s="6">
        <v>0</v>
      </c>
      <c r="S721" s="6">
        <v>0</v>
      </c>
      <c r="T721" s="6">
        <v>214.09529676946201</v>
      </c>
    </row>
    <row r="722" spans="1:20" ht="13" x14ac:dyDescent="0.15">
      <c r="A722" s="6">
        <v>720</v>
      </c>
      <c r="B722" s="7">
        <v>44204</v>
      </c>
      <c r="C722" s="6">
        <v>203.032830290947</v>
      </c>
      <c r="D722" s="6">
        <v>180.39998882211</v>
      </c>
      <c r="E722" s="6">
        <v>245.18177887252699</v>
      </c>
      <c r="F722" s="6">
        <v>203.032830290947</v>
      </c>
      <c r="G722" s="6">
        <v>203.032830290947</v>
      </c>
      <c r="H722" s="6">
        <v>11.8150090796111</v>
      </c>
      <c r="I722" s="6">
        <v>11.8150090796111</v>
      </c>
      <c r="J722" s="6">
        <v>11.8150090796111</v>
      </c>
      <c r="K722" s="6">
        <v>-2.2976765064285899E-2</v>
      </c>
      <c r="L722" s="6">
        <v>-2.2976765064285899E-2</v>
      </c>
      <c r="M722" s="6">
        <v>-2.2976765064285899E-2</v>
      </c>
      <c r="N722" s="6">
        <v>11.8379858446754</v>
      </c>
      <c r="O722" s="6">
        <v>11.8379858446754</v>
      </c>
      <c r="P722" s="6">
        <v>11.8379858446754</v>
      </c>
      <c r="Q722" s="6">
        <v>0</v>
      </c>
      <c r="R722" s="6">
        <v>0</v>
      </c>
      <c r="S722" s="6">
        <v>0</v>
      </c>
      <c r="T722" s="6">
        <v>214.84783937055801</v>
      </c>
    </row>
    <row r="723" spans="1:20" ht="13" x14ac:dyDescent="0.15">
      <c r="A723" s="6">
        <v>721</v>
      </c>
      <c r="B723" s="7">
        <v>44207</v>
      </c>
      <c r="C723" s="6">
        <v>204.73314477196999</v>
      </c>
      <c r="D723" s="6">
        <v>187.793062182824</v>
      </c>
      <c r="E723" s="6">
        <v>250.317564702802</v>
      </c>
      <c r="F723" s="6">
        <v>204.73314477196999</v>
      </c>
      <c r="G723" s="6">
        <v>204.73314477196999</v>
      </c>
      <c r="H723" s="6">
        <v>15.0887027935039</v>
      </c>
      <c r="I723" s="6">
        <v>15.0887027935039</v>
      </c>
      <c r="J723" s="6">
        <v>15.0887027935039</v>
      </c>
      <c r="K723" s="6">
        <v>1.8228906089329</v>
      </c>
      <c r="L723" s="6">
        <v>1.8228906089329</v>
      </c>
      <c r="M723" s="6">
        <v>1.8228906089329</v>
      </c>
      <c r="N723" s="6">
        <v>13.265812184571001</v>
      </c>
      <c r="O723" s="6">
        <v>13.265812184571001</v>
      </c>
      <c r="P723" s="6">
        <v>13.265812184571001</v>
      </c>
      <c r="Q723" s="6">
        <v>0</v>
      </c>
      <c r="R723" s="6">
        <v>0</v>
      </c>
      <c r="S723" s="6">
        <v>0</v>
      </c>
      <c r="T723" s="6">
        <v>219.821847565474</v>
      </c>
    </row>
    <row r="724" spans="1:20" ht="13" x14ac:dyDescent="0.15">
      <c r="A724" s="6">
        <v>722</v>
      </c>
      <c r="B724" s="7">
        <v>44208</v>
      </c>
      <c r="C724" s="6">
        <v>205.29991626564501</v>
      </c>
      <c r="D724" s="6">
        <v>187.88912824114101</v>
      </c>
      <c r="E724" s="6">
        <v>250.68606651095101</v>
      </c>
      <c r="F724" s="6">
        <v>205.29991626564501</v>
      </c>
      <c r="G724" s="6">
        <v>205.29991626564501</v>
      </c>
      <c r="H724" s="6">
        <v>14.360917539112</v>
      </c>
      <c r="I724" s="6">
        <v>14.360917539112</v>
      </c>
      <c r="J724" s="6">
        <v>14.360917539112</v>
      </c>
      <c r="K724" s="6">
        <v>0.84522403106424604</v>
      </c>
      <c r="L724" s="6">
        <v>0.84522403106424604</v>
      </c>
      <c r="M724" s="6">
        <v>0.84522403106424604</v>
      </c>
      <c r="N724" s="6">
        <v>13.5156935080478</v>
      </c>
      <c r="O724" s="6">
        <v>13.5156935080478</v>
      </c>
      <c r="P724" s="6">
        <v>13.5156935080478</v>
      </c>
      <c r="Q724" s="6">
        <v>0</v>
      </c>
      <c r="R724" s="6">
        <v>0</v>
      </c>
      <c r="S724" s="6">
        <v>0</v>
      </c>
      <c r="T724" s="6">
        <v>219.660833804757</v>
      </c>
    </row>
    <row r="725" spans="1:20" ht="13" x14ac:dyDescent="0.15">
      <c r="A725" s="6">
        <v>723</v>
      </c>
      <c r="B725" s="7">
        <v>44209</v>
      </c>
      <c r="C725" s="6">
        <v>205.86668775931901</v>
      </c>
      <c r="D725" s="6">
        <v>187.57277098061601</v>
      </c>
      <c r="E725" s="6">
        <v>250.49806357915801</v>
      </c>
      <c r="F725" s="6">
        <v>205.86668775931901</v>
      </c>
      <c r="G725" s="6">
        <v>205.86668775931901</v>
      </c>
      <c r="H725" s="6">
        <v>14.6087835605616</v>
      </c>
      <c r="I725" s="6">
        <v>14.6087835605616</v>
      </c>
      <c r="J725" s="6">
        <v>14.6087835605616</v>
      </c>
      <c r="K725" s="6">
        <v>0.94874688043697597</v>
      </c>
      <c r="L725" s="6">
        <v>0.94874688043697597</v>
      </c>
      <c r="M725" s="6">
        <v>0.94874688043697597</v>
      </c>
      <c r="N725" s="6">
        <v>13.6600366801246</v>
      </c>
      <c r="O725" s="6">
        <v>13.6600366801246</v>
      </c>
      <c r="P725" s="6">
        <v>13.6600366801246</v>
      </c>
      <c r="Q725" s="6">
        <v>0</v>
      </c>
      <c r="R725" s="6">
        <v>0</v>
      </c>
      <c r="S725" s="6">
        <v>0</v>
      </c>
      <c r="T725" s="6">
        <v>220.475471319881</v>
      </c>
    </row>
    <row r="726" spans="1:20" ht="13" x14ac:dyDescent="0.15">
      <c r="A726" s="6">
        <v>724</v>
      </c>
      <c r="B726" s="7">
        <v>44210</v>
      </c>
      <c r="C726" s="6">
        <v>206.433459252994</v>
      </c>
      <c r="D726" s="6">
        <v>186.72258748603099</v>
      </c>
      <c r="E726" s="6">
        <v>253.28088592300301</v>
      </c>
      <c r="F726" s="6">
        <v>206.433459252994</v>
      </c>
      <c r="G726" s="6">
        <v>206.433459252994</v>
      </c>
      <c r="H726" s="6">
        <v>14.198570039944</v>
      </c>
      <c r="I726" s="6">
        <v>14.198570039944</v>
      </c>
      <c r="J726" s="6">
        <v>14.198570039944</v>
      </c>
      <c r="K726" s="6">
        <v>0.49015521355974401</v>
      </c>
      <c r="L726" s="6">
        <v>0.49015521355974401</v>
      </c>
      <c r="M726" s="6">
        <v>0.49015521355974401</v>
      </c>
      <c r="N726" s="6">
        <v>13.7084148263842</v>
      </c>
      <c r="O726" s="6">
        <v>13.7084148263842</v>
      </c>
      <c r="P726" s="6">
        <v>13.7084148263842</v>
      </c>
      <c r="Q726" s="6">
        <v>0</v>
      </c>
      <c r="R726" s="6">
        <v>0</v>
      </c>
      <c r="S726" s="6">
        <v>0</v>
      </c>
      <c r="T726" s="6">
        <v>220.632029292938</v>
      </c>
    </row>
    <row r="727" spans="1:20" ht="13" x14ac:dyDescent="0.15">
      <c r="A727" s="6">
        <v>725</v>
      </c>
      <c r="B727" s="7">
        <v>44211</v>
      </c>
      <c r="C727" s="6">
        <v>206.68354745378599</v>
      </c>
      <c r="D727" s="6">
        <v>190.515784641404</v>
      </c>
      <c r="E727" s="6">
        <v>252.508162418609</v>
      </c>
      <c r="F727" s="6">
        <v>206.68354745378599</v>
      </c>
      <c r="G727" s="6">
        <v>206.68354745378599</v>
      </c>
      <c r="H727" s="6">
        <v>13.650386654861601</v>
      </c>
      <c r="I727" s="6">
        <v>13.650386654861601</v>
      </c>
      <c r="J727" s="6">
        <v>13.650386654861601</v>
      </c>
      <c r="K727" s="6">
        <v>-2.2976765066898101E-2</v>
      </c>
      <c r="L727" s="6">
        <v>-2.2976765066898101E-2</v>
      </c>
      <c r="M727" s="6">
        <v>-2.2976765066898101E-2</v>
      </c>
      <c r="N727" s="6">
        <v>13.673363419928499</v>
      </c>
      <c r="O727" s="6">
        <v>13.673363419928499</v>
      </c>
      <c r="P727" s="6">
        <v>13.673363419928499</v>
      </c>
      <c r="Q727" s="6">
        <v>0</v>
      </c>
      <c r="R727" s="6">
        <v>0</v>
      </c>
      <c r="S727" s="6">
        <v>0</v>
      </c>
      <c r="T727" s="6">
        <v>220.33393410864801</v>
      </c>
    </row>
    <row r="728" spans="1:20" ht="13" x14ac:dyDescent="0.15">
      <c r="A728" s="6">
        <v>726</v>
      </c>
      <c r="B728" s="7">
        <v>44215</v>
      </c>
      <c r="C728" s="6">
        <v>207.68390025695601</v>
      </c>
      <c r="D728" s="6">
        <v>188.049006615644</v>
      </c>
      <c r="E728" s="6">
        <v>254.919608479354</v>
      </c>
      <c r="F728" s="6">
        <v>207.68390025695601</v>
      </c>
      <c r="G728" s="6">
        <v>207.68390025695601</v>
      </c>
      <c r="H728" s="6">
        <v>13.8726727131332</v>
      </c>
      <c r="I728" s="6">
        <v>13.8726727131332</v>
      </c>
      <c r="J728" s="6">
        <v>13.8726727131332</v>
      </c>
      <c r="K728" s="6">
        <v>0.845224031063601</v>
      </c>
      <c r="L728" s="6">
        <v>0.845224031063601</v>
      </c>
      <c r="M728" s="6">
        <v>0.845224031063601</v>
      </c>
      <c r="N728" s="6">
        <v>13.0274486820696</v>
      </c>
      <c r="O728" s="6">
        <v>13.0274486820696</v>
      </c>
      <c r="P728" s="6">
        <v>13.0274486820696</v>
      </c>
      <c r="Q728" s="6">
        <v>0</v>
      </c>
      <c r="R728" s="6">
        <v>0</v>
      </c>
      <c r="S728" s="6">
        <v>0</v>
      </c>
      <c r="T728" s="6">
        <v>221.55657297008901</v>
      </c>
    </row>
    <row r="729" spans="1:20" ht="13" x14ac:dyDescent="0.15">
      <c r="A729" s="6">
        <v>727</v>
      </c>
      <c r="B729" s="7">
        <v>44216</v>
      </c>
      <c r="C729" s="6">
        <v>207.933988457748</v>
      </c>
      <c r="D729" s="6">
        <v>187.381383736695</v>
      </c>
      <c r="E729" s="6">
        <v>253.76184600465899</v>
      </c>
      <c r="F729" s="6">
        <v>207.933988457748</v>
      </c>
      <c r="G729" s="6">
        <v>207.933988457748</v>
      </c>
      <c r="H729" s="6">
        <v>13.7821132709264</v>
      </c>
      <c r="I729" s="6">
        <v>13.7821132709264</v>
      </c>
      <c r="J729" s="6">
        <v>13.7821132709264</v>
      </c>
      <c r="K729" s="6">
        <v>0.94874688043614597</v>
      </c>
      <c r="L729" s="6">
        <v>0.94874688043614597</v>
      </c>
      <c r="M729" s="6">
        <v>0.94874688043614597</v>
      </c>
      <c r="N729" s="6">
        <v>12.8333663904902</v>
      </c>
      <c r="O729" s="6">
        <v>12.8333663904902</v>
      </c>
      <c r="P729" s="6">
        <v>12.8333663904902</v>
      </c>
      <c r="Q729" s="6">
        <v>0</v>
      </c>
      <c r="R729" s="6">
        <v>0</v>
      </c>
      <c r="S729" s="6">
        <v>0</v>
      </c>
      <c r="T729" s="6">
        <v>221.716101728674</v>
      </c>
    </row>
    <row r="730" spans="1:20" ht="13" x14ac:dyDescent="0.15">
      <c r="A730" s="6">
        <v>728</v>
      </c>
      <c r="B730" s="7">
        <v>44217</v>
      </c>
      <c r="C730" s="6">
        <v>208.18407665853999</v>
      </c>
      <c r="D730" s="6">
        <v>188.76645045530501</v>
      </c>
      <c r="E730" s="6">
        <v>256.98799463709202</v>
      </c>
      <c r="F730" s="6">
        <v>208.18407665853999</v>
      </c>
      <c r="G730" s="6">
        <v>208.18407665853999</v>
      </c>
      <c r="H730" s="6">
        <v>13.1551414626023</v>
      </c>
      <c r="I730" s="6">
        <v>13.1551414626023</v>
      </c>
      <c r="J730" s="6">
        <v>13.1551414626023</v>
      </c>
      <c r="K730" s="6">
        <v>0.490155213556906</v>
      </c>
      <c r="L730" s="6">
        <v>0.490155213556906</v>
      </c>
      <c r="M730" s="6">
        <v>0.490155213556906</v>
      </c>
      <c r="N730" s="6">
        <v>12.6649862490454</v>
      </c>
      <c r="O730" s="6">
        <v>12.6649862490454</v>
      </c>
      <c r="P730" s="6">
        <v>12.6649862490454</v>
      </c>
      <c r="Q730" s="6">
        <v>0</v>
      </c>
      <c r="R730" s="6">
        <v>0</v>
      </c>
      <c r="S730" s="6">
        <v>0</v>
      </c>
      <c r="T730" s="6">
        <v>221.33921812114301</v>
      </c>
    </row>
    <row r="731" spans="1:20" ht="13" x14ac:dyDescent="0.15">
      <c r="A731" s="6">
        <v>729</v>
      </c>
      <c r="B731" s="7">
        <v>44218</v>
      </c>
      <c r="C731" s="6">
        <v>208.43416485933301</v>
      </c>
      <c r="D731" s="6">
        <v>187.05119243607399</v>
      </c>
      <c r="E731" s="6">
        <v>254.383382176303</v>
      </c>
      <c r="F731" s="6">
        <v>208.43416485933301</v>
      </c>
      <c r="G731" s="6">
        <v>208.43416485933301</v>
      </c>
      <c r="H731" s="6">
        <v>12.5175201659743</v>
      </c>
      <c r="I731" s="6">
        <v>12.5175201659743</v>
      </c>
      <c r="J731" s="6">
        <v>12.5175201659743</v>
      </c>
      <c r="K731" s="6">
        <v>-2.2976765060839201E-2</v>
      </c>
      <c r="L731" s="6">
        <v>-2.2976765060839201E-2</v>
      </c>
      <c r="M731" s="6">
        <v>-2.2976765060839201E-2</v>
      </c>
      <c r="N731" s="6">
        <v>12.5404969310352</v>
      </c>
      <c r="O731" s="6">
        <v>12.5404969310352</v>
      </c>
      <c r="P731" s="6">
        <v>12.5404969310352</v>
      </c>
      <c r="Q731" s="6">
        <v>0</v>
      </c>
      <c r="R731" s="6">
        <v>0</v>
      </c>
      <c r="S731" s="6">
        <v>0</v>
      </c>
      <c r="T731" s="6">
        <v>220.951685025307</v>
      </c>
    </row>
    <row r="732" spans="1:20" ht="13" x14ac:dyDescent="0.15">
      <c r="A732" s="6">
        <v>730</v>
      </c>
      <c r="B732" s="7">
        <v>44221</v>
      </c>
      <c r="C732" s="6">
        <v>209.18442946171001</v>
      </c>
      <c r="D732" s="6">
        <v>191.82048591206799</v>
      </c>
      <c r="E732" s="6">
        <v>255.38254916528001</v>
      </c>
      <c r="F732" s="6">
        <v>209.18442946171001</v>
      </c>
      <c r="G732" s="6">
        <v>209.18442946171001</v>
      </c>
      <c r="H732" s="6">
        <v>14.4067770440373</v>
      </c>
      <c r="I732" s="6">
        <v>14.4067770440373</v>
      </c>
      <c r="J732" s="6">
        <v>14.4067770440373</v>
      </c>
      <c r="K732" s="6">
        <v>1.8228906089363399</v>
      </c>
      <c r="L732" s="6">
        <v>1.8228906089363399</v>
      </c>
      <c r="M732" s="6">
        <v>1.8228906089363399</v>
      </c>
      <c r="N732" s="6">
        <v>12.583886435101</v>
      </c>
      <c r="O732" s="6">
        <v>12.583886435101</v>
      </c>
      <c r="P732" s="6">
        <v>12.583886435101</v>
      </c>
      <c r="Q732" s="6">
        <v>0</v>
      </c>
      <c r="R732" s="6">
        <v>0</v>
      </c>
      <c r="S732" s="6">
        <v>0</v>
      </c>
      <c r="T732" s="6">
        <v>223.59120650574701</v>
      </c>
    </row>
    <row r="733" spans="1:20" ht="13" x14ac:dyDescent="0.15">
      <c r="A733" s="6">
        <v>731</v>
      </c>
      <c r="B733" s="7">
        <v>44222</v>
      </c>
      <c r="C733" s="6">
        <v>209.434517662502</v>
      </c>
      <c r="D733" s="6">
        <v>190.161002026576</v>
      </c>
      <c r="E733" s="6">
        <v>254.818485118371</v>
      </c>
      <c r="F733" s="6">
        <v>209.434517662502</v>
      </c>
      <c r="G733" s="6">
        <v>209.434517662502</v>
      </c>
      <c r="H733" s="6">
        <v>13.620599536257901</v>
      </c>
      <c r="I733" s="6">
        <v>13.620599536257901</v>
      </c>
      <c r="J733" s="6">
        <v>13.620599536257901</v>
      </c>
      <c r="K733" s="6">
        <v>0.84522403106295596</v>
      </c>
      <c r="L733" s="6">
        <v>0.84522403106295596</v>
      </c>
      <c r="M733" s="6">
        <v>0.84522403106295596</v>
      </c>
      <c r="N733" s="6">
        <v>12.775375505195001</v>
      </c>
      <c r="O733" s="6">
        <v>12.775375505195001</v>
      </c>
      <c r="P733" s="6">
        <v>12.775375505195001</v>
      </c>
      <c r="Q733" s="6">
        <v>0</v>
      </c>
      <c r="R733" s="6">
        <v>0</v>
      </c>
      <c r="S733" s="6">
        <v>0</v>
      </c>
      <c r="T733" s="6">
        <v>223.05511719876</v>
      </c>
    </row>
    <row r="734" spans="1:20" ht="13" x14ac:dyDescent="0.15">
      <c r="A734" s="6">
        <v>732</v>
      </c>
      <c r="B734" s="7">
        <v>44223</v>
      </c>
      <c r="C734" s="6">
        <v>209.68460586329499</v>
      </c>
      <c r="D734" s="6">
        <v>191.38950751516401</v>
      </c>
      <c r="E734" s="6">
        <v>255.09128243007001</v>
      </c>
      <c r="F734" s="6">
        <v>209.68460586329499</v>
      </c>
      <c r="G734" s="6">
        <v>209.68460586329499</v>
      </c>
      <c r="H734" s="6">
        <v>14.0151434104041</v>
      </c>
      <c r="I734" s="6">
        <v>14.0151434104041</v>
      </c>
      <c r="J734" s="6">
        <v>14.0151434104041</v>
      </c>
      <c r="K734" s="6">
        <v>0.94874688043652899</v>
      </c>
      <c r="L734" s="6">
        <v>0.94874688043652899</v>
      </c>
      <c r="M734" s="6">
        <v>0.94874688043652899</v>
      </c>
      <c r="N734" s="6">
        <v>13.0663965299676</v>
      </c>
      <c r="O734" s="6">
        <v>13.0663965299676</v>
      </c>
      <c r="P734" s="6">
        <v>13.0663965299676</v>
      </c>
      <c r="Q734" s="6">
        <v>0</v>
      </c>
      <c r="R734" s="6">
        <v>0</v>
      </c>
      <c r="S734" s="6">
        <v>0</v>
      </c>
      <c r="T734" s="6">
        <v>223.69974927369901</v>
      </c>
    </row>
    <row r="735" spans="1:20" ht="13" x14ac:dyDescent="0.15">
      <c r="A735" s="6">
        <v>733</v>
      </c>
      <c r="B735" s="7">
        <v>44224</v>
      </c>
      <c r="C735" s="6">
        <v>209.93469406408701</v>
      </c>
      <c r="D735" s="6">
        <v>191.97142738529701</v>
      </c>
      <c r="E735" s="6">
        <v>256.30047340874199</v>
      </c>
      <c r="F735" s="6">
        <v>209.93469406408701</v>
      </c>
      <c r="G735" s="6">
        <v>209.93469406408701</v>
      </c>
      <c r="H735" s="6">
        <v>13.948280143541201</v>
      </c>
      <c r="I735" s="6">
        <v>13.948280143541201</v>
      </c>
      <c r="J735" s="6">
        <v>13.948280143541201</v>
      </c>
      <c r="K735" s="6">
        <v>0.490155213558085</v>
      </c>
      <c r="L735" s="6">
        <v>0.490155213558085</v>
      </c>
      <c r="M735" s="6">
        <v>0.490155213558085</v>
      </c>
      <c r="N735" s="6">
        <v>13.4581249299831</v>
      </c>
      <c r="O735" s="6">
        <v>13.4581249299831</v>
      </c>
      <c r="P735" s="6">
        <v>13.4581249299831</v>
      </c>
      <c r="Q735" s="6">
        <v>0</v>
      </c>
      <c r="R735" s="6">
        <v>0</v>
      </c>
      <c r="S735" s="6">
        <v>0</v>
      </c>
      <c r="T735" s="6">
        <v>223.882974207628</v>
      </c>
    </row>
    <row r="736" spans="1:20" ht="13" x14ac:dyDescent="0.15">
      <c r="A736" s="6">
        <v>734</v>
      </c>
      <c r="B736" s="7">
        <v>44225</v>
      </c>
      <c r="C736" s="6">
        <v>210.184782264879</v>
      </c>
      <c r="D736" s="6">
        <v>191.48702517600299</v>
      </c>
      <c r="E736" s="6">
        <v>253.72491908074201</v>
      </c>
      <c r="F736" s="6">
        <v>210.184782264879</v>
      </c>
      <c r="G736" s="6">
        <v>210.184782264879</v>
      </c>
      <c r="H736" s="6">
        <v>13.924911868321001</v>
      </c>
      <c r="I736" s="6">
        <v>13.924911868321001</v>
      </c>
      <c r="J736" s="6">
        <v>13.924911868321001</v>
      </c>
      <c r="K736" s="6">
        <v>-2.29767650588928E-2</v>
      </c>
      <c r="L736" s="6">
        <v>-2.29767650588928E-2</v>
      </c>
      <c r="M736" s="6">
        <v>-2.29767650588928E-2</v>
      </c>
      <c r="N736" s="6">
        <v>13.947888633379799</v>
      </c>
      <c r="O736" s="6">
        <v>13.947888633379799</v>
      </c>
      <c r="P736" s="6">
        <v>13.947888633379799</v>
      </c>
      <c r="Q736" s="6">
        <v>0</v>
      </c>
      <c r="R736" s="6">
        <v>0</v>
      </c>
      <c r="S736" s="6">
        <v>0</v>
      </c>
      <c r="T736" s="6">
        <v>224.10969413320001</v>
      </c>
    </row>
    <row r="737" spans="1:20" ht="13" x14ac:dyDescent="0.15">
      <c r="A737" s="6">
        <v>735</v>
      </c>
      <c r="B737" s="7">
        <v>44228</v>
      </c>
      <c r="C737" s="6">
        <v>210.93504686725601</v>
      </c>
      <c r="D737" s="6">
        <v>197.298554875983</v>
      </c>
      <c r="E737" s="6">
        <v>258.90882670867501</v>
      </c>
      <c r="F737" s="6">
        <v>210.93504686725601</v>
      </c>
      <c r="G737" s="6">
        <v>210.93504686725601</v>
      </c>
      <c r="H737" s="6">
        <v>17.7443999835534</v>
      </c>
      <c r="I737" s="6">
        <v>17.7443999835534</v>
      </c>
      <c r="J737" s="6">
        <v>17.7443999835534</v>
      </c>
      <c r="K737" s="6">
        <v>1.82289060893684</v>
      </c>
      <c r="L737" s="6">
        <v>1.82289060893684</v>
      </c>
      <c r="M737" s="6">
        <v>1.82289060893684</v>
      </c>
      <c r="N737" s="6">
        <v>15.9215093746165</v>
      </c>
      <c r="O737" s="6">
        <v>15.9215093746165</v>
      </c>
      <c r="P737" s="6">
        <v>15.9215093746165</v>
      </c>
      <c r="Q737" s="6">
        <v>0</v>
      </c>
      <c r="R737" s="6">
        <v>0</v>
      </c>
      <c r="S737" s="6">
        <v>0</v>
      </c>
      <c r="T737" s="6">
        <v>228.67944685081</v>
      </c>
    </row>
    <row r="738" spans="1:20" ht="13" x14ac:dyDescent="0.15">
      <c r="A738" s="6">
        <v>736</v>
      </c>
      <c r="B738" s="7">
        <v>44229</v>
      </c>
      <c r="C738" s="6">
        <v>211.18513506804899</v>
      </c>
      <c r="D738" s="6">
        <v>195.07414881354799</v>
      </c>
      <c r="E738" s="6">
        <v>264.01364147660098</v>
      </c>
      <c r="F738" s="6">
        <v>211.18513506804899</v>
      </c>
      <c r="G738" s="6">
        <v>211.18513506804899</v>
      </c>
      <c r="H738" s="6">
        <v>17.546931353662998</v>
      </c>
      <c r="I738" s="6">
        <v>17.546931353662998</v>
      </c>
      <c r="J738" s="6">
        <v>17.546931353662998</v>
      </c>
      <c r="K738" s="6">
        <v>0.84522403106688104</v>
      </c>
      <c r="L738" s="6">
        <v>0.84522403106688104</v>
      </c>
      <c r="M738" s="6">
        <v>0.84522403106688104</v>
      </c>
      <c r="N738" s="6">
        <v>16.7017073225961</v>
      </c>
      <c r="O738" s="6">
        <v>16.7017073225961</v>
      </c>
      <c r="P738" s="6">
        <v>16.7017073225961</v>
      </c>
      <c r="Q738" s="6">
        <v>0</v>
      </c>
      <c r="R738" s="6">
        <v>0</v>
      </c>
      <c r="S738" s="6">
        <v>0</v>
      </c>
      <c r="T738" s="6">
        <v>228.73206642171201</v>
      </c>
    </row>
    <row r="739" spans="1:20" ht="13" x14ac:dyDescent="0.15">
      <c r="A739" s="6">
        <v>737</v>
      </c>
      <c r="B739" s="7">
        <v>44230</v>
      </c>
      <c r="C739" s="6">
        <v>211.43522326884101</v>
      </c>
      <c r="D739" s="6">
        <v>197.65038365477901</v>
      </c>
      <c r="E739" s="6">
        <v>263.13349932390798</v>
      </c>
      <c r="F739" s="6">
        <v>211.43522326884101</v>
      </c>
      <c r="G739" s="6">
        <v>211.43522326884101</v>
      </c>
      <c r="H739" s="6">
        <v>18.4611195941856</v>
      </c>
      <c r="I739" s="6">
        <v>18.4611195941856</v>
      </c>
      <c r="J739" s="6">
        <v>18.4611195941856</v>
      </c>
      <c r="K739" s="6">
        <v>0.94874688043569899</v>
      </c>
      <c r="L739" s="6">
        <v>0.94874688043569899</v>
      </c>
      <c r="M739" s="6">
        <v>0.94874688043569899</v>
      </c>
      <c r="N739" s="6">
        <v>17.512372713749901</v>
      </c>
      <c r="O739" s="6">
        <v>17.512372713749901</v>
      </c>
      <c r="P739" s="6">
        <v>17.512372713749901</v>
      </c>
      <c r="Q739" s="6">
        <v>0</v>
      </c>
      <c r="R739" s="6">
        <v>0</v>
      </c>
      <c r="S739" s="6">
        <v>0</v>
      </c>
      <c r="T739" s="6">
        <v>229.896342863027</v>
      </c>
    </row>
    <row r="740" spans="1:20" ht="13" x14ac:dyDescent="0.15">
      <c r="A740" s="6">
        <v>738</v>
      </c>
      <c r="B740" s="7">
        <v>44231</v>
      </c>
      <c r="C740" s="6">
        <v>211.68531146963301</v>
      </c>
      <c r="D740" s="6">
        <v>200.29149307848201</v>
      </c>
      <c r="E740" s="6">
        <v>262.374792510085</v>
      </c>
      <c r="F740" s="6">
        <v>211.68531146963301</v>
      </c>
      <c r="G740" s="6">
        <v>211.68531146963301</v>
      </c>
      <c r="H740" s="6">
        <v>18.821496783158501</v>
      </c>
      <c r="I740" s="6">
        <v>18.821496783158501</v>
      </c>
      <c r="J740" s="6">
        <v>18.821496783158501</v>
      </c>
      <c r="K740" s="6">
        <v>0.49015521355524799</v>
      </c>
      <c r="L740" s="6">
        <v>0.49015521355524799</v>
      </c>
      <c r="M740" s="6">
        <v>0.49015521355524799</v>
      </c>
      <c r="N740" s="6">
        <v>18.3313415696033</v>
      </c>
      <c r="O740" s="6">
        <v>18.3313415696033</v>
      </c>
      <c r="P740" s="6">
        <v>18.3313415696033</v>
      </c>
      <c r="Q740" s="6">
        <v>0</v>
      </c>
      <c r="R740" s="6">
        <v>0</v>
      </c>
      <c r="S740" s="6">
        <v>0</v>
      </c>
      <c r="T740" s="6">
        <v>230.50680825279201</v>
      </c>
    </row>
    <row r="741" spans="1:20" ht="13" x14ac:dyDescent="0.15">
      <c r="A741" s="6">
        <v>739</v>
      </c>
      <c r="B741" s="7">
        <v>44232</v>
      </c>
      <c r="C741" s="6">
        <v>211.93539967042599</v>
      </c>
      <c r="D741" s="6">
        <v>200.52364211333301</v>
      </c>
      <c r="E741" s="6">
        <v>263.19742281235602</v>
      </c>
      <c r="F741" s="6">
        <v>211.93539967042599</v>
      </c>
      <c r="G741" s="6">
        <v>211.93539967042599</v>
      </c>
      <c r="H741" s="6">
        <v>19.1117482569557</v>
      </c>
      <c r="I741" s="6">
        <v>19.1117482569557</v>
      </c>
      <c r="J741" s="6">
        <v>19.1117482569557</v>
      </c>
      <c r="K741" s="6">
        <v>-2.2976765066063401E-2</v>
      </c>
      <c r="L741" s="6">
        <v>-2.2976765066063401E-2</v>
      </c>
      <c r="M741" s="6">
        <v>-2.2976765066063401E-2</v>
      </c>
      <c r="N741" s="6">
        <v>19.134725022021701</v>
      </c>
      <c r="O741" s="6">
        <v>19.134725022021701</v>
      </c>
      <c r="P741" s="6">
        <v>19.134725022021701</v>
      </c>
      <c r="Q741" s="6">
        <v>0</v>
      </c>
      <c r="R741" s="6">
        <v>0</v>
      </c>
      <c r="S741" s="6">
        <v>0</v>
      </c>
      <c r="T741" s="6">
        <v>231.04714792738201</v>
      </c>
    </row>
    <row r="742" spans="1:20" ht="13" x14ac:dyDescent="0.15">
      <c r="A742" s="6">
        <v>740</v>
      </c>
      <c r="B742" s="7">
        <v>44235</v>
      </c>
      <c r="C742" s="6">
        <v>212.685664272803</v>
      </c>
      <c r="D742" s="6">
        <v>202.14671818036999</v>
      </c>
      <c r="E742" s="6">
        <v>270.67125997955901</v>
      </c>
      <c r="F742" s="6">
        <v>212.685664272803</v>
      </c>
      <c r="G742" s="6">
        <v>212.685664272803</v>
      </c>
      <c r="H742" s="6">
        <v>23.0230820982548</v>
      </c>
      <c r="I742" s="6">
        <v>23.0230820982548</v>
      </c>
      <c r="J742" s="6">
        <v>23.0230820982548</v>
      </c>
      <c r="K742" s="6">
        <v>1.8228906089385499</v>
      </c>
      <c r="L742" s="6">
        <v>1.8228906089385499</v>
      </c>
      <c r="M742" s="6">
        <v>1.8228906089385499</v>
      </c>
      <c r="N742" s="6">
        <v>21.2001914893163</v>
      </c>
      <c r="O742" s="6">
        <v>21.2001914893163</v>
      </c>
      <c r="P742" s="6">
        <v>21.2001914893163</v>
      </c>
      <c r="Q742" s="6">
        <v>0</v>
      </c>
      <c r="R742" s="6">
        <v>0</v>
      </c>
      <c r="S742" s="6">
        <v>0</v>
      </c>
      <c r="T742" s="6">
        <v>235.708746371058</v>
      </c>
    </row>
    <row r="743" spans="1:20" ht="13" x14ac:dyDescent="0.15">
      <c r="A743" s="6">
        <v>741</v>
      </c>
      <c r="B743" s="7">
        <v>44236</v>
      </c>
      <c r="C743" s="6">
        <v>212.93575247359499</v>
      </c>
      <c r="D743" s="6">
        <v>203.87234233277701</v>
      </c>
      <c r="E743" s="6">
        <v>268.96786526569502</v>
      </c>
      <c r="F743" s="6">
        <v>212.93575247359499</v>
      </c>
      <c r="G743" s="6">
        <v>212.93575247359499</v>
      </c>
      <c r="H743" s="6">
        <v>22.535995831970698</v>
      </c>
      <c r="I743" s="6">
        <v>22.535995831970698</v>
      </c>
      <c r="J743" s="6">
        <v>22.535995831970698</v>
      </c>
      <c r="K743" s="6">
        <v>0.84522403106542499</v>
      </c>
      <c r="L743" s="6">
        <v>0.84522403106542499</v>
      </c>
      <c r="M743" s="6">
        <v>0.84522403106542499</v>
      </c>
      <c r="N743" s="6">
        <v>21.6907718009052</v>
      </c>
      <c r="O743" s="6">
        <v>21.6907718009052</v>
      </c>
      <c r="P743" s="6">
        <v>21.6907718009052</v>
      </c>
      <c r="Q743" s="6">
        <v>0</v>
      </c>
      <c r="R743" s="6">
        <v>0</v>
      </c>
      <c r="S743" s="6">
        <v>0</v>
      </c>
      <c r="T743" s="6">
        <v>235.471748305566</v>
      </c>
    </row>
    <row r="744" spans="1:20" ht="13" x14ac:dyDescent="0.15">
      <c r="A744" s="6">
        <v>742</v>
      </c>
      <c r="B744" s="7">
        <v>44237</v>
      </c>
      <c r="C744" s="6">
        <v>213.185840674388</v>
      </c>
      <c r="D744" s="6">
        <v>202.200743204161</v>
      </c>
      <c r="E744" s="6">
        <v>266.39379725364</v>
      </c>
      <c r="F744" s="6">
        <v>213.185840674388</v>
      </c>
      <c r="G744" s="6">
        <v>213.185840674388</v>
      </c>
      <c r="H744" s="6">
        <v>22.992418169772598</v>
      </c>
      <c r="I744" s="6">
        <v>22.992418169772598</v>
      </c>
      <c r="J744" s="6">
        <v>22.992418169772598</v>
      </c>
      <c r="K744" s="6">
        <v>0.94874688043754796</v>
      </c>
      <c r="L744" s="6">
        <v>0.94874688043754796</v>
      </c>
      <c r="M744" s="6">
        <v>0.94874688043754796</v>
      </c>
      <c r="N744" s="6">
        <v>22.043671289334998</v>
      </c>
      <c r="O744" s="6">
        <v>22.043671289334998</v>
      </c>
      <c r="P744" s="6">
        <v>22.043671289334998</v>
      </c>
      <c r="Q744" s="6">
        <v>0</v>
      </c>
      <c r="R744" s="6">
        <v>0</v>
      </c>
      <c r="S744" s="6">
        <v>0</v>
      </c>
      <c r="T744" s="6">
        <v>236.17825884416001</v>
      </c>
    </row>
    <row r="745" spans="1:20" ht="13" x14ac:dyDescent="0.15">
      <c r="A745" s="6">
        <v>743</v>
      </c>
      <c r="B745" s="7">
        <v>44238</v>
      </c>
      <c r="C745" s="6">
        <v>213.43592887518</v>
      </c>
      <c r="D745" s="6">
        <v>206.15009551494001</v>
      </c>
      <c r="E745" s="6">
        <v>268.46624507724903</v>
      </c>
      <c r="F745" s="6">
        <v>213.43592887518</v>
      </c>
      <c r="G745" s="6">
        <v>213.43592887518</v>
      </c>
      <c r="H745" s="6">
        <v>22.728877661399299</v>
      </c>
      <c r="I745" s="6">
        <v>22.728877661399299</v>
      </c>
      <c r="J745" s="6">
        <v>22.728877661399299</v>
      </c>
      <c r="K745" s="6">
        <v>0.49015521355642699</v>
      </c>
      <c r="L745" s="6">
        <v>0.49015521355642699</v>
      </c>
      <c r="M745" s="6">
        <v>0.49015521355642699</v>
      </c>
      <c r="N745" s="6">
        <v>22.2387224478429</v>
      </c>
      <c r="O745" s="6">
        <v>22.2387224478429</v>
      </c>
      <c r="P745" s="6">
        <v>22.2387224478429</v>
      </c>
      <c r="Q745" s="6">
        <v>0</v>
      </c>
      <c r="R745" s="6">
        <v>0</v>
      </c>
      <c r="S745" s="6">
        <v>0</v>
      </c>
      <c r="T745" s="6">
        <v>236.16480653657899</v>
      </c>
    </row>
    <row r="746" spans="1:20" ht="13" x14ac:dyDescent="0.15">
      <c r="A746" s="6">
        <v>744</v>
      </c>
      <c r="B746" s="7">
        <v>44239</v>
      </c>
      <c r="C746" s="6">
        <v>213.68601707597199</v>
      </c>
      <c r="D746" s="6">
        <v>205.151455274863</v>
      </c>
      <c r="E746" s="6">
        <v>268.59044095406699</v>
      </c>
      <c r="F746" s="6">
        <v>213.68601707597199</v>
      </c>
      <c r="G746" s="6">
        <v>213.68601707597199</v>
      </c>
      <c r="H746" s="6">
        <v>22.235678857914898</v>
      </c>
      <c r="I746" s="6">
        <v>22.235678857914898</v>
      </c>
      <c r="J746" s="6">
        <v>22.235678857914898</v>
      </c>
      <c r="K746" s="6">
        <v>-2.2976765064117201E-2</v>
      </c>
      <c r="L746" s="6">
        <v>-2.2976765064117201E-2</v>
      </c>
      <c r="M746" s="6">
        <v>-2.2976765064117201E-2</v>
      </c>
      <c r="N746" s="6">
        <v>22.258655622978999</v>
      </c>
      <c r="O746" s="6">
        <v>22.258655622978999</v>
      </c>
      <c r="P746" s="6">
        <v>22.258655622978999</v>
      </c>
      <c r="Q746" s="6">
        <v>0</v>
      </c>
      <c r="R746" s="6">
        <v>0</v>
      </c>
      <c r="S746" s="6">
        <v>0</v>
      </c>
      <c r="T746" s="6">
        <v>235.92169593388701</v>
      </c>
    </row>
    <row r="747" spans="1:20" ht="13" x14ac:dyDescent="0.15">
      <c r="A747" s="6">
        <v>745</v>
      </c>
      <c r="B747" s="7">
        <v>44243</v>
      </c>
      <c r="C747" s="6">
        <v>214.68636987914201</v>
      </c>
      <c r="D747" s="6">
        <v>204.43319980240099</v>
      </c>
      <c r="E747" s="6">
        <v>267.52627955333003</v>
      </c>
      <c r="F747" s="6">
        <v>214.68636987914201</v>
      </c>
      <c r="G747" s="6">
        <v>214.68636987914201</v>
      </c>
      <c r="H747" s="6">
        <v>21.215183638326799</v>
      </c>
      <c r="I747" s="6">
        <v>21.215183638326799</v>
      </c>
      <c r="J747" s="6">
        <v>21.215183638326799</v>
      </c>
      <c r="K747" s="6">
        <v>0.84522403106559096</v>
      </c>
      <c r="L747" s="6">
        <v>0.84522403106559096</v>
      </c>
      <c r="M747" s="6">
        <v>0.84522403106559096</v>
      </c>
      <c r="N747" s="6">
        <v>20.369959607261201</v>
      </c>
      <c r="O747" s="6">
        <v>20.369959607261201</v>
      </c>
      <c r="P747" s="6">
        <v>20.369959607261201</v>
      </c>
      <c r="Q747" s="6">
        <v>0</v>
      </c>
      <c r="R747" s="6">
        <v>0</v>
      </c>
      <c r="S747" s="6">
        <v>0</v>
      </c>
      <c r="T747" s="6">
        <v>235.90155351746901</v>
      </c>
    </row>
    <row r="748" spans="1:20" ht="13" x14ac:dyDescent="0.15">
      <c r="A748" s="6">
        <v>746</v>
      </c>
      <c r="B748" s="7">
        <v>44244</v>
      </c>
      <c r="C748" s="6">
        <v>214.936458079934</v>
      </c>
      <c r="D748" s="6">
        <v>204.50742247888601</v>
      </c>
      <c r="E748" s="6">
        <v>266.75790247651099</v>
      </c>
      <c r="F748" s="6">
        <v>214.936458079934</v>
      </c>
      <c r="G748" s="6">
        <v>214.936458079934</v>
      </c>
      <c r="H748" s="6">
        <v>20.336844060906799</v>
      </c>
      <c r="I748" s="6">
        <v>20.336844060906799</v>
      </c>
      <c r="J748" s="6">
        <v>20.336844060906799</v>
      </c>
      <c r="K748" s="6">
        <v>0.94874688043403799</v>
      </c>
      <c r="L748" s="6">
        <v>0.94874688043403799</v>
      </c>
      <c r="M748" s="6">
        <v>0.94874688043403799</v>
      </c>
      <c r="N748" s="6">
        <v>19.388097180472801</v>
      </c>
      <c r="O748" s="6">
        <v>19.388097180472801</v>
      </c>
      <c r="P748" s="6">
        <v>19.388097180472801</v>
      </c>
      <c r="Q748" s="6">
        <v>0</v>
      </c>
      <c r="R748" s="6">
        <v>0</v>
      </c>
      <c r="S748" s="6">
        <v>0</v>
      </c>
      <c r="T748" s="6">
        <v>235.273302140841</v>
      </c>
    </row>
    <row r="749" spans="1:20" ht="13" x14ac:dyDescent="0.15">
      <c r="A749" s="6">
        <v>747</v>
      </c>
      <c r="B749" s="7">
        <v>44245</v>
      </c>
      <c r="C749" s="6">
        <v>215.18654628072699</v>
      </c>
      <c r="D749" s="6">
        <v>199.78958548459499</v>
      </c>
      <c r="E749" s="6">
        <v>265.75438239240901</v>
      </c>
      <c r="F749" s="6">
        <v>215.18654628072699</v>
      </c>
      <c r="G749" s="6">
        <v>215.18654628072699</v>
      </c>
      <c r="H749" s="6">
        <v>18.701149205644001</v>
      </c>
      <c r="I749" s="6">
        <v>18.701149205644001</v>
      </c>
      <c r="J749" s="6">
        <v>18.701149205644001</v>
      </c>
      <c r="K749" s="6">
        <v>0.490155213556148</v>
      </c>
      <c r="L749" s="6">
        <v>0.490155213556148</v>
      </c>
      <c r="M749" s="6">
        <v>0.490155213556148</v>
      </c>
      <c r="N749" s="6">
        <v>18.2109939920879</v>
      </c>
      <c r="O749" s="6">
        <v>18.2109939920879</v>
      </c>
      <c r="P749" s="6">
        <v>18.2109939920879</v>
      </c>
      <c r="Q749" s="6">
        <v>0</v>
      </c>
      <c r="R749" s="6">
        <v>0</v>
      </c>
      <c r="S749" s="6">
        <v>0</v>
      </c>
      <c r="T749" s="6">
        <v>233.887695486371</v>
      </c>
    </row>
    <row r="750" spans="1:20" ht="13" x14ac:dyDescent="0.15">
      <c r="A750" s="6">
        <v>748</v>
      </c>
      <c r="B750" s="7">
        <v>44246</v>
      </c>
      <c r="C750" s="6">
        <v>215.43663448151901</v>
      </c>
      <c r="D750" s="6">
        <v>202.39575366465499</v>
      </c>
      <c r="E750" s="6">
        <v>264.91190051128802</v>
      </c>
      <c r="F750" s="6">
        <v>215.43663448151901</v>
      </c>
      <c r="G750" s="6">
        <v>215.43663448151901</v>
      </c>
      <c r="H750" s="6">
        <v>16.8278296275294</v>
      </c>
      <c r="I750" s="6">
        <v>16.8278296275294</v>
      </c>
      <c r="J750" s="6">
        <v>16.8278296275294</v>
      </c>
      <c r="K750" s="6">
        <v>-2.2976765066729101E-2</v>
      </c>
      <c r="L750" s="6">
        <v>-2.2976765066729101E-2</v>
      </c>
      <c r="M750" s="6">
        <v>-2.2976765066729101E-2</v>
      </c>
      <c r="N750" s="6">
        <v>16.850806392596201</v>
      </c>
      <c r="O750" s="6">
        <v>16.850806392596201</v>
      </c>
      <c r="P750" s="6">
        <v>16.850806392596201</v>
      </c>
      <c r="Q750" s="6">
        <v>0</v>
      </c>
      <c r="R750" s="6">
        <v>0</v>
      </c>
      <c r="S750" s="6">
        <v>0</v>
      </c>
      <c r="T750" s="6">
        <v>232.26446410904799</v>
      </c>
    </row>
    <row r="751" spans="1:20" ht="13" x14ac:dyDescent="0.15">
      <c r="A751" s="6">
        <v>749</v>
      </c>
      <c r="B751" s="7">
        <v>44249</v>
      </c>
      <c r="C751" s="6">
        <v>216.18689908389601</v>
      </c>
      <c r="D751" s="6">
        <v>197.95945862300999</v>
      </c>
      <c r="E751" s="6">
        <v>263.41337511441998</v>
      </c>
      <c r="F751" s="6">
        <v>216.18689908389601</v>
      </c>
      <c r="G751" s="6">
        <v>216.18689908389601</v>
      </c>
      <c r="H751" s="6">
        <v>13.6771381075037</v>
      </c>
      <c r="I751" s="6">
        <v>13.6771381075037</v>
      </c>
      <c r="J751" s="6">
        <v>13.6771381075037</v>
      </c>
      <c r="K751" s="6">
        <v>1.8228906089407699</v>
      </c>
      <c r="L751" s="6">
        <v>1.8228906089407699</v>
      </c>
      <c r="M751" s="6">
        <v>1.8228906089407699</v>
      </c>
      <c r="N751" s="6">
        <v>11.8542474985629</v>
      </c>
      <c r="O751" s="6">
        <v>11.8542474985629</v>
      </c>
      <c r="P751" s="6">
        <v>11.8542474985629</v>
      </c>
      <c r="Q751" s="6">
        <v>0</v>
      </c>
      <c r="R751" s="6">
        <v>0</v>
      </c>
      <c r="S751" s="6">
        <v>0</v>
      </c>
      <c r="T751" s="6">
        <v>229.8640371914</v>
      </c>
    </row>
    <row r="752" spans="1:20" ht="13" x14ac:dyDescent="0.15">
      <c r="A752" s="6">
        <v>750</v>
      </c>
      <c r="B752" s="7">
        <v>44250</v>
      </c>
      <c r="C752" s="6">
        <v>216.436987284688</v>
      </c>
      <c r="D752" s="6">
        <v>196.17566483780601</v>
      </c>
      <c r="E752" s="6">
        <v>261.210983457179</v>
      </c>
      <c r="F752" s="6">
        <v>216.436987284688</v>
      </c>
      <c r="G752" s="6">
        <v>216.436987284688</v>
      </c>
      <c r="H752" s="6">
        <v>10.806957148137499</v>
      </c>
      <c r="I752" s="6">
        <v>10.806957148137499</v>
      </c>
      <c r="J752" s="6">
        <v>10.806957148137499</v>
      </c>
      <c r="K752" s="6">
        <v>0.84522403106870503</v>
      </c>
      <c r="L752" s="6">
        <v>0.84522403106870503</v>
      </c>
      <c r="M752" s="6">
        <v>0.84522403106870503</v>
      </c>
      <c r="N752" s="6">
        <v>9.9617331170688708</v>
      </c>
      <c r="O752" s="6">
        <v>9.9617331170688708</v>
      </c>
      <c r="P752" s="6">
        <v>9.9617331170688708</v>
      </c>
      <c r="Q752" s="6">
        <v>0</v>
      </c>
      <c r="R752" s="6">
        <v>0</v>
      </c>
      <c r="S752" s="6">
        <v>0</v>
      </c>
      <c r="T752" s="6">
        <v>227.243944432826</v>
      </c>
    </row>
    <row r="753" spans="1:20" ht="13" x14ac:dyDescent="0.15">
      <c r="A753" s="6">
        <v>751</v>
      </c>
      <c r="B753" s="7">
        <v>44251</v>
      </c>
      <c r="C753" s="6">
        <v>216.68707548548099</v>
      </c>
      <c r="D753" s="6">
        <v>191.80486345995601</v>
      </c>
      <c r="E753" s="6">
        <v>257.715471533315</v>
      </c>
      <c r="F753" s="6">
        <v>216.68707548548099</v>
      </c>
      <c r="G753" s="6">
        <v>216.68707548548099</v>
      </c>
      <c r="H753" s="6">
        <v>8.9505643773677601</v>
      </c>
      <c r="I753" s="6">
        <v>8.9505643773677601</v>
      </c>
      <c r="J753" s="6">
        <v>8.9505643773677601</v>
      </c>
      <c r="K753" s="6">
        <v>0.94874688043588795</v>
      </c>
      <c r="L753" s="6">
        <v>0.94874688043588795</v>
      </c>
      <c r="M753" s="6">
        <v>0.94874688043588795</v>
      </c>
      <c r="N753" s="6">
        <v>8.0018174969318707</v>
      </c>
      <c r="O753" s="6">
        <v>8.0018174969318707</v>
      </c>
      <c r="P753" s="6">
        <v>8.0018174969318707</v>
      </c>
      <c r="Q753" s="6">
        <v>0</v>
      </c>
      <c r="R753" s="6">
        <v>0</v>
      </c>
      <c r="S753" s="6">
        <v>0</v>
      </c>
      <c r="T753" s="6">
        <v>225.637639862849</v>
      </c>
    </row>
    <row r="754" spans="1:20" ht="13" x14ac:dyDescent="0.15">
      <c r="A754" s="6">
        <v>752</v>
      </c>
      <c r="B754" s="7">
        <v>44252</v>
      </c>
      <c r="C754" s="6">
        <v>216.93716368627301</v>
      </c>
      <c r="D754" s="6">
        <v>191.300186201023</v>
      </c>
      <c r="E754" s="6">
        <v>255.392581466959</v>
      </c>
      <c r="F754" s="6">
        <v>216.93716368627301</v>
      </c>
      <c r="G754" s="6">
        <v>216.93716368627301</v>
      </c>
      <c r="H754" s="6">
        <v>6.4951771115823798</v>
      </c>
      <c r="I754" s="6">
        <v>6.4951771115823798</v>
      </c>
      <c r="J754" s="6">
        <v>6.4951771115823798</v>
      </c>
      <c r="K754" s="6">
        <v>0.490155213557327</v>
      </c>
      <c r="L754" s="6">
        <v>0.490155213557327</v>
      </c>
      <c r="M754" s="6">
        <v>0.490155213557327</v>
      </c>
      <c r="N754" s="6">
        <v>6.0050218980250598</v>
      </c>
      <c r="O754" s="6">
        <v>6.0050218980250598</v>
      </c>
      <c r="P754" s="6">
        <v>6.0050218980250598</v>
      </c>
      <c r="Q754" s="6">
        <v>0</v>
      </c>
      <c r="R754" s="6">
        <v>0</v>
      </c>
      <c r="S754" s="6">
        <v>0</v>
      </c>
      <c r="T754" s="6">
        <v>223.432340797856</v>
      </c>
    </row>
    <row r="755" spans="1:20" ht="13" x14ac:dyDescent="0.15">
      <c r="A755" s="6">
        <v>753</v>
      </c>
      <c r="B755" s="7">
        <v>44253</v>
      </c>
      <c r="C755" s="6">
        <v>217.187251887065</v>
      </c>
      <c r="D755" s="6">
        <v>190.24811812182</v>
      </c>
      <c r="E755" s="6">
        <v>253.701703764321</v>
      </c>
      <c r="F755" s="6">
        <v>217.187251887065</v>
      </c>
      <c r="G755" s="6">
        <v>217.187251887065</v>
      </c>
      <c r="H755" s="6">
        <v>3.9798439768038798</v>
      </c>
      <c r="I755" s="6">
        <v>3.9798439768038798</v>
      </c>
      <c r="J755" s="6">
        <v>3.9798439768038798</v>
      </c>
      <c r="K755" s="6">
        <v>-2.2976765064782901E-2</v>
      </c>
      <c r="L755" s="6">
        <v>-2.2976765064782901E-2</v>
      </c>
      <c r="M755" s="6">
        <v>-2.2976765064782901E-2</v>
      </c>
      <c r="N755" s="6">
        <v>4.0028207418686597</v>
      </c>
      <c r="O755" s="6">
        <v>4.0028207418686597</v>
      </c>
      <c r="P755" s="6">
        <v>4.0028207418686597</v>
      </c>
      <c r="Q755" s="6">
        <v>0</v>
      </c>
      <c r="R755" s="6">
        <v>0</v>
      </c>
      <c r="S755" s="6">
        <v>0</v>
      </c>
      <c r="T755" s="6">
        <v>221.16709586386901</v>
      </c>
    </row>
    <row r="756" spans="1:20" ht="13" x14ac:dyDescent="0.15">
      <c r="A756" s="6">
        <v>754</v>
      </c>
      <c r="B756" s="7">
        <v>44256</v>
      </c>
      <c r="C756" s="6">
        <v>217.937516489443</v>
      </c>
      <c r="D756" s="6">
        <v>186.78976571224601</v>
      </c>
      <c r="E756" s="6">
        <v>251.55510117228201</v>
      </c>
      <c r="F756" s="6">
        <v>217.937516489443</v>
      </c>
      <c r="G756" s="6">
        <v>217.937516489443</v>
      </c>
      <c r="H756" s="6">
        <v>0.100608850338911</v>
      </c>
      <c r="I756" s="6">
        <v>0.100608850338911</v>
      </c>
      <c r="J756" s="6">
        <v>0.100608850338911</v>
      </c>
      <c r="K756" s="6">
        <v>1.82289060893456</v>
      </c>
      <c r="L756" s="6">
        <v>1.82289060893456</v>
      </c>
      <c r="M756" s="6">
        <v>1.82289060893456</v>
      </c>
      <c r="N756" s="6">
        <v>-1.72228175859564</v>
      </c>
      <c r="O756" s="6">
        <v>-1.72228175859564</v>
      </c>
      <c r="P756" s="6">
        <v>-1.72228175859564</v>
      </c>
      <c r="Q756" s="6">
        <v>0</v>
      </c>
      <c r="R756" s="6">
        <v>0</v>
      </c>
      <c r="S756" s="6">
        <v>0</v>
      </c>
      <c r="T756" s="6">
        <v>218.038125339781</v>
      </c>
    </row>
    <row r="757" spans="1:20" ht="13" x14ac:dyDescent="0.15">
      <c r="A757" s="6">
        <v>755</v>
      </c>
      <c r="B757" s="7">
        <v>44257</v>
      </c>
      <c r="C757" s="6">
        <v>218.18760469023499</v>
      </c>
      <c r="D757" s="6">
        <v>182.504228333459</v>
      </c>
      <c r="E757" s="6">
        <v>248.74652607782701</v>
      </c>
      <c r="F757" s="6">
        <v>218.18760469023499</v>
      </c>
      <c r="G757" s="6">
        <v>218.18760469023499</v>
      </c>
      <c r="H757" s="6">
        <v>-2.5921820775433702</v>
      </c>
      <c r="I757" s="6">
        <v>-2.5921820775433702</v>
      </c>
      <c r="J757" s="6">
        <v>-2.5921820775433702</v>
      </c>
      <c r="K757" s="6">
        <v>0.84522403106887201</v>
      </c>
      <c r="L757" s="6">
        <v>0.84522403106887201</v>
      </c>
      <c r="M757" s="6">
        <v>0.84522403106887201</v>
      </c>
      <c r="N757" s="6">
        <v>-3.4374061086122398</v>
      </c>
      <c r="O757" s="6">
        <v>-3.4374061086122398</v>
      </c>
      <c r="P757" s="6">
        <v>-3.4374061086122398</v>
      </c>
      <c r="Q757" s="6">
        <v>0</v>
      </c>
      <c r="R757" s="6">
        <v>0</v>
      </c>
      <c r="S757" s="6">
        <v>0</v>
      </c>
      <c r="T757" s="6">
        <v>215.595422612692</v>
      </c>
    </row>
    <row r="758" spans="1:20" ht="13" x14ac:dyDescent="0.15">
      <c r="A758" s="6">
        <v>756</v>
      </c>
      <c r="B758" s="7">
        <v>44258</v>
      </c>
      <c r="C758" s="6">
        <v>218.43769289102701</v>
      </c>
      <c r="D758" s="6">
        <v>182.847500078774</v>
      </c>
      <c r="E758" s="6">
        <v>247.982101066539</v>
      </c>
      <c r="F758" s="6">
        <v>218.43769289102701</v>
      </c>
      <c r="G758" s="6">
        <v>218.43769289102701</v>
      </c>
      <c r="H758" s="6">
        <v>-4.0624119279459903</v>
      </c>
      <c r="I758" s="6">
        <v>-4.0624119279459903</v>
      </c>
      <c r="J758" s="6">
        <v>-4.0624119279459903</v>
      </c>
      <c r="K758" s="6">
        <v>0.94874688043773703</v>
      </c>
      <c r="L758" s="6">
        <v>0.94874688043773703</v>
      </c>
      <c r="M758" s="6">
        <v>0.94874688043773703</v>
      </c>
      <c r="N758" s="6">
        <v>-5.0111588083837297</v>
      </c>
      <c r="O758" s="6">
        <v>-5.0111588083837297</v>
      </c>
      <c r="P758" s="6">
        <v>-5.0111588083837297</v>
      </c>
      <c r="Q758" s="6">
        <v>0</v>
      </c>
      <c r="R758" s="6">
        <v>0</v>
      </c>
      <c r="S758" s="6">
        <v>0</v>
      </c>
      <c r="T758" s="6">
        <v>214.375280963081</v>
      </c>
    </row>
    <row r="759" spans="1:20" ht="13" x14ac:dyDescent="0.15">
      <c r="A759" s="6">
        <v>757</v>
      </c>
      <c r="B759" s="7">
        <v>44259</v>
      </c>
      <c r="C759" s="6">
        <v>218.68778109182</v>
      </c>
      <c r="D759" s="6">
        <v>182.481120472166</v>
      </c>
      <c r="E759" s="6">
        <v>243.907798860784</v>
      </c>
      <c r="F759" s="6">
        <v>218.68778109182</v>
      </c>
      <c r="G759" s="6">
        <v>218.68778109182</v>
      </c>
      <c r="H759" s="6">
        <v>-5.9307604867445898</v>
      </c>
      <c r="I759" s="6">
        <v>-5.9307604867445898</v>
      </c>
      <c r="J759" s="6">
        <v>-5.9307604867445898</v>
      </c>
      <c r="K759" s="6">
        <v>0.49015521355448899</v>
      </c>
      <c r="L759" s="6">
        <v>0.49015521355448899</v>
      </c>
      <c r="M759" s="6">
        <v>0.49015521355448899</v>
      </c>
      <c r="N759" s="6">
        <v>-6.42091570029908</v>
      </c>
      <c r="O759" s="6">
        <v>-6.42091570029908</v>
      </c>
      <c r="P759" s="6">
        <v>-6.42091570029908</v>
      </c>
      <c r="Q759" s="6">
        <v>0</v>
      </c>
      <c r="R759" s="6">
        <v>0</v>
      </c>
      <c r="S759" s="6">
        <v>0</v>
      </c>
      <c r="T759" s="6">
        <v>212.75702060507501</v>
      </c>
    </row>
    <row r="760" spans="1:20" ht="13" x14ac:dyDescent="0.15">
      <c r="A760" s="6">
        <v>758</v>
      </c>
      <c r="B760" s="7">
        <v>44260</v>
      </c>
      <c r="C760" s="6">
        <v>218.93786929261199</v>
      </c>
      <c r="D760" s="6">
        <v>180.74313051578</v>
      </c>
      <c r="E760" s="6">
        <v>243.85749234822799</v>
      </c>
      <c r="F760" s="6">
        <v>218.93786929261199</v>
      </c>
      <c r="G760" s="6">
        <v>218.93786929261199</v>
      </c>
      <c r="H760" s="6">
        <v>-7.6705461358367399</v>
      </c>
      <c r="I760" s="6">
        <v>-7.6705461358367399</v>
      </c>
      <c r="J760" s="6">
        <v>-7.6705461358367399</v>
      </c>
      <c r="K760" s="6">
        <v>-2.2976765063282299E-2</v>
      </c>
      <c r="L760" s="6">
        <v>-2.2976765063282299E-2</v>
      </c>
      <c r="M760" s="6">
        <v>-2.2976765063282299E-2</v>
      </c>
      <c r="N760" s="6">
        <v>-7.64756937077345</v>
      </c>
      <c r="O760" s="6">
        <v>-7.64756937077345</v>
      </c>
      <c r="P760" s="6">
        <v>-7.64756937077345</v>
      </c>
      <c r="Q760" s="6">
        <v>0</v>
      </c>
      <c r="R760" s="6">
        <v>0</v>
      </c>
      <c r="S760" s="6">
        <v>0</v>
      </c>
      <c r="T760" s="6">
        <v>211.26732315677501</v>
      </c>
    </row>
    <row r="761" spans="1:20" ht="13" x14ac:dyDescent="0.15">
      <c r="A761" s="6">
        <v>759</v>
      </c>
      <c r="B761" s="7">
        <v>44263</v>
      </c>
      <c r="C761" s="6">
        <v>219.68813389498899</v>
      </c>
      <c r="D761" s="6">
        <v>179.20332185165501</v>
      </c>
      <c r="E761" s="6">
        <v>243.506308770103</v>
      </c>
      <c r="F761" s="6">
        <v>219.68813389498899</v>
      </c>
      <c r="G761" s="6">
        <v>219.68813389498899</v>
      </c>
      <c r="H761" s="6">
        <v>-8.2749823088355505</v>
      </c>
      <c r="I761" s="6">
        <v>-8.2749823088355505</v>
      </c>
      <c r="J761" s="6">
        <v>-8.2749823088355505</v>
      </c>
      <c r="K761" s="6">
        <v>1.82289060893627</v>
      </c>
      <c r="L761" s="6">
        <v>1.82289060893627</v>
      </c>
      <c r="M761" s="6">
        <v>1.82289060893627</v>
      </c>
      <c r="N761" s="6">
        <v>-10.097872917771801</v>
      </c>
      <c r="O761" s="6">
        <v>-10.097872917771801</v>
      </c>
      <c r="P761" s="6">
        <v>-10.097872917771801</v>
      </c>
      <c r="Q761" s="6">
        <v>0</v>
      </c>
      <c r="R761" s="6">
        <v>0</v>
      </c>
      <c r="S761" s="6">
        <v>0</v>
      </c>
      <c r="T761" s="6">
        <v>211.41315158615399</v>
      </c>
    </row>
    <row r="762" spans="1:20" ht="13" x14ac:dyDescent="0.15">
      <c r="A762" s="6">
        <v>760</v>
      </c>
      <c r="B762" s="7">
        <v>44264</v>
      </c>
      <c r="C762" s="6">
        <v>219.93822209578099</v>
      </c>
      <c r="D762" s="6">
        <v>179.97832698438501</v>
      </c>
      <c r="E762" s="6">
        <v>243.18395730281901</v>
      </c>
      <c r="F762" s="6">
        <v>219.93822209578099</v>
      </c>
      <c r="G762" s="6">
        <v>219.93822209578099</v>
      </c>
      <c r="H762" s="6">
        <v>-9.6373176947574404</v>
      </c>
      <c r="I762" s="6">
        <v>-9.6373176947574404</v>
      </c>
      <c r="J762" s="6">
        <v>-9.6373176947574404</v>
      </c>
      <c r="K762" s="6">
        <v>0.84522403106741495</v>
      </c>
      <c r="L762" s="6">
        <v>0.84522403106741495</v>
      </c>
      <c r="M762" s="6">
        <v>0.84522403106741495</v>
      </c>
      <c r="N762" s="6">
        <v>-10.482541725824801</v>
      </c>
      <c r="O762" s="6">
        <v>-10.482541725824801</v>
      </c>
      <c r="P762" s="6">
        <v>-10.482541725824801</v>
      </c>
      <c r="Q762" s="6">
        <v>0</v>
      </c>
      <c r="R762" s="6">
        <v>0</v>
      </c>
      <c r="S762" s="6">
        <v>0</v>
      </c>
      <c r="T762" s="6">
        <v>210.30090440102401</v>
      </c>
    </row>
    <row r="763" spans="1:20" ht="13" x14ac:dyDescent="0.15">
      <c r="A763" s="6">
        <v>761</v>
      </c>
      <c r="B763" s="7">
        <v>44265</v>
      </c>
      <c r="C763" s="6">
        <v>220.188310296574</v>
      </c>
      <c r="D763" s="6">
        <v>177.76150820631801</v>
      </c>
      <c r="E763" s="6">
        <v>241.261434540686</v>
      </c>
      <c r="F763" s="6">
        <v>220.188310296574</v>
      </c>
      <c r="G763" s="6">
        <v>220.188310296574</v>
      </c>
      <c r="H763" s="6">
        <v>-9.7022580046063407</v>
      </c>
      <c r="I763" s="6">
        <v>-9.7022580046063407</v>
      </c>
      <c r="J763" s="6">
        <v>-9.7022580046063407</v>
      </c>
      <c r="K763" s="6">
        <v>0.94874688043690703</v>
      </c>
      <c r="L763" s="6">
        <v>0.94874688043690703</v>
      </c>
      <c r="M763" s="6">
        <v>0.94874688043690703</v>
      </c>
      <c r="N763" s="6">
        <v>-10.6510048850432</v>
      </c>
      <c r="O763" s="6">
        <v>-10.6510048850432</v>
      </c>
      <c r="P763" s="6">
        <v>-10.6510048850432</v>
      </c>
      <c r="Q763" s="6">
        <v>0</v>
      </c>
      <c r="R763" s="6">
        <v>0</v>
      </c>
      <c r="S763" s="6">
        <v>0</v>
      </c>
      <c r="T763" s="6">
        <v>210.48605229196701</v>
      </c>
    </row>
    <row r="764" spans="1:20" ht="13" x14ac:dyDescent="0.15">
      <c r="A764" s="6">
        <v>762</v>
      </c>
      <c r="B764" s="7">
        <v>44266</v>
      </c>
      <c r="C764" s="6">
        <v>220.43839849736599</v>
      </c>
      <c r="D764" s="6">
        <v>177.902758831732</v>
      </c>
      <c r="E764" s="6">
        <v>241.602294333381</v>
      </c>
      <c r="F764" s="6">
        <v>220.43839849736599</v>
      </c>
      <c r="G764" s="6">
        <v>220.43839849736599</v>
      </c>
      <c r="H764" s="6">
        <v>-10.1194084313052</v>
      </c>
      <c r="I764" s="6">
        <v>-10.1194084313052</v>
      </c>
      <c r="J764" s="6">
        <v>-10.1194084313052</v>
      </c>
      <c r="K764" s="6">
        <v>0.490155213559685</v>
      </c>
      <c r="L764" s="6">
        <v>0.490155213559685</v>
      </c>
      <c r="M764" s="6">
        <v>0.490155213559685</v>
      </c>
      <c r="N764" s="6">
        <v>-10.609563644864901</v>
      </c>
      <c r="O764" s="6">
        <v>-10.609563644864901</v>
      </c>
      <c r="P764" s="6">
        <v>-10.609563644864901</v>
      </c>
      <c r="Q764" s="6">
        <v>0</v>
      </c>
      <c r="R764" s="6">
        <v>0</v>
      </c>
      <c r="S764" s="6">
        <v>0</v>
      </c>
      <c r="T764" s="6">
        <v>210.31899006606099</v>
      </c>
    </row>
    <row r="765" spans="1:20" ht="13" x14ac:dyDescent="0.15">
      <c r="A765" s="6">
        <v>763</v>
      </c>
      <c r="B765" s="7">
        <v>44267</v>
      </c>
      <c r="C765" s="6">
        <v>220.68848669815901</v>
      </c>
      <c r="D765" s="6">
        <v>178.72146704264799</v>
      </c>
      <c r="E765" s="6">
        <v>243.35953098786899</v>
      </c>
      <c r="F765" s="6">
        <v>220.68848669815901</v>
      </c>
      <c r="G765" s="6">
        <v>220.68848669815901</v>
      </c>
      <c r="H765" s="6">
        <v>-10.391447466796</v>
      </c>
      <c r="I765" s="6">
        <v>-10.391447466796</v>
      </c>
      <c r="J765" s="6">
        <v>-10.391447466796</v>
      </c>
      <c r="K765" s="6">
        <v>-2.2976765065894501E-2</v>
      </c>
      <c r="L765" s="6">
        <v>-2.2976765065894501E-2</v>
      </c>
      <c r="M765" s="6">
        <v>-2.2976765065894501E-2</v>
      </c>
      <c r="N765" s="6">
        <v>-10.3684707017301</v>
      </c>
      <c r="O765" s="6">
        <v>-10.3684707017301</v>
      </c>
      <c r="P765" s="6">
        <v>-10.3684707017301</v>
      </c>
      <c r="Q765" s="6">
        <v>0</v>
      </c>
      <c r="R765" s="6">
        <v>0</v>
      </c>
      <c r="S765" s="6">
        <v>0</v>
      </c>
      <c r="T765" s="6">
        <v>210.29703923136299</v>
      </c>
    </row>
    <row r="766" spans="1:20" ht="13" x14ac:dyDescent="0.15">
      <c r="A766" s="6">
        <v>764</v>
      </c>
      <c r="B766" s="7">
        <v>44270</v>
      </c>
      <c r="C766" s="6">
        <v>221.43875130053601</v>
      </c>
      <c r="D766" s="6">
        <v>182.98773643211101</v>
      </c>
      <c r="E766" s="6">
        <v>248.15021777029099</v>
      </c>
      <c r="F766" s="6">
        <v>221.43875130053601</v>
      </c>
      <c r="G766" s="6">
        <v>221.43875130053601</v>
      </c>
      <c r="H766" s="6">
        <v>-6.7782903746979999</v>
      </c>
      <c r="I766" s="6">
        <v>-6.7782903746979999</v>
      </c>
      <c r="J766" s="6">
        <v>-6.7782903746979999</v>
      </c>
      <c r="K766" s="6">
        <v>1.82289060893677</v>
      </c>
      <c r="L766" s="6">
        <v>1.82289060893677</v>
      </c>
      <c r="M766" s="6">
        <v>1.82289060893677</v>
      </c>
      <c r="N766" s="6">
        <v>-8.6011809836347801</v>
      </c>
      <c r="O766" s="6">
        <v>-8.6011809836347801</v>
      </c>
      <c r="P766" s="6">
        <v>-8.6011809836347801</v>
      </c>
      <c r="Q766" s="6">
        <v>0</v>
      </c>
      <c r="R766" s="6">
        <v>0</v>
      </c>
      <c r="S766" s="6">
        <v>0</v>
      </c>
      <c r="T766" s="6">
        <v>214.66046092583801</v>
      </c>
    </row>
    <row r="767" spans="1:20" ht="13" x14ac:dyDescent="0.15">
      <c r="A767" s="6">
        <v>765</v>
      </c>
      <c r="B767" s="7">
        <v>44271</v>
      </c>
      <c r="C767" s="6">
        <v>221.68883949993699</v>
      </c>
      <c r="D767" s="6">
        <v>181.11094575905099</v>
      </c>
      <c r="E767" s="6">
        <v>248.98788563605501</v>
      </c>
      <c r="F767" s="6">
        <v>221.68883949993699</v>
      </c>
      <c r="G767" s="6">
        <v>221.68883949993699</v>
      </c>
      <c r="H767" s="6">
        <v>-6.8839566915044097</v>
      </c>
      <c r="I767" s="6">
        <v>-6.8839566915044097</v>
      </c>
      <c r="J767" s="6">
        <v>-6.8839566915044097</v>
      </c>
      <c r="K767" s="6">
        <v>0.84522403106677002</v>
      </c>
      <c r="L767" s="6">
        <v>0.84522403106677002</v>
      </c>
      <c r="M767" s="6">
        <v>0.84522403106677002</v>
      </c>
      <c r="N767" s="6">
        <v>-7.7291807225711802</v>
      </c>
      <c r="O767" s="6">
        <v>-7.7291807225711802</v>
      </c>
      <c r="P767" s="6">
        <v>-7.7291807225711802</v>
      </c>
      <c r="Q767" s="6">
        <v>0</v>
      </c>
      <c r="R767" s="6">
        <v>0</v>
      </c>
      <c r="S767" s="6">
        <v>0</v>
      </c>
      <c r="T767" s="6">
        <v>214.80488280843301</v>
      </c>
    </row>
    <row r="768" spans="1:20" ht="13" x14ac:dyDescent="0.15">
      <c r="A768" s="6">
        <v>766</v>
      </c>
      <c r="B768" s="7">
        <v>44272</v>
      </c>
      <c r="C768" s="6">
        <v>221.938927699338</v>
      </c>
      <c r="D768" s="6">
        <v>183.69795990215499</v>
      </c>
      <c r="E768" s="6">
        <v>249.30856730967099</v>
      </c>
      <c r="F768" s="6">
        <v>221.938927699338</v>
      </c>
      <c r="G768" s="6">
        <v>221.938927699338</v>
      </c>
      <c r="H768" s="6">
        <v>-5.8045103374168496</v>
      </c>
      <c r="I768" s="6">
        <v>-5.8045103374168496</v>
      </c>
      <c r="J768" s="6">
        <v>-5.8045103374168496</v>
      </c>
      <c r="K768" s="6">
        <v>0.94874688043997002</v>
      </c>
      <c r="L768" s="6">
        <v>0.94874688043997002</v>
      </c>
      <c r="M768" s="6">
        <v>0.94874688043997002</v>
      </c>
      <c r="N768" s="6">
        <v>-6.7532572178568202</v>
      </c>
      <c r="O768" s="6">
        <v>-6.7532572178568202</v>
      </c>
      <c r="P768" s="6">
        <v>-6.7532572178568202</v>
      </c>
      <c r="Q768" s="6">
        <v>0</v>
      </c>
      <c r="R768" s="6">
        <v>0</v>
      </c>
      <c r="S768" s="6">
        <v>0</v>
      </c>
      <c r="T768" s="6">
        <v>216.13441736192101</v>
      </c>
    </row>
    <row r="769" spans="1:20" ht="13" x14ac:dyDescent="0.15">
      <c r="A769" s="6">
        <v>767</v>
      </c>
      <c r="B769" s="7">
        <v>44273</v>
      </c>
      <c r="C769" s="6">
        <v>222.18901589874</v>
      </c>
      <c r="D769" s="6">
        <v>186.31517381100201</v>
      </c>
      <c r="E769" s="6">
        <v>247.061091840221</v>
      </c>
      <c r="F769" s="6">
        <v>222.18901589874</v>
      </c>
      <c r="G769" s="6">
        <v>222.18901589874</v>
      </c>
      <c r="H769" s="6">
        <v>-5.2075084367878297</v>
      </c>
      <c r="I769" s="6">
        <v>-5.2075084367878297</v>
      </c>
      <c r="J769" s="6">
        <v>-5.2075084367878297</v>
      </c>
      <c r="K769" s="6">
        <v>0.49015521355684799</v>
      </c>
      <c r="L769" s="6">
        <v>0.49015521355684799</v>
      </c>
      <c r="M769" s="6">
        <v>0.49015521355684799</v>
      </c>
      <c r="N769" s="6">
        <v>-5.6976636503446798</v>
      </c>
      <c r="O769" s="6">
        <v>-5.6976636503446798</v>
      </c>
      <c r="P769" s="6">
        <v>-5.6976636503446798</v>
      </c>
      <c r="Q769" s="6">
        <v>0</v>
      </c>
      <c r="R769" s="6">
        <v>0</v>
      </c>
      <c r="S769" s="6">
        <v>0</v>
      </c>
      <c r="T769" s="6">
        <v>216.98150746195199</v>
      </c>
    </row>
    <row r="770" spans="1:20" ht="13" x14ac:dyDescent="0.15">
      <c r="A770" s="6">
        <v>768</v>
      </c>
      <c r="B770" s="7">
        <v>44274</v>
      </c>
      <c r="C770" s="6">
        <v>222.439104098141</v>
      </c>
      <c r="D770" s="6">
        <v>184.06797152499001</v>
      </c>
      <c r="E770" s="6">
        <v>251.74267141887</v>
      </c>
      <c r="F770" s="6">
        <v>222.439104098141</v>
      </c>
      <c r="G770" s="6">
        <v>222.439104098141</v>
      </c>
      <c r="H770" s="6">
        <v>-4.6099281239563403</v>
      </c>
      <c r="I770" s="6">
        <v>-4.6099281239563403</v>
      </c>
      <c r="J770" s="6">
        <v>-4.6099281239563403</v>
      </c>
      <c r="K770" s="6">
        <v>-2.2976765068506499E-2</v>
      </c>
      <c r="L770" s="6">
        <v>-2.2976765068506499E-2</v>
      </c>
      <c r="M770" s="6">
        <v>-2.2976765068506499E-2</v>
      </c>
      <c r="N770" s="6">
        <v>-4.5869513588878403</v>
      </c>
      <c r="O770" s="6">
        <v>-4.5869513588878403</v>
      </c>
      <c r="P770" s="6">
        <v>-4.5869513588878403</v>
      </c>
      <c r="Q770" s="6">
        <v>0</v>
      </c>
      <c r="R770" s="6">
        <v>0</v>
      </c>
      <c r="S770" s="6">
        <v>0</v>
      </c>
      <c r="T770" s="6">
        <v>217.82917597418501</v>
      </c>
    </row>
    <row r="771" spans="1:20" ht="13" x14ac:dyDescent="0.15">
      <c r="A771" s="6">
        <v>769</v>
      </c>
      <c r="B771" s="7">
        <v>44277</v>
      </c>
      <c r="C771" s="6">
        <v>223.18936869634501</v>
      </c>
      <c r="D771" s="6">
        <v>188.94465123194601</v>
      </c>
      <c r="E771" s="6">
        <v>256.35790053688203</v>
      </c>
      <c r="F771" s="6">
        <v>223.18936869634501</v>
      </c>
      <c r="G771" s="6">
        <v>223.18936869634501</v>
      </c>
      <c r="H771" s="6">
        <v>0.66123228010468404</v>
      </c>
      <c r="I771" s="6">
        <v>0.66123228010468404</v>
      </c>
      <c r="J771" s="6">
        <v>0.66123228010468404</v>
      </c>
      <c r="K771" s="6">
        <v>1.82289060893178</v>
      </c>
      <c r="L771" s="6">
        <v>1.82289060893178</v>
      </c>
      <c r="M771" s="6">
        <v>1.82289060893178</v>
      </c>
      <c r="N771" s="6">
        <v>-1.1616583288270901</v>
      </c>
      <c r="O771" s="6">
        <v>-1.1616583288270901</v>
      </c>
      <c r="P771" s="6">
        <v>-1.1616583288270901</v>
      </c>
      <c r="Q771" s="6">
        <v>0</v>
      </c>
      <c r="R771" s="6">
        <v>0</v>
      </c>
      <c r="S771" s="6">
        <v>0</v>
      </c>
      <c r="T771" s="6">
        <v>223.85060097644899</v>
      </c>
    </row>
    <row r="772" spans="1:20" ht="13" x14ac:dyDescent="0.15">
      <c r="A772" s="6">
        <v>770</v>
      </c>
      <c r="B772" s="7">
        <v>44278</v>
      </c>
      <c r="C772" s="6">
        <v>223.43945689574599</v>
      </c>
      <c r="D772" s="6">
        <v>191.07267872485801</v>
      </c>
      <c r="E772" s="6">
        <v>258.53312193243698</v>
      </c>
      <c r="F772" s="6">
        <v>223.43945689574599</v>
      </c>
      <c r="G772" s="6">
        <v>223.43945689574599</v>
      </c>
      <c r="H772" s="6">
        <v>0.78363717834554703</v>
      </c>
      <c r="I772" s="6">
        <v>0.78363717834554703</v>
      </c>
      <c r="J772" s="6">
        <v>0.78363717834554703</v>
      </c>
      <c r="K772" s="6">
        <v>0.84522403106612498</v>
      </c>
      <c r="L772" s="6">
        <v>0.84522403106612498</v>
      </c>
      <c r="M772" s="6">
        <v>0.84522403106612498</v>
      </c>
      <c r="N772" s="6">
        <v>-6.1586852720577498E-2</v>
      </c>
      <c r="O772" s="6">
        <v>-6.1586852720577498E-2</v>
      </c>
      <c r="P772" s="6">
        <v>-6.1586852720577498E-2</v>
      </c>
      <c r="Q772" s="6">
        <v>0</v>
      </c>
      <c r="R772" s="6">
        <v>0</v>
      </c>
      <c r="S772" s="6">
        <v>0</v>
      </c>
      <c r="T772" s="6">
        <v>224.22309407409199</v>
      </c>
    </row>
    <row r="773" spans="1:20" ht="13" x14ac:dyDescent="0.15">
      <c r="A773" s="6">
        <v>771</v>
      </c>
      <c r="B773" s="7">
        <v>44279</v>
      </c>
      <c r="C773" s="6">
        <v>223.689545095147</v>
      </c>
      <c r="D773" s="6">
        <v>195.092629909501</v>
      </c>
      <c r="E773" s="6">
        <v>255.400800065883</v>
      </c>
      <c r="F773" s="6">
        <v>223.689545095147</v>
      </c>
      <c r="G773" s="6">
        <v>223.689545095147</v>
      </c>
      <c r="H773" s="6">
        <v>1.93486584832733</v>
      </c>
      <c r="I773" s="6">
        <v>1.93486584832733</v>
      </c>
      <c r="J773" s="6">
        <v>1.93486584832733</v>
      </c>
      <c r="K773" s="6">
        <v>0.94874688043646005</v>
      </c>
      <c r="L773" s="6">
        <v>0.94874688043646005</v>
      </c>
      <c r="M773" s="6">
        <v>0.94874688043646005</v>
      </c>
      <c r="N773" s="6">
        <v>0.98611896789087095</v>
      </c>
      <c r="O773" s="6">
        <v>0.98611896789087095</v>
      </c>
      <c r="P773" s="6">
        <v>0.98611896789087095</v>
      </c>
      <c r="Q773" s="6">
        <v>0</v>
      </c>
      <c r="R773" s="6">
        <v>0</v>
      </c>
      <c r="S773" s="6">
        <v>0</v>
      </c>
      <c r="T773" s="6">
        <v>225.624410943475</v>
      </c>
    </row>
    <row r="774" spans="1:20" ht="13" x14ac:dyDescent="0.15">
      <c r="A774" s="6">
        <v>772</v>
      </c>
      <c r="B774" s="7">
        <v>44280</v>
      </c>
      <c r="C774" s="6">
        <v>223.939633294549</v>
      </c>
      <c r="D774" s="6">
        <v>192.22458682534901</v>
      </c>
      <c r="E774" s="6">
        <v>257.64306189287697</v>
      </c>
      <c r="F774" s="6">
        <v>223.939633294549</v>
      </c>
      <c r="G774" s="6">
        <v>223.939633294549</v>
      </c>
      <c r="H774" s="6">
        <v>2.4563962536869699</v>
      </c>
      <c r="I774" s="6">
        <v>2.4563962536869699</v>
      </c>
      <c r="J774" s="6">
        <v>2.4563962536869699</v>
      </c>
      <c r="K774" s="6">
        <v>0.49015521355400998</v>
      </c>
      <c r="L774" s="6">
        <v>0.49015521355400998</v>
      </c>
      <c r="M774" s="6">
        <v>0.49015521355400998</v>
      </c>
      <c r="N774" s="6">
        <v>1.96624104013296</v>
      </c>
      <c r="O774" s="6">
        <v>1.96624104013296</v>
      </c>
      <c r="P774" s="6">
        <v>1.96624104013296</v>
      </c>
      <c r="Q774" s="6">
        <v>0</v>
      </c>
      <c r="R774" s="6">
        <v>0</v>
      </c>
      <c r="S774" s="6">
        <v>0</v>
      </c>
      <c r="T774" s="6">
        <v>226.39602954823599</v>
      </c>
    </row>
    <row r="775" spans="1:20" ht="13" x14ac:dyDescent="0.15">
      <c r="A775" s="6">
        <v>773</v>
      </c>
      <c r="B775" s="7">
        <v>44281</v>
      </c>
      <c r="C775" s="6">
        <v>224.18972149395</v>
      </c>
      <c r="D775" s="6">
        <v>195.79037965230401</v>
      </c>
      <c r="E775" s="6">
        <v>256.91082277663998</v>
      </c>
      <c r="F775" s="6">
        <v>224.18972149395</v>
      </c>
      <c r="G775" s="6">
        <v>224.18972149395</v>
      </c>
      <c r="H775" s="6">
        <v>2.8434145448695198</v>
      </c>
      <c r="I775" s="6">
        <v>2.8434145448695198</v>
      </c>
      <c r="J775" s="6">
        <v>2.8434145448695198</v>
      </c>
      <c r="K775" s="6">
        <v>-2.2976765066560201E-2</v>
      </c>
      <c r="L775" s="6">
        <v>-2.2976765066560201E-2</v>
      </c>
      <c r="M775" s="6">
        <v>-2.2976765066560201E-2</v>
      </c>
      <c r="N775" s="6">
        <v>2.86639130993608</v>
      </c>
      <c r="O775" s="6">
        <v>2.86639130993608</v>
      </c>
      <c r="P775" s="6">
        <v>2.86639130993608</v>
      </c>
      <c r="Q775" s="6">
        <v>0</v>
      </c>
      <c r="R775" s="6">
        <v>0</v>
      </c>
      <c r="S775" s="6">
        <v>0</v>
      </c>
      <c r="T775" s="6">
        <v>227.03313603882</v>
      </c>
    </row>
    <row r="776" spans="1:20" ht="13" x14ac:dyDescent="0.15">
      <c r="A776" s="6">
        <v>774</v>
      </c>
      <c r="B776" s="7">
        <v>44284</v>
      </c>
      <c r="C776" s="6">
        <v>224.93998609215399</v>
      </c>
      <c r="D776" s="6">
        <v>199.15512557628099</v>
      </c>
      <c r="E776" s="6">
        <v>264.88550067168899</v>
      </c>
      <c r="F776" s="6">
        <v>224.93998609215399</v>
      </c>
      <c r="G776" s="6">
        <v>224.93998609215399</v>
      </c>
      <c r="H776" s="6">
        <v>6.8308424110444301</v>
      </c>
      <c r="I776" s="6">
        <v>6.8308424110444301</v>
      </c>
      <c r="J776" s="6">
        <v>6.8308424110444301</v>
      </c>
      <c r="K776" s="6">
        <v>1.8228906089322801</v>
      </c>
      <c r="L776" s="6">
        <v>1.8228906089322801</v>
      </c>
      <c r="M776" s="6">
        <v>1.8228906089322801</v>
      </c>
      <c r="N776" s="6">
        <v>5.0079518021121503</v>
      </c>
      <c r="O776" s="6">
        <v>5.0079518021121503</v>
      </c>
      <c r="P776" s="6">
        <v>5.0079518021121503</v>
      </c>
      <c r="Q776" s="6">
        <v>0</v>
      </c>
      <c r="R776" s="6">
        <v>0</v>
      </c>
      <c r="S776" s="6">
        <v>0</v>
      </c>
      <c r="T776" s="6">
        <v>231.770828503198</v>
      </c>
    </row>
    <row r="777" spans="1:20" ht="13" x14ac:dyDescent="0.15">
      <c r="A777" s="6">
        <v>775</v>
      </c>
      <c r="B777" s="7">
        <v>44285</v>
      </c>
      <c r="C777" s="6">
        <v>225.19007429155499</v>
      </c>
      <c r="D777" s="6">
        <v>199.910307719993</v>
      </c>
      <c r="E777" s="6">
        <v>264.30693874404301</v>
      </c>
      <c r="F777" s="6">
        <v>225.19007429155499</v>
      </c>
      <c r="G777" s="6">
        <v>225.19007429155499</v>
      </c>
      <c r="H777" s="6">
        <v>6.3692577539935202</v>
      </c>
      <c r="I777" s="6">
        <v>6.3692577539935202</v>
      </c>
      <c r="J777" s="6">
        <v>6.3692577539935202</v>
      </c>
      <c r="K777" s="6">
        <v>0.84522403106547905</v>
      </c>
      <c r="L777" s="6">
        <v>0.84522403106547905</v>
      </c>
      <c r="M777" s="6">
        <v>0.84522403106547905</v>
      </c>
      <c r="N777" s="6">
        <v>5.5240337229280403</v>
      </c>
      <c r="O777" s="6">
        <v>5.5240337229280403</v>
      </c>
      <c r="P777" s="6">
        <v>5.5240337229280403</v>
      </c>
      <c r="Q777" s="6">
        <v>0</v>
      </c>
      <c r="R777" s="6">
        <v>0</v>
      </c>
      <c r="S777" s="6">
        <v>0</v>
      </c>
      <c r="T777" s="6">
        <v>231.55933204554901</v>
      </c>
    </row>
    <row r="778" spans="1:20" ht="13" x14ac:dyDescent="0.15">
      <c r="A778" s="6">
        <v>776</v>
      </c>
      <c r="B778" s="7">
        <v>44286</v>
      </c>
      <c r="C778" s="6">
        <v>225.44016249095699</v>
      </c>
      <c r="D778" s="6">
        <v>197.830262020145</v>
      </c>
      <c r="E778" s="6">
        <v>261.55412264246399</v>
      </c>
      <c r="F778" s="6">
        <v>225.44016249095699</v>
      </c>
      <c r="G778" s="6">
        <v>225.44016249095699</v>
      </c>
      <c r="H778" s="6">
        <v>6.8912401781585997</v>
      </c>
      <c r="I778" s="6">
        <v>6.8912401781585997</v>
      </c>
      <c r="J778" s="6">
        <v>6.8912401781585997</v>
      </c>
      <c r="K778" s="6">
        <v>0.94874688043830901</v>
      </c>
      <c r="L778" s="6">
        <v>0.94874688043830901</v>
      </c>
      <c r="M778" s="6">
        <v>0.94874688043830901</v>
      </c>
      <c r="N778" s="6">
        <v>5.94249329772029</v>
      </c>
      <c r="O778" s="6">
        <v>5.94249329772029</v>
      </c>
      <c r="P778" s="6">
        <v>5.94249329772029</v>
      </c>
      <c r="Q778" s="6">
        <v>0</v>
      </c>
      <c r="R778" s="6">
        <v>0</v>
      </c>
      <c r="S778" s="6">
        <v>0</v>
      </c>
      <c r="T778" s="6">
        <v>232.33140266911499</v>
      </c>
    </row>
    <row r="779" spans="1:20" ht="13" x14ac:dyDescent="0.15">
      <c r="A779" s="6">
        <v>777</v>
      </c>
      <c r="B779" s="7">
        <v>44287</v>
      </c>
      <c r="C779" s="6">
        <v>225.690250690358</v>
      </c>
      <c r="D779" s="6">
        <v>200.94553663536399</v>
      </c>
      <c r="E779" s="6">
        <v>265.19844779056899</v>
      </c>
      <c r="F779" s="6">
        <v>225.690250690358</v>
      </c>
      <c r="G779" s="6">
        <v>225.690250690358</v>
      </c>
      <c r="H779" s="6">
        <v>6.7579594389494</v>
      </c>
      <c r="I779" s="6">
        <v>6.7579594389494</v>
      </c>
      <c r="J779" s="6">
        <v>6.7579594389494</v>
      </c>
      <c r="K779" s="6">
        <v>0.49015521355518898</v>
      </c>
      <c r="L779" s="6">
        <v>0.49015521355518898</v>
      </c>
      <c r="M779" s="6">
        <v>0.49015521355518898</v>
      </c>
      <c r="N779" s="6">
        <v>6.2678042253942099</v>
      </c>
      <c r="O779" s="6">
        <v>6.2678042253942099</v>
      </c>
      <c r="P779" s="6">
        <v>6.2678042253942099</v>
      </c>
      <c r="Q779" s="6">
        <v>0</v>
      </c>
      <c r="R779" s="6">
        <v>0</v>
      </c>
      <c r="S779" s="6">
        <v>0</v>
      </c>
      <c r="T779" s="6">
        <v>232.448210129307</v>
      </c>
    </row>
    <row r="780" spans="1:20" ht="13" x14ac:dyDescent="0.15">
      <c r="A780" s="6">
        <v>778</v>
      </c>
      <c r="B780" s="7">
        <v>44291</v>
      </c>
      <c r="C780" s="6">
        <v>226.69060348796299</v>
      </c>
      <c r="D780" s="6">
        <v>203.84100507465701</v>
      </c>
      <c r="E780" s="6">
        <v>267.18235110325202</v>
      </c>
      <c r="F780" s="6">
        <v>226.69060348796299</v>
      </c>
      <c r="G780" s="6">
        <v>226.69060348796299</v>
      </c>
      <c r="H780" s="6">
        <v>8.6124347059649899</v>
      </c>
      <c r="I780" s="6">
        <v>8.6124347059649899</v>
      </c>
      <c r="J780" s="6">
        <v>8.6124347059649899</v>
      </c>
      <c r="K780" s="6">
        <v>1.8228906089352099</v>
      </c>
      <c r="L780" s="6">
        <v>1.8228906089352099</v>
      </c>
      <c r="M780" s="6">
        <v>1.8228906089352099</v>
      </c>
      <c r="N780" s="6">
        <v>6.78954409702978</v>
      </c>
      <c r="O780" s="6">
        <v>6.78954409702978</v>
      </c>
      <c r="P780" s="6">
        <v>6.78954409702978</v>
      </c>
      <c r="Q780" s="6">
        <v>0</v>
      </c>
      <c r="R780" s="6">
        <v>0</v>
      </c>
      <c r="S780" s="6">
        <v>0</v>
      </c>
      <c r="T780" s="6">
        <v>235.30303819392799</v>
      </c>
    </row>
    <row r="781" spans="1:20" ht="13" x14ac:dyDescent="0.15">
      <c r="A781" s="6">
        <v>779</v>
      </c>
      <c r="B781" s="7">
        <v>44292</v>
      </c>
      <c r="C781" s="6">
        <v>226.94069168736499</v>
      </c>
      <c r="D781" s="6">
        <v>205.21992136319801</v>
      </c>
      <c r="E781" s="6">
        <v>265.29984096267901</v>
      </c>
      <c r="F781" s="6">
        <v>226.94069168736499</v>
      </c>
      <c r="G781" s="6">
        <v>226.94069168736499</v>
      </c>
      <c r="H781" s="6">
        <v>7.6180516035974897</v>
      </c>
      <c r="I781" s="6">
        <v>7.6180516035974897</v>
      </c>
      <c r="J781" s="6">
        <v>7.6180516035974897</v>
      </c>
      <c r="K781" s="6">
        <v>0.845224031064022</v>
      </c>
      <c r="L781" s="6">
        <v>0.845224031064022</v>
      </c>
      <c r="M781" s="6">
        <v>0.845224031064022</v>
      </c>
      <c r="N781" s="6">
        <v>6.7728275725334601</v>
      </c>
      <c r="O781" s="6">
        <v>6.7728275725334601</v>
      </c>
      <c r="P781" s="6">
        <v>6.7728275725334601</v>
      </c>
      <c r="Q781" s="6">
        <v>0</v>
      </c>
      <c r="R781" s="6">
        <v>0</v>
      </c>
      <c r="S781" s="6">
        <v>0</v>
      </c>
      <c r="T781" s="6">
        <v>234.55874329096201</v>
      </c>
    </row>
    <row r="782" spans="1:20" ht="13" x14ac:dyDescent="0.15">
      <c r="A782" s="6">
        <v>780</v>
      </c>
      <c r="B782" s="7">
        <v>44293</v>
      </c>
      <c r="C782" s="6">
        <v>227.19077988676599</v>
      </c>
      <c r="D782" s="6">
        <v>203.43566654627401</v>
      </c>
      <c r="E782" s="6">
        <v>268.25149692921002</v>
      </c>
      <c r="F782" s="6">
        <v>227.19077988676599</v>
      </c>
      <c r="G782" s="6">
        <v>227.19077988676599</v>
      </c>
      <c r="H782" s="6">
        <v>7.6664744279269597</v>
      </c>
      <c r="I782" s="6">
        <v>7.6664744279269597</v>
      </c>
      <c r="J782" s="6">
        <v>7.6664744279269597</v>
      </c>
      <c r="K782" s="6">
        <v>0.94874688043747901</v>
      </c>
      <c r="L782" s="6">
        <v>0.94874688043747901</v>
      </c>
      <c r="M782" s="6">
        <v>0.94874688043747901</v>
      </c>
      <c r="N782" s="6">
        <v>6.7177275474894804</v>
      </c>
      <c r="O782" s="6">
        <v>6.7177275474894804</v>
      </c>
      <c r="P782" s="6">
        <v>6.7177275474894804</v>
      </c>
      <c r="Q782" s="6">
        <v>0</v>
      </c>
      <c r="R782" s="6">
        <v>0</v>
      </c>
      <c r="S782" s="6">
        <v>0</v>
      </c>
      <c r="T782" s="6">
        <v>234.85725431469299</v>
      </c>
    </row>
    <row r="783" spans="1:20" ht="13" x14ac:dyDescent="0.15">
      <c r="A783" s="6">
        <v>781</v>
      </c>
      <c r="B783" s="7">
        <v>44294</v>
      </c>
      <c r="C783" s="6">
        <v>227.440868086167</v>
      </c>
      <c r="D783" s="6">
        <v>201.31443147944901</v>
      </c>
      <c r="E783" s="6">
        <v>265.76806999441402</v>
      </c>
      <c r="F783" s="6">
        <v>227.440868086167</v>
      </c>
      <c r="G783" s="6">
        <v>227.440868086167</v>
      </c>
      <c r="H783" s="6">
        <v>7.1240945243100402</v>
      </c>
      <c r="I783" s="6">
        <v>7.1240945243100402</v>
      </c>
      <c r="J783" s="6">
        <v>7.1240945243100402</v>
      </c>
      <c r="K783" s="6">
        <v>0.49015521355490999</v>
      </c>
      <c r="L783" s="6">
        <v>0.49015521355490999</v>
      </c>
      <c r="M783" s="6">
        <v>0.49015521355490999</v>
      </c>
      <c r="N783" s="6">
        <v>6.6339393107551299</v>
      </c>
      <c r="O783" s="6">
        <v>6.6339393107551299</v>
      </c>
      <c r="P783" s="6">
        <v>6.6339393107551299</v>
      </c>
      <c r="Q783" s="6">
        <v>0</v>
      </c>
      <c r="R783" s="6">
        <v>0</v>
      </c>
      <c r="S783" s="6">
        <v>0</v>
      </c>
      <c r="T783" s="6">
        <v>234.56496261047701</v>
      </c>
    </row>
    <row r="784" spans="1:20" ht="13" x14ac:dyDescent="0.15">
      <c r="A784" s="6">
        <v>782</v>
      </c>
      <c r="B784" s="7">
        <v>44295</v>
      </c>
      <c r="C784" s="6">
        <v>227.69095628556801</v>
      </c>
      <c r="D784" s="6">
        <v>200.989142077076</v>
      </c>
      <c r="E784" s="6">
        <v>264.02724735064999</v>
      </c>
      <c r="F784" s="6">
        <v>227.69095628556801</v>
      </c>
      <c r="G784" s="6">
        <v>227.69095628556801</v>
      </c>
      <c r="H784" s="6">
        <v>6.50722129021739</v>
      </c>
      <c r="I784" s="6">
        <v>6.50722129021739</v>
      </c>
      <c r="J784" s="6">
        <v>6.50722129021739</v>
      </c>
      <c r="K784" s="6">
        <v>-2.2976765058555101E-2</v>
      </c>
      <c r="L784" s="6">
        <v>-2.2976765058555101E-2</v>
      </c>
      <c r="M784" s="6">
        <v>-2.2976765058555101E-2</v>
      </c>
      <c r="N784" s="6">
        <v>6.5301980552759504</v>
      </c>
      <c r="O784" s="6">
        <v>6.5301980552759504</v>
      </c>
      <c r="P784" s="6">
        <v>6.5301980552759504</v>
      </c>
      <c r="Q784" s="6">
        <v>0</v>
      </c>
      <c r="R784" s="6">
        <v>0</v>
      </c>
      <c r="S784" s="6">
        <v>0</v>
      </c>
      <c r="T784" s="6">
        <v>234.19817757578599</v>
      </c>
    </row>
    <row r="785" spans="1:20" ht="13" x14ac:dyDescent="0.15">
      <c r="A785" s="6">
        <v>783</v>
      </c>
      <c r="B785" s="7">
        <v>44298</v>
      </c>
      <c r="C785" s="6">
        <v>228.44122088377199</v>
      </c>
      <c r="D785" s="6">
        <v>206.44561679983599</v>
      </c>
      <c r="E785" s="6">
        <v>266.67425375699099</v>
      </c>
      <c r="F785" s="6">
        <v>228.44122088377199</v>
      </c>
      <c r="G785" s="6">
        <v>228.44122088377199</v>
      </c>
      <c r="H785" s="6">
        <v>7.9883136949107501</v>
      </c>
      <c r="I785" s="6">
        <v>7.9883136949107501</v>
      </c>
      <c r="J785" s="6">
        <v>7.9883136949107501</v>
      </c>
      <c r="K785" s="6">
        <v>1.82289060893571</v>
      </c>
      <c r="L785" s="6">
        <v>1.82289060893571</v>
      </c>
      <c r="M785" s="6">
        <v>1.82289060893571</v>
      </c>
      <c r="N785" s="6">
        <v>6.1654230859750303</v>
      </c>
      <c r="O785" s="6">
        <v>6.1654230859750303</v>
      </c>
      <c r="P785" s="6">
        <v>6.1654230859750303</v>
      </c>
      <c r="Q785" s="6">
        <v>0</v>
      </c>
      <c r="R785" s="6">
        <v>0</v>
      </c>
      <c r="S785" s="6">
        <v>0</v>
      </c>
      <c r="T785" s="6">
        <v>236.42953457868299</v>
      </c>
    </row>
    <row r="786" spans="1:20" ht="13" x14ac:dyDescent="0.15">
      <c r="A786" s="6">
        <v>784</v>
      </c>
      <c r="B786" s="7">
        <v>44299</v>
      </c>
      <c r="C786" s="6">
        <v>228.69130908317399</v>
      </c>
      <c r="D786" s="6">
        <v>202.29320404053399</v>
      </c>
      <c r="E786" s="6">
        <v>267.36867548365501</v>
      </c>
      <c r="F786" s="6">
        <v>228.69130908317399</v>
      </c>
      <c r="G786" s="6">
        <v>228.69130908317399</v>
      </c>
      <c r="H786" s="6">
        <v>6.8845201632202997</v>
      </c>
      <c r="I786" s="6">
        <v>6.8845201632202997</v>
      </c>
      <c r="J786" s="6">
        <v>6.8845201632202997</v>
      </c>
      <c r="K786" s="6">
        <v>0.84522403106794797</v>
      </c>
      <c r="L786" s="6">
        <v>0.84522403106794797</v>
      </c>
      <c r="M786" s="6">
        <v>0.84522403106794797</v>
      </c>
      <c r="N786" s="6">
        <v>6.0392961321523497</v>
      </c>
      <c r="O786" s="6">
        <v>6.0392961321523497</v>
      </c>
      <c r="P786" s="6">
        <v>6.0392961321523497</v>
      </c>
      <c r="Q786" s="6">
        <v>0</v>
      </c>
      <c r="R786" s="6">
        <v>0</v>
      </c>
      <c r="S786" s="6">
        <v>0</v>
      </c>
      <c r="T786" s="6">
        <v>235.57582924639399</v>
      </c>
    </row>
    <row r="787" spans="1:20" ht="13" x14ac:dyDescent="0.15">
      <c r="A787" s="6">
        <v>785</v>
      </c>
      <c r="B787" s="7">
        <v>44300</v>
      </c>
      <c r="C787" s="6">
        <v>228.941397282575</v>
      </c>
      <c r="D787" s="6">
        <v>205.51099611705001</v>
      </c>
      <c r="E787" s="6">
        <v>266.85426991668902</v>
      </c>
      <c r="F787" s="6">
        <v>228.941397282575</v>
      </c>
      <c r="G787" s="6">
        <v>228.941397282575</v>
      </c>
      <c r="H787" s="6">
        <v>6.8614276651490798</v>
      </c>
      <c r="I787" s="6">
        <v>6.8614276651490798</v>
      </c>
      <c r="J787" s="6">
        <v>6.8614276651490798</v>
      </c>
      <c r="K787" s="6">
        <v>0.94874688043664801</v>
      </c>
      <c r="L787" s="6">
        <v>0.94874688043664801</v>
      </c>
      <c r="M787" s="6">
        <v>0.94874688043664801</v>
      </c>
      <c r="N787" s="6">
        <v>5.9126807847124301</v>
      </c>
      <c r="O787" s="6">
        <v>5.9126807847124301</v>
      </c>
      <c r="P787" s="6">
        <v>5.9126807847124301</v>
      </c>
      <c r="Q787" s="6">
        <v>0</v>
      </c>
      <c r="R787" s="6">
        <v>0</v>
      </c>
      <c r="S787" s="6">
        <v>0</v>
      </c>
      <c r="T787" s="6">
        <v>235.80282494772399</v>
      </c>
    </row>
    <row r="788" spans="1:20" ht="13" x14ac:dyDescent="0.15">
      <c r="A788" s="6">
        <v>786</v>
      </c>
      <c r="B788" s="7">
        <v>44301</v>
      </c>
      <c r="C788" s="6">
        <v>229.191485481976</v>
      </c>
      <c r="D788" s="6">
        <v>203.032529468972</v>
      </c>
      <c r="E788" s="6">
        <v>266.50480497530799</v>
      </c>
      <c r="F788" s="6">
        <v>229.191485481976</v>
      </c>
      <c r="G788" s="6">
        <v>229.191485481976</v>
      </c>
      <c r="H788" s="6">
        <v>6.2737805246812197</v>
      </c>
      <c r="I788" s="6">
        <v>6.2737805246812197</v>
      </c>
      <c r="J788" s="6">
        <v>6.2737805246812197</v>
      </c>
      <c r="K788" s="6">
        <v>0.490155213560106</v>
      </c>
      <c r="L788" s="6">
        <v>0.490155213560106</v>
      </c>
      <c r="M788" s="6">
        <v>0.490155213560106</v>
      </c>
      <c r="N788" s="6">
        <v>5.78362531112111</v>
      </c>
      <c r="O788" s="6">
        <v>5.78362531112111</v>
      </c>
      <c r="P788" s="6">
        <v>5.78362531112111</v>
      </c>
      <c r="Q788" s="6">
        <v>0</v>
      </c>
      <c r="R788" s="6">
        <v>0</v>
      </c>
      <c r="S788" s="6">
        <v>0</v>
      </c>
      <c r="T788" s="6">
        <v>235.465266006658</v>
      </c>
    </row>
    <row r="789" spans="1:20" ht="13" x14ac:dyDescent="0.15">
      <c r="A789" s="6">
        <v>787</v>
      </c>
      <c r="B789" s="7">
        <v>44302</v>
      </c>
      <c r="C789" s="6">
        <v>229.441573681378</v>
      </c>
      <c r="D789" s="6">
        <v>203.102543754892</v>
      </c>
      <c r="E789" s="6">
        <v>268.82042691698899</v>
      </c>
      <c r="F789" s="6">
        <v>229.441573681378</v>
      </c>
      <c r="G789" s="6">
        <v>229.441573681378</v>
      </c>
      <c r="H789" s="6">
        <v>5.6252702858152102</v>
      </c>
      <c r="I789" s="6">
        <v>5.6252702858152102</v>
      </c>
      <c r="J789" s="6">
        <v>5.6252702858152102</v>
      </c>
      <c r="K789" s="6">
        <v>-2.2976765065725602E-2</v>
      </c>
      <c r="L789" s="6">
        <v>-2.2976765065725602E-2</v>
      </c>
      <c r="M789" s="6">
        <v>-2.2976765065725602E-2</v>
      </c>
      <c r="N789" s="6">
        <v>5.6482470508809399</v>
      </c>
      <c r="O789" s="6">
        <v>5.6482470508809399</v>
      </c>
      <c r="P789" s="6">
        <v>5.6482470508809399</v>
      </c>
      <c r="Q789" s="6">
        <v>0</v>
      </c>
      <c r="R789" s="6">
        <v>0</v>
      </c>
      <c r="S789" s="6">
        <v>0</v>
      </c>
      <c r="T789" s="6">
        <v>235.06684396719299</v>
      </c>
    </row>
    <row r="790" spans="1:20" ht="13" x14ac:dyDescent="0.15">
      <c r="A790" s="6">
        <v>788</v>
      </c>
      <c r="B790" s="7">
        <v>44305</v>
      </c>
      <c r="C790" s="6">
        <v>230.19183827958199</v>
      </c>
      <c r="D790" s="6">
        <v>205.662237340232</v>
      </c>
      <c r="E790" s="6">
        <v>269.78907673927301</v>
      </c>
      <c r="F790" s="6">
        <v>230.19183827958199</v>
      </c>
      <c r="G790" s="6">
        <v>230.19183827958199</v>
      </c>
      <c r="H790" s="6">
        <v>6.9630357357545396</v>
      </c>
      <c r="I790" s="6">
        <v>6.9630357357545396</v>
      </c>
      <c r="J790" s="6">
        <v>6.9630357357545396</v>
      </c>
      <c r="K790" s="6">
        <v>1.82289060893621</v>
      </c>
      <c r="L790" s="6">
        <v>1.82289060893621</v>
      </c>
      <c r="M790" s="6">
        <v>1.82289060893621</v>
      </c>
      <c r="N790" s="6">
        <v>5.1401451268183296</v>
      </c>
      <c r="O790" s="6">
        <v>5.1401451268183296</v>
      </c>
      <c r="P790" s="6">
        <v>5.1401451268183296</v>
      </c>
      <c r="Q790" s="6">
        <v>0</v>
      </c>
      <c r="R790" s="6">
        <v>0</v>
      </c>
      <c r="S790" s="6">
        <v>0</v>
      </c>
      <c r="T790" s="6">
        <v>237.15487401533599</v>
      </c>
    </row>
    <row r="791" spans="1:20" ht="13" x14ac:dyDescent="0.15">
      <c r="A791" s="6">
        <v>789</v>
      </c>
      <c r="B791" s="7">
        <v>44306</v>
      </c>
      <c r="C791" s="6">
        <v>230.44192647898299</v>
      </c>
      <c r="D791" s="6">
        <v>203.173852715892</v>
      </c>
      <c r="E791" s="6">
        <v>265.22400777452299</v>
      </c>
      <c r="F791" s="6">
        <v>230.44192647898299</v>
      </c>
      <c r="G791" s="6">
        <v>230.44192647898299</v>
      </c>
      <c r="H791" s="6">
        <v>5.7541043233256497</v>
      </c>
      <c r="I791" s="6">
        <v>5.7541043233256497</v>
      </c>
      <c r="J791" s="6">
        <v>5.7541043233256497</v>
      </c>
      <c r="K791" s="6">
        <v>0.84522403106649102</v>
      </c>
      <c r="L791" s="6">
        <v>0.84522403106649102</v>
      </c>
      <c r="M791" s="6">
        <v>0.84522403106649102</v>
      </c>
      <c r="N791" s="6">
        <v>4.9088802922591599</v>
      </c>
      <c r="O791" s="6">
        <v>4.9088802922591599</v>
      </c>
      <c r="P791" s="6">
        <v>4.9088802922591599</v>
      </c>
      <c r="Q791" s="6">
        <v>0</v>
      </c>
      <c r="R791" s="6">
        <v>0</v>
      </c>
      <c r="S791" s="6">
        <v>0</v>
      </c>
      <c r="T791" s="6">
        <v>236.196030802309</v>
      </c>
    </row>
    <row r="792" spans="1:20" ht="13" x14ac:dyDescent="0.15">
      <c r="A792" s="6">
        <v>790</v>
      </c>
      <c r="B792" s="7">
        <v>44307</v>
      </c>
      <c r="C792" s="6">
        <v>230.692014678384</v>
      </c>
      <c r="D792" s="6">
        <v>201.35712372791701</v>
      </c>
      <c r="E792" s="6">
        <v>265.630981697349</v>
      </c>
      <c r="F792" s="6">
        <v>230.692014678384</v>
      </c>
      <c r="G792" s="6">
        <v>230.692014678384</v>
      </c>
      <c r="H792" s="6">
        <v>5.5793311175706197</v>
      </c>
      <c r="I792" s="6">
        <v>5.5793311175706197</v>
      </c>
      <c r="J792" s="6">
        <v>5.5793311175706197</v>
      </c>
      <c r="K792" s="6">
        <v>0.94874688043581801</v>
      </c>
      <c r="L792" s="6">
        <v>0.94874688043581801</v>
      </c>
      <c r="M792" s="6">
        <v>0.94874688043581801</v>
      </c>
      <c r="N792" s="6">
        <v>4.6305842371347996</v>
      </c>
      <c r="O792" s="6">
        <v>4.6305842371347996</v>
      </c>
      <c r="P792" s="6">
        <v>4.6305842371347996</v>
      </c>
      <c r="Q792" s="6">
        <v>0</v>
      </c>
      <c r="R792" s="6">
        <v>0</v>
      </c>
      <c r="S792" s="6">
        <v>0</v>
      </c>
      <c r="T792" s="6">
        <v>236.271345795955</v>
      </c>
    </row>
    <row r="793" spans="1:20" ht="13" x14ac:dyDescent="0.15">
      <c r="A793" s="6">
        <v>791</v>
      </c>
      <c r="B793" s="7">
        <v>44308</v>
      </c>
      <c r="C793" s="6">
        <v>230.942102877785</v>
      </c>
      <c r="D793" s="6">
        <v>202.100968990355</v>
      </c>
      <c r="E793" s="6">
        <v>266.85894438087399</v>
      </c>
      <c r="F793" s="6">
        <v>230.942102877785</v>
      </c>
      <c r="G793" s="6">
        <v>230.942102877785</v>
      </c>
      <c r="H793" s="6">
        <v>4.7852799176177596</v>
      </c>
      <c r="I793" s="6">
        <v>4.7852799176177596</v>
      </c>
      <c r="J793" s="6">
        <v>4.7852799176177596</v>
      </c>
      <c r="K793" s="6">
        <v>0.49015521355726799</v>
      </c>
      <c r="L793" s="6">
        <v>0.49015521355726799</v>
      </c>
      <c r="M793" s="6">
        <v>0.49015521355726799</v>
      </c>
      <c r="N793" s="6">
        <v>4.2951247040604903</v>
      </c>
      <c r="O793" s="6">
        <v>4.2951247040604903</v>
      </c>
      <c r="P793" s="6">
        <v>4.2951247040604903</v>
      </c>
      <c r="Q793" s="6">
        <v>0</v>
      </c>
      <c r="R793" s="6">
        <v>0</v>
      </c>
      <c r="S793" s="6">
        <v>0</v>
      </c>
      <c r="T793" s="6">
        <v>235.727382795403</v>
      </c>
    </row>
    <row r="794" spans="1:20" ht="13" x14ac:dyDescent="0.15">
      <c r="A794" s="6">
        <v>792</v>
      </c>
      <c r="B794" s="7">
        <v>44309</v>
      </c>
      <c r="C794" s="6">
        <v>231.192191077187</v>
      </c>
      <c r="D794" s="6">
        <v>199.816554147163</v>
      </c>
      <c r="E794" s="6">
        <v>266.626647929032</v>
      </c>
      <c r="F794" s="6">
        <v>231.192191077187</v>
      </c>
      <c r="G794" s="6">
        <v>231.192191077187</v>
      </c>
      <c r="H794" s="6">
        <v>3.8696379025932801</v>
      </c>
      <c r="I794" s="6">
        <v>3.8696379025932801</v>
      </c>
      <c r="J794" s="6">
        <v>3.8696379025932801</v>
      </c>
      <c r="K794" s="6">
        <v>-2.2976765063779301E-2</v>
      </c>
      <c r="L794" s="6">
        <v>-2.2976765063779301E-2</v>
      </c>
      <c r="M794" s="6">
        <v>-2.2976765063779301E-2</v>
      </c>
      <c r="N794" s="6">
        <v>3.8926146676570599</v>
      </c>
      <c r="O794" s="6">
        <v>3.8926146676570599</v>
      </c>
      <c r="P794" s="6">
        <v>3.8926146676570599</v>
      </c>
      <c r="Q794" s="6">
        <v>0</v>
      </c>
      <c r="R794" s="6">
        <v>0</v>
      </c>
      <c r="S794" s="6">
        <v>0</v>
      </c>
      <c r="T794" s="6">
        <v>235.06182897977999</v>
      </c>
    </row>
    <row r="795" spans="1:20" ht="13" x14ac:dyDescent="0.15">
      <c r="A795" s="6">
        <v>793</v>
      </c>
      <c r="B795" s="7">
        <v>44312</v>
      </c>
      <c r="C795" s="6">
        <v>231.94245567539099</v>
      </c>
      <c r="D795" s="6">
        <v>202.10174361477399</v>
      </c>
      <c r="E795" s="6">
        <v>270.24054972575601</v>
      </c>
      <c r="F795" s="6">
        <v>231.94245567539099</v>
      </c>
      <c r="G795" s="6">
        <v>231.94245567539099</v>
      </c>
      <c r="H795" s="6">
        <v>4.01895964647625</v>
      </c>
      <c r="I795" s="6">
        <v>4.01895964647625</v>
      </c>
      <c r="J795" s="6">
        <v>4.01895964647625</v>
      </c>
      <c r="K795" s="6">
        <v>1.8228906089391399</v>
      </c>
      <c r="L795" s="6">
        <v>1.8228906089391399</v>
      </c>
      <c r="M795" s="6">
        <v>1.8228906089391399</v>
      </c>
      <c r="N795" s="6">
        <v>2.1960690375371001</v>
      </c>
      <c r="O795" s="6">
        <v>2.1960690375371001</v>
      </c>
      <c r="P795" s="6">
        <v>2.1960690375371001</v>
      </c>
      <c r="Q795" s="6">
        <v>0</v>
      </c>
      <c r="R795" s="6">
        <v>0</v>
      </c>
      <c r="S795" s="6">
        <v>0</v>
      </c>
      <c r="T795" s="6">
        <v>235.96141532186701</v>
      </c>
    </row>
    <row r="796" spans="1:20" ht="13" x14ac:dyDescent="0.15">
      <c r="A796" s="6">
        <v>794</v>
      </c>
      <c r="B796" s="7">
        <v>44313</v>
      </c>
      <c r="C796" s="6">
        <v>232.19254387479199</v>
      </c>
      <c r="D796" s="6">
        <v>203.69424058250399</v>
      </c>
      <c r="E796" s="6">
        <v>268.14820580960202</v>
      </c>
      <c r="F796" s="6">
        <v>232.19254387479199</v>
      </c>
      <c r="G796" s="6">
        <v>232.19254387479199</v>
      </c>
      <c r="H796" s="6">
        <v>2.2905462104793299</v>
      </c>
      <c r="I796" s="6">
        <v>2.2905462104793299</v>
      </c>
      <c r="J796" s="6">
        <v>2.2905462104793299</v>
      </c>
      <c r="K796" s="6">
        <v>0.845224031066658</v>
      </c>
      <c r="L796" s="6">
        <v>0.845224031066658</v>
      </c>
      <c r="M796" s="6">
        <v>0.845224031066658</v>
      </c>
      <c r="N796" s="6">
        <v>1.44532217941267</v>
      </c>
      <c r="O796" s="6">
        <v>1.44532217941267</v>
      </c>
      <c r="P796" s="6">
        <v>1.44532217941267</v>
      </c>
      <c r="Q796" s="6">
        <v>0</v>
      </c>
      <c r="R796" s="6">
        <v>0</v>
      </c>
      <c r="S796" s="6">
        <v>0</v>
      </c>
      <c r="T796" s="6">
        <v>234.48309008527099</v>
      </c>
    </row>
    <row r="797" spans="1:20" ht="13" x14ac:dyDescent="0.15">
      <c r="A797" s="6">
        <v>795</v>
      </c>
      <c r="B797" s="7">
        <v>44314</v>
      </c>
      <c r="C797" s="6">
        <v>232.442632074193</v>
      </c>
      <c r="D797" s="6">
        <v>200.206615849066</v>
      </c>
      <c r="E797" s="6">
        <v>265.70642931328501</v>
      </c>
      <c r="F797" s="6">
        <v>232.442632074193</v>
      </c>
      <c r="G797" s="6">
        <v>232.442632074193</v>
      </c>
      <c r="H797" s="6">
        <v>1.5440703435782499</v>
      </c>
      <c r="I797" s="6">
        <v>1.5440703435782499</v>
      </c>
      <c r="J797" s="6">
        <v>1.5440703435782499</v>
      </c>
      <c r="K797" s="6">
        <v>0.94874688043766697</v>
      </c>
      <c r="L797" s="6">
        <v>0.94874688043766697</v>
      </c>
      <c r="M797" s="6">
        <v>0.94874688043766697</v>
      </c>
      <c r="N797" s="6">
        <v>0.59532346314058604</v>
      </c>
      <c r="O797" s="6">
        <v>0.59532346314058604</v>
      </c>
      <c r="P797" s="6">
        <v>0.59532346314058604</v>
      </c>
      <c r="Q797" s="6">
        <v>0</v>
      </c>
      <c r="R797" s="6">
        <v>0</v>
      </c>
      <c r="S797" s="6">
        <v>0</v>
      </c>
      <c r="T797" s="6">
        <v>233.98670241777199</v>
      </c>
    </row>
    <row r="798" spans="1:20" ht="13" x14ac:dyDescent="0.15">
      <c r="A798" s="6">
        <v>796</v>
      </c>
      <c r="B798" s="7">
        <v>44315</v>
      </c>
      <c r="C798" s="6">
        <v>232.692720273595</v>
      </c>
      <c r="D798" s="6">
        <v>198.40125545626799</v>
      </c>
      <c r="E798" s="6">
        <v>263.33389591777097</v>
      </c>
      <c r="F798" s="6">
        <v>232.692720273595</v>
      </c>
      <c r="G798" s="6">
        <v>232.692720273595</v>
      </c>
      <c r="H798" s="6">
        <v>0.13547256966500901</v>
      </c>
      <c r="I798" s="6">
        <v>0.13547256966500901</v>
      </c>
      <c r="J798" s="6">
        <v>0.13547256966500901</v>
      </c>
      <c r="K798" s="6">
        <v>0.49015521355698999</v>
      </c>
      <c r="L798" s="6">
        <v>0.49015521355698999</v>
      </c>
      <c r="M798" s="6">
        <v>0.49015521355698999</v>
      </c>
      <c r="N798" s="6">
        <v>-0.35468264389198001</v>
      </c>
      <c r="O798" s="6">
        <v>-0.35468264389198001</v>
      </c>
      <c r="P798" s="6">
        <v>-0.35468264389198001</v>
      </c>
      <c r="Q798" s="6">
        <v>0</v>
      </c>
      <c r="R798" s="6">
        <v>0</v>
      </c>
      <c r="S798" s="6">
        <v>0</v>
      </c>
      <c r="T798" s="6">
        <v>232.82819284326001</v>
      </c>
    </row>
    <row r="799" spans="1:20" ht="13" x14ac:dyDescent="0.15">
      <c r="A799" s="6">
        <v>797</v>
      </c>
      <c r="B799" s="7">
        <v>44316</v>
      </c>
      <c r="C799" s="6">
        <v>232.94280847299601</v>
      </c>
      <c r="D799" s="6">
        <v>197.87382201064099</v>
      </c>
      <c r="E799" s="6">
        <v>264.65932605184202</v>
      </c>
      <c r="F799" s="6">
        <v>232.94280847299601</v>
      </c>
      <c r="G799" s="6">
        <v>232.94280847299601</v>
      </c>
      <c r="H799" s="6">
        <v>-1.42603439304101</v>
      </c>
      <c r="I799" s="6">
        <v>-1.42603439304101</v>
      </c>
      <c r="J799" s="6">
        <v>-1.42603439304101</v>
      </c>
      <c r="K799" s="6">
        <v>-2.2976765061833201E-2</v>
      </c>
      <c r="L799" s="6">
        <v>-2.2976765061833201E-2</v>
      </c>
      <c r="M799" s="6">
        <v>-2.2976765061833201E-2</v>
      </c>
      <c r="N799" s="6">
        <v>-1.40305762797918</v>
      </c>
      <c r="O799" s="6">
        <v>-1.40305762797918</v>
      </c>
      <c r="P799" s="6">
        <v>-1.40305762797918</v>
      </c>
      <c r="Q799" s="6">
        <v>0</v>
      </c>
      <c r="R799" s="6">
        <v>0</v>
      </c>
      <c r="S799" s="6">
        <v>0</v>
      </c>
      <c r="T799" s="6">
        <v>231.51677407995501</v>
      </c>
    </row>
    <row r="800" spans="1:20" ht="13" x14ac:dyDescent="0.15">
      <c r="A800" s="6">
        <v>798</v>
      </c>
      <c r="B800" s="7">
        <v>44319</v>
      </c>
      <c r="C800" s="6">
        <v>233.69307307119999</v>
      </c>
      <c r="D800" s="6">
        <v>198.57084161054499</v>
      </c>
      <c r="E800" s="6">
        <v>262.19572268554401</v>
      </c>
      <c r="F800" s="6">
        <v>233.69307307119999</v>
      </c>
      <c r="G800" s="6">
        <v>233.69307307119999</v>
      </c>
      <c r="H800" s="6">
        <v>-3.26206390114797</v>
      </c>
      <c r="I800" s="6">
        <v>-3.26206390114797</v>
      </c>
      <c r="J800" s="6">
        <v>-3.26206390114797</v>
      </c>
      <c r="K800" s="6">
        <v>1.8228906089396399</v>
      </c>
      <c r="L800" s="6">
        <v>1.8228906089396399</v>
      </c>
      <c r="M800" s="6">
        <v>1.8228906089396399</v>
      </c>
      <c r="N800" s="6">
        <v>-5.0849545100876199</v>
      </c>
      <c r="O800" s="6">
        <v>-5.0849545100876199</v>
      </c>
      <c r="P800" s="6">
        <v>-5.0849545100876199</v>
      </c>
      <c r="Q800" s="6">
        <v>0</v>
      </c>
      <c r="R800" s="6">
        <v>0</v>
      </c>
      <c r="S800" s="6">
        <v>0</v>
      </c>
      <c r="T800" s="6">
        <v>230.43100917005199</v>
      </c>
    </row>
    <row r="801" spans="1:20" ht="13" x14ac:dyDescent="0.15">
      <c r="A801" s="6">
        <v>799</v>
      </c>
      <c r="B801" s="7">
        <v>44320</v>
      </c>
      <c r="C801" s="6">
        <v>233.943161270601</v>
      </c>
      <c r="D801" s="6">
        <v>195.251361055747</v>
      </c>
      <c r="E801" s="6">
        <v>263.09217271532401</v>
      </c>
      <c r="F801" s="6">
        <v>233.943161270601</v>
      </c>
      <c r="G801" s="6">
        <v>233.943161270601</v>
      </c>
      <c r="H801" s="6">
        <v>-5.6161101062921501</v>
      </c>
      <c r="I801" s="6">
        <v>-5.6161101062921501</v>
      </c>
      <c r="J801" s="6">
        <v>-5.6161101062921501</v>
      </c>
      <c r="K801" s="6">
        <v>0.84522403106520105</v>
      </c>
      <c r="L801" s="6">
        <v>0.84522403106520105</v>
      </c>
      <c r="M801" s="6">
        <v>0.84522403106520105</v>
      </c>
      <c r="N801" s="6">
        <v>-6.4613341373573503</v>
      </c>
      <c r="O801" s="6">
        <v>-6.4613341373573503</v>
      </c>
      <c r="P801" s="6">
        <v>-6.4613341373573503</v>
      </c>
      <c r="Q801" s="6">
        <v>0</v>
      </c>
      <c r="R801" s="6">
        <v>0</v>
      </c>
      <c r="S801" s="6">
        <v>0</v>
      </c>
      <c r="T801" s="6">
        <v>228.32705116430901</v>
      </c>
    </row>
    <row r="802" spans="1:20" ht="13" x14ac:dyDescent="0.15">
      <c r="A802" s="6">
        <v>800</v>
      </c>
      <c r="B802" s="7">
        <v>44321</v>
      </c>
      <c r="C802" s="6">
        <v>234.193249470002</v>
      </c>
      <c r="D802" s="6">
        <v>193.18147060451199</v>
      </c>
      <c r="E802" s="6">
        <v>260.59588345407599</v>
      </c>
      <c r="F802" s="6">
        <v>234.193249470002</v>
      </c>
      <c r="G802" s="6">
        <v>234.193249470002</v>
      </c>
      <c r="H802" s="6">
        <v>-6.9430783282998201</v>
      </c>
      <c r="I802" s="6">
        <v>-6.9430783282998201</v>
      </c>
      <c r="J802" s="6">
        <v>-6.9430783282998201</v>
      </c>
      <c r="K802" s="6">
        <v>0.94874688043537103</v>
      </c>
      <c r="L802" s="6">
        <v>0.94874688043537103</v>
      </c>
      <c r="M802" s="6">
        <v>0.94874688043537103</v>
      </c>
      <c r="N802" s="6">
        <v>-7.8918252087351899</v>
      </c>
      <c r="O802" s="6">
        <v>-7.8918252087351899</v>
      </c>
      <c r="P802" s="6">
        <v>-7.8918252087351899</v>
      </c>
      <c r="Q802" s="6">
        <v>0</v>
      </c>
      <c r="R802" s="6">
        <v>0</v>
      </c>
      <c r="S802" s="6">
        <v>0</v>
      </c>
      <c r="T802" s="6">
        <v>227.25017114170299</v>
      </c>
    </row>
    <row r="803" spans="1:20" ht="13" x14ac:dyDescent="0.15">
      <c r="A803" s="6">
        <v>801</v>
      </c>
      <c r="B803" s="7">
        <v>44322</v>
      </c>
      <c r="C803" s="6">
        <v>234.443337669404</v>
      </c>
      <c r="D803" s="6">
        <v>194.21942087023999</v>
      </c>
      <c r="E803" s="6">
        <v>259.46918212088701</v>
      </c>
      <c r="F803" s="6">
        <v>234.443337669404</v>
      </c>
      <c r="G803" s="6">
        <v>234.443337669404</v>
      </c>
      <c r="H803" s="6">
        <v>-8.8712092911997793</v>
      </c>
      <c r="I803" s="6">
        <v>-8.8712092911997793</v>
      </c>
      <c r="J803" s="6">
        <v>-8.8712092911997793</v>
      </c>
      <c r="K803" s="6">
        <v>0.49015521355415198</v>
      </c>
      <c r="L803" s="6">
        <v>0.49015521355415198</v>
      </c>
      <c r="M803" s="6">
        <v>0.49015521355415198</v>
      </c>
      <c r="N803" s="6">
        <v>-9.3613645047539293</v>
      </c>
      <c r="O803" s="6">
        <v>-9.3613645047539293</v>
      </c>
      <c r="P803" s="6">
        <v>-9.3613645047539293</v>
      </c>
      <c r="Q803" s="6">
        <v>0</v>
      </c>
      <c r="R803" s="6">
        <v>0</v>
      </c>
      <c r="S803" s="6">
        <v>0</v>
      </c>
      <c r="T803" s="6">
        <v>225.57212837820401</v>
      </c>
    </row>
    <row r="804" spans="1:20" ht="13" x14ac:dyDescent="0.15">
      <c r="A804" s="6">
        <v>802</v>
      </c>
      <c r="B804" s="7">
        <v>44323</v>
      </c>
      <c r="C804" s="6">
        <v>234.69342586880501</v>
      </c>
      <c r="D804" s="6">
        <v>188.67335714095901</v>
      </c>
      <c r="E804" s="6">
        <v>256.50071295838501</v>
      </c>
      <c r="F804" s="6">
        <v>234.69342586880501</v>
      </c>
      <c r="G804" s="6">
        <v>234.69342586880501</v>
      </c>
      <c r="H804" s="6">
        <v>-10.876440955034701</v>
      </c>
      <c r="I804" s="6">
        <v>-10.876440955034701</v>
      </c>
      <c r="J804" s="6">
        <v>-10.876440955034701</v>
      </c>
      <c r="K804" s="6">
        <v>-2.2976765069003501E-2</v>
      </c>
      <c r="L804" s="6">
        <v>-2.2976765069003501E-2</v>
      </c>
      <c r="M804" s="6">
        <v>-2.2976765069003501E-2</v>
      </c>
      <c r="N804" s="6">
        <v>-10.853464189965701</v>
      </c>
      <c r="O804" s="6">
        <v>-10.853464189965701</v>
      </c>
      <c r="P804" s="6">
        <v>-10.853464189965701</v>
      </c>
      <c r="Q804" s="6">
        <v>0</v>
      </c>
      <c r="R804" s="6">
        <v>0</v>
      </c>
      <c r="S804" s="6">
        <v>0</v>
      </c>
      <c r="T804" s="6">
        <v>223.81698491377</v>
      </c>
    </row>
    <row r="805" spans="1:20" ht="13" x14ac:dyDescent="0.15">
      <c r="A805" s="6">
        <v>803</v>
      </c>
      <c r="B805" s="7">
        <v>44326</v>
      </c>
      <c r="C805" s="6">
        <v>235.44369046700899</v>
      </c>
      <c r="D805" s="6">
        <v>187.702451383229</v>
      </c>
      <c r="E805" s="6">
        <v>253.94246776965699</v>
      </c>
      <c r="F805" s="6">
        <v>235.44369046700899</v>
      </c>
      <c r="G805" s="6">
        <v>235.44369046700899</v>
      </c>
      <c r="H805" s="6">
        <v>-13.4642994518995</v>
      </c>
      <c r="I805" s="6">
        <v>-13.4642994518995</v>
      </c>
      <c r="J805" s="6">
        <v>-13.4642994518995</v>
      </c>
      <c r="K805" s="6">
        <v>1.82289060893343</v>
      </c>
      <c r="L805" s="6">
        <v>1.82289060893343</v>
      </c>
      <c r="M805" s="6">
        <v>1.82289060893343</v>
      </c>
      <c r="N805" s="6">
        <v>-15.2871900608329</v>
      </c>
      <c r="O805" s="6">
        <v>-15.2871900608329</v>
      </c>
      <c r="P805" s="6">
        <v>-15.2871900608329</v>
      </c>
      <c r="Q805" s="6">
        <v>0</v>
      </c>
      <c r="R805" s="6">
        <v>0</v>
      </c>
      <c r="S805" s="6">
        <v>0</v>
      </c>
      <c r="T805" s="6">
        <v>221.979391015109</v>
      </c>
    </row>
    <row r="806" spans="1:20" ht="13" x14ac:dyDescent="0.15">
      <c r="A806" s="6">
        <v>804</v>
      </c>
      <c r="B806" s="7">
        <v>44327</v>
      </c>
      <c r="C806" s="6">
        <v>235.69377866641</v>
      </c>
      <c r="D806" s="6">
        <v>188.41157813492401</v>
      </c>
      <c r="E806" s="6">
        <v>253.97942045229701</v>
      </c>
      <c r="F806" s="6">
        <v>235.69377866641</v>
      </c>
      <c r="G806" s="6">
        <v>235.69377866641</v>
      </c>
      <c r="H806" s="6">
        <v>-15.845055847200101</v>
      </c>
      <c r="I806" s="6">
        <v>-15.845055847200101</v>
      </c>
      <c r="J806" s="6">
        <v>-15.845055847200101</v>
      </c>
      <c r="K806" s="6">
        <v>0.845224031063744</v>
      </c>
      <c r="L806" s="6">
        <v>0.845224031063744</v>
      </c>
      <c r="M806" s="6">
        <v>0.845224031063744</v>
      </c>
      <c r="N806" s="6">
        <v>-16.690279878263802</v>
      </c>
      <c r="O806" s="6">
        <v>-16.690279878263802</v>
      </c>
      <c r="P806" s="6">
        <v>-16.690279878263802</v>
      </c>
      <c r="Q806" s="6">
        <v>0</v>
      </c>
      <c r="R806" s="6">
        <v>0</v>
      </c>
      <c r="S806" s="6">
        <v>0</v>
      </c>
      <c r="T806" s="6">
        <v>219.84872281921</v>
      </c>
    </row>
    <row r="807" spans="1:20" ht="13" x14ac:dyDescent="0.15">
      <c r="A807" s="6">
        <v>805</v>
      </c>
      <c r="B807" s="7">
        <v>44328</v>
      </c>
      <c r="C807" s="6">
        <v>235.94386687421999</v>
      </c>
      <c r="D807" s="6">
        <v>186.917076554906</v>
      </c>
      <c r="E807" s="6">
        <v>253.818782509778</v>
      </c>
      <c r="F807" s="6">
        <v>235.94386687421999</v>
      </c>
      <c r="G807" s="6">
        <v>235.94386687421999</v>
      </c>
      <c r="H807" s="6">
        <v>-17.0778162033968</v>
      </c>
      <c r="I807" s="6">
        <v>-17.0778162033968</v>
      </c>
      <c r="J807" s="6">
        <v>-17.0778162033968</v>
      </c>
      <c r="K807" s="6">
        <v>0.94874688043722</v>
      </c>
      <c r="L807" s="6">
        <v>0.94874688043722</v>
      </c>
      <c r="M807" s="6">
        <v>0.94874688043722</v>
      </c>
      <c r="N807" s="6">
        <v>-18.026563083833999</v>
      </c>
      <c r="O807" s="6">
        <v>-18.026563083833999</v>
      </c>
      <c r="P807" s="6">
        <v>-18.026563083833999</v>
      </c>
      <c r="Q807" s="6">
        <v>0</v>
      </c>
      <c r="R807" s="6">
        <v>0</v>
      </c>
      <c r="S807" s="6">
        <v>0</v>
      </c>
      <c r="T807" s="6">
        <v>218.866050670823</v>
      </c>
    </row>
    <row r="808" spans="1:20" ht="13" x14ac:dyDescent="0.15">
      <c r="A808" s="6">
        <v>806</v>
      </c>
      <c r="B808" s="7">
        <v>44329</v>
      </c>
      <c r="C808" s="6">
        <v>236.19395508202899</v>
      </c>
      <c r="D808" s="6">
        <v>185.61680618626301</v>
      </c>
      <c r="E808" s="6">
        <v>247.34194967577201</v>
      </c>
      <c r="F808" s="6">
        <v>236.19395508202899</v>
      </c>
      <c r="G808" s="6">
        <v>236.19395508202899</v>
      </c>
      <c r="H808" s="6">
        <v>-18.789727180955602</v>
      </c>
      <c r="I808" s="6">
        <v>-18.789727180955602</v>
      </c>
      <c r="J808" s="6">
        <v>-18.789727180955602</v>
      </c>
      <c r="K808" s="6">
        <v>0.49015521355533098</v>
      </c>
      <c r="L808" s="6">
        <v>0.49015521355533098</v>
      </c>
      <c r="M808" s="6">
        <v>0.49015521355533098</v>
      </c>
      <c r="N808" s="6">
        <v>-19.279882394510899</v>
      </c>
      <c r="O808" s="6">
        <v>-19.279882394510899</v>
      </c>
      <c r="P808" s="6">
        <v>-19.279882394510899</v>
      </c>
      <c r="Q808" s="6">
        <v>0</v>
      </c>
      <c r="R808" s="6">
        <v>0</v>
      </c>
      <c r="S808" s="6">
        <v>0</v>
      </c>
      <c r="T808" s="6">
        <v>217.404227901073</v>
      </c>
    </row>
    <row r="809" spans="1:20" ht="13" x14ac:dyDescent="0.15">
      <c r="A809" s="6">
        <v>807</v>
      </c>
      <c r="B809" s="7">
        <v>44330</v>
      </c>
      <c r="C809" s="6">
        <v>236.44404328983799</v>
      </c>
      <c r="D809" s="6">
        <v>183.29356889838701</v>
      </c>
      <c r="E809" s="6">
        <v>247.03827501121299</v>
      </c>
      <c r="F809" s="6">
        <v>236.44404328983799</v>
      </c>
      <c r="G809" s="6">
        <v>236.44404328983799</v>
      </c>
      <c r="H809" s="6">
        <v>-20.458624875758598</v>
      </c>
      <c r="I809" s="6">
        <v>-20.458624875758598</v>
      </c>
      <c r="J809" s="6">
        <v>-20.458624875758598</v>
      </c>
      <c r="K809" s="6">
        <v>-2.29767650670572E-2</v>
      </c>
      <c r="L809" s="6">
        <v>-2.29767650670572E-2</v>
      </c>
      <c r="M809" s="6">
        <v>-2.29767650670572E-2</v>
      </c>
      <c r="N809" s="6">
        <v>-20.435648110691499</v>
      </c>
      <c r="O809" s="6">
        <v>-20.435648110691499</v>
      </c>
      <c r="P809" s="6">
        <v>-20.435648110691499</v>
      </c>
      <c r="Q809" s="6">
        <v>0</v>
      </c>
      <c r="R809" s="6">
        <v>0</v>
      </c>
      <c r="S809" s="6">
        <v>0</v>
      </c>
      <c r="T809" s="6">
        <v>215.98541841407999</v>
      </c>
    </row>
    <row r="810" spans="1:20" ht="13" x14ac:dyDescent="0.15">
      <c r="A810" s="6">
        <v>808</v>
      </c>
      <c r="B810" s="7">
        <v>44333</v>
      </c>
      <c r="C810" s="6">
        <v>237.19430791326599</v>
      </c>
      <c r="D810" s="6">
        <v>183.743708660838</v>
      </c>
      <c r="E810" s="6">
        <v>246.10301920936001</v>
      </c>
      <c r="F810" s="6">
        <v>237.19430791326599</v>
      </c>
      <c r="G810" s="6">
        <v>237.19430791326599</v>
      </c>
      <c r="H810" s="6">
        <v>-21.379633306159299</v>
      </c>
      <c r="I810" s="6">
        <v>-21.379633306159299</v>
      </c>
      <c r="J810" s="6">
        <v>-21.379633306159299</v>
      </c>
      <c r="K810" s="6">
        <v>1.8228906089339301</v>
      </c>
      <c r="L810" s="6">
        <v>1.8228906089339301</v>
      </c>
      <c r="M810" s="6">
        <v>1.8228906089339301</v>
      </c>
      <c r="N810" s="6">
        <v>-23.202523915093298</v>
      </c>
      <c r="O810" s="6">
        <v>-23.202523915093298</v>
      </c>
      <c r="P810" s="6">
        <v>-23.202523915093298</v>
      </c>
      <c r="Q810" s="6">
        <v>0</v>
      </c>
      <c r="R810" s="6">
        <v>0</v>
      </c>
      <c r="S810" s="6">
        <v>0</v>
      </c>
      <c r="T810" s="6">
        <v>215.81467460710701</v>
      </c>
    </row>
    <row r="811" spans="1:20" ht="13" x14ac:dyDescent="0.15">
      <c r="A811" s="6">
        <v>809</v>
      </c>
      <c r="B811" s="7">
        <v>44334</v>
      </c>
      <c r="C811" s="6">
        <v>237.44439612107601</v>
      </c>
      <c r="D811" s="6">
        <v>183.02370460852001</v>
      </c>
      <c r="E811" s="6">
        <v>246.04155775861599</v>
      </c>
      <c r="F811" s="6">
        <v>237.44439612107601</v>
      </c>
      <c r="G811" s="6">
        <v>237.44439612107601</v>
      </c>
      <c r="H811" s="6">
        <v>-23.019916670691099</v>
      </c>
      <c r="I811" s="6">
        <v>-23.019916670691099</v>
      </c>
      <c r="J811" s="6">
        <v>-23.019916670691099</v>
      </c>
      <c r="K811" s="6">
        <v>0.84522403106390998</v>
      </c>
      <c r="L811" s="6">
        <v>0.84522403106390998</v>
      </c>
      <c r="M811" s="6">
        <v>0.84522403106390998</v>
      </c>
      <c r="N811" s="6">
        <v>-23.865140701754999</v>
      </c>
      <c r="O811" s="6">
        <v>-23.865140701754999</v>
      </c>
      <c r="P811" s="6">
        <v>-23.865140701754999</v>
      </c>
      <c r="Q811" s="6">
        <v>0</v>
      </c>
      <c r="R811" s="6">
        <v>0</v>
      </c>
      <c r="S811" s="6">
        <v>0</v>
      </c>
      <c r="T811" s="6">
        <v>214.42447945038501</v>
      </c>
    </row>
    <row r="812" spans="1:20" ht="13" x14ac:dyDescent="0.15">
      <c r="A812" s="6">
        <v>810</v>
      </c>
      <c r="B812" s="7">
        <v>44335</v>
      </c>
      <c r="C812" s="6">
        <v>237.69448432888501</v>
      </c>
      <c r="D812" s="6">
        <v>183.92568029476899</v>
      </c>
      <c r="E812" s="6">
        <v>245.211423513624</v>
      </c>
      <c r="F812" s="6">
        <v>237.69448432888501</v>
      </c>
      <c r="G812" s="6">
        <v>237.69448432888501</v>
      </c>
      <c r="H812" s="6">
        <v>-23.442794134176701</v>
      </c>
      <c r="I812" s="6">
        <v>-23.442794134176701</v>
      </c>
      <c r="J812" s="6">
        <v>-23.442794134176701</v>
      </c>
      <c r="K812" s="6">
        <v>0.94874688043370903</v>
      </c>
      <c r="L812" s="6">
        <v>0.94874688043370903</v>
      </c>
      <c r="M812" s="6">
        <v>0.94874688043370903</v>
      </c>
      <c r="N812" s="6">
        <v>-24.3915410146104</v>
      </c>
      <c r="O812" s="6">
        <v>-24.3915410146104</v>
      </c>
      <c r="P812" s="6">
        <v>-24.3915410146104</v>
      </c>
      <c r="Q812" s="6">
        <v>0</v>
      </c>
      <c r="R812" s="6">
        <v>0</v>
      </c>
      <c r="S812" s="6">
        <v>0</v>
      </c>
      <c r="T812" s="6">
        <v>214.251690194708</v>
      </c>
    </row>
    <row r="813" spans="1:20" ht="13" x14ac:dyDescent="0.15">
      <c r="A813" s="6">
        <v>811</v>
      </c>
      <c r="B813" s="7">
        <v>44336</v>
      </c>
      <c r="C813" s="6">
        <v>237.94457253669501</v>
      </c>
      <c r="D813" s="6">
        <v>180.855555251282</v>
      </c>
      <c r="E813" s="6">
        <v>243.778108662412</v>
      </c>
      <c r="F813" s="6">
        <v>237.94457253669501</v>
      </c>
      <c r="G813" s="6">
        <v>237.94457253669501</v>
      </c>
      <c r="H813" s="6">
        <v>-24.291953641290899</v>
      </c>
      <c r="I813" s="6">
        <v>-24.291953641290899</v>
      </c>
      <c r="J813" s="6">
        <v>-24.291953641290899</v>
      </c>
      <c r="K813" s="6">
        <v>0.49015521355650998</v>
      </c>
      <c r="L813" s="6">
        <v>0.49015521355650998</v>
      </c>
      <c r="M813" s="6">
        <v>0.49015521355650998</v>
      </c>
      <c r="N813" s="6">
        <v>-24.782108854847401</v>
      </c>
      <c r="O813" s="6">
        <v>-24.782108854847401</v>
      </c>
      <c r="P813" s="6">
        <v>-24.782108854847401</v>
      </c>
      <c r="Q813" s="6">
        <v>0</v>
      </c>
      <c r="R813" s="6">
        <v>0</v>
      </c>
      <c r="S813" s="6">
        <v>0</v>
      </c>
      <c r="T813" s="6">
        <v>213.652618895404</v>
      </c>
    </row>
    <row r="814" spans="1:20" ht="13" x14ac:dyDescent="0.15">
      <c r="A814" s="6">
        <v>812</v>
      </c>
      <c r="B814" s="7">
        <v>44337</v>
      </c>
      <c r="C814" s="6">
        <v>238.19466074450401</v>
      </c>
      <c r="D814" s="6">
        <v>183.68556227875999</v>
      </c>
      <c r="E814" s="6">
        <v>246.26336600792001</v>
      </c>
      <c r="F814" s="6">
        <v>238.19466074450401</v>
      </c>
      <c r="G814" s="6">
        <v>238.19466074450401</v>
      </c>
      <c r="H814" s="6">
        <v>-25.062988511879801</v>
      </c>
      <c r="I814" s="6">
        <v>-25.062988511879801</v>
      </c>
      <c r="J814" s="6">
        <v>-25.062988511879801</v>
      </c>
      <c r="K814" s="6">
        <v>-2.2976765060998199E-2</v>
      </c>
      <c r="L814" s="6">
        <v>-2.2976765060998199E-2</v>
      </c>
      <c r="M814" s="6">
        <v>-2.2976765060998199E-2</v>
      </c>
      <c r="N814" s="6">
        <v>-25.040011746818799</v>
      </c>
      <c r="O814" s="6">
        <v>-25.040011746818799</v>
      </c>
      <c r="P814" s="6">
        <v>-25.040011746818799</v>
      </c>
      <c r="Q814" s="6">
        <v>0</v>
      </c>
      <c r="R814" s="6">
        <v>0</v>
      </c>
      <c r="S814" s="6">
        <v>0</v>
      </c>
      <c r="T814" s="6">
        <v>213.131672232624</v>
      </c>
    </row>
    <row r="815" spans="1:20" ht="13" x14ac:dyDescent="0.15">
      <c r="A815" s="6">
        <v>813</v>
      </c>
      <c r="B815" s="7">
        <v>44340</v>
      </c>
      <c r="C815" s="6">
        <v>238.944925367932</v>
      </c>
      <c r="D815" s="6">
        <v>183.84145413200201</v>
      </c>
      <c r="E815" s="6">
        <v>247.91863310132999</v>
      </c>
      <c r="F815" s="6">
        <v>238.944925367932</v>
      </c>
      <c r="G815" s="6">
        <v>238.944925367932</v>
      </c>
      <c r="H815" s="6">
        <v>-23.265276242098899</v>
      </c>
      <c r="I815" s="6">
        <v>-23.265276242098899</v>
      </c>
      <c r="J815" s="6">
        <v>-23.265276242098899</v>
      </c>
      <c r="K815" s="6">
        <v>1.82289060893565</v>
      </c>
      <c r="L815" s="6">
        <v>1.82289060893565</v>
      </c>
      <c r="M815" s="6">
        <v>1.82289060893565</v>
      </c>
      <c r="N815" s="6">
        <v>-25.0881668510346</v>
      </c>
      <c r="O815" s="6">
        <v>-25.0881668510346</v>
      </c>
      <c r="P815" s="6">
        <v>-25.0881668510346</v>
      </c>
      <c r="Q815" s="6">
        <v>0</v>
      </c>
      <c r="R815" s="6">
        <v>0</v>
      </c>
      <c r="S815" s="6">
        <v>0</v>
      </c>
      <c r="T815" s="6">
        <v>215.67964912583301</v>
      </c>
    </row>
    <row r="816" spans="1:20" ht="13" x14ac:dyDescent="0.15">
      <c r="A816" s="6">
        <v>814</v>
      </c>
      <c r="B816" s="7">
        <v>44341</v>
      </c>
      <c r="C816" s="6">
        <v>239.195013575741</v>
      </c>
      <c r="D816" s="6">
        <v>181.282279834099</v>
      </c>
      <c r="E816" s="6">
        <v>246.94963545853199</v>
      </c>
      <c r="F816" s="6">
        <v>239.195013575741</v>
      </c>
      <c r="G816" s="6">
        <v>239.195013575741</v>
      </c>
      <c r="H816" s="6">
        <v>-24.0519046339193</v>
      </c>
      <c r="I816" s="6">
        <v>-24.0519046339193</v>
      </c>
      <c r="J816" s="6">
        <v>-24.0519046339193</v>
      </c>
      <c r="K816" s="6">
        <v>0.84522403106245403</v>
      </c>
      <c r="L816" s="6">
        <v>0.84522403106245403</v>
      </c>
      <c r="M816" s="6">
        <v>0.84522403106245403</v>
      </c>
      <c r="N816" s="6">
        <v>-24.8971286649818</v>
      </c>
      <c r="O816" s="6">
        <v>-24.8971286649818</v>
      </c>
      <c r="P816" s="6">
        <v>-24.8971286649818</v>
      </c>
      <c r="Q816" s="6">
        <v>0</v>
      </c>
      <c r="R816" s="6">
        <v>0</v>
      </c>
      <c r="S816" s="6">
        <v>0</v>
      </c>
      <c r="T816" s="6">
        <v>215.14310894182199</v>
      </c>
    </row>
    <row r="817" spans="1:20" ht="13" x14ac:dyDescent="0.15">
      <c r="A817" s="6">
        <v>815</v>
      </c>
      <c r="B817" s="7">
        <v>44342</v>
      </c>
      <c r="C817" s="6">
        <v>239.445101783551</v>
      </c>
      <c r="D817" s="6">
        <v>184.043642235471</v>
      </c>
      <c r="E817" s="6">
        <v>249.04922831133601</v>
      </c>
      <c r="F817" s="6">
        <v>239.445101783551</v>
      </c>
      <c r="G817" s="6">
        <v>239.445101783551</v>
      </c>
      <c r="H817" s="6">
        <v>-23.675724882448701</v>
      </c>
      <c r="I817" s="6">
        <v>-23.675724882448701</v>
      </c>
      <c r="J817" s="6">
        <v>-23.675724882448701</v>
      </c>
      <c r="K817" s="6">
        <v>0.94874688043677302</v>
      </c>
      <c r="L817" s="6">
        <v>0.94874688043677302</v>
      </c>
      <c r="M817" s="6">
        <v>0.94874688043677302</v>
      </c>
      <c r="N817" s="6">
        <v>-24.624471762885399</v>
      </c>
      <c r="O817" s="6">
        <v>-24.624471762885399</v>
      </c>
      <c r="P817" s="6">
        <v>-24.624471762885399</v>
      </c>
      <c r="Q817" s="6">
        <v>0</v>
      </c>
      <c r="R817" s="6">
        <v>0</v>
      </c>
      <c r="S817" s="6">
        <v>0</v>
      </c>
      <c r="T817" s="6">
        <v>215.76937690110199</v>
      </c>
    </row>
    <row r="818" spans="1:20" ht="13" x14ac:dyDescent="0.15">
      <c r="A818" s="6">
        <v>816</v>
      </c>
      <c r="B818" s="7">
        <v>44343</v>
      </c>
      <c r="C818" s="6">
        <v>239.69518999136</v>
      </c>
      <c r="D818" s="6">
        <v>183.67155947404399</v>
      </c>
      <c r="E818" s="6">
        <v>247.83712783347499</v>
      </c>
      <c r="F818" s="6">
        <v>239.69518999136</v>
      </c>
      <c r="G818" s="6">
        <v>239.69518999136</v>
      </c>
      <c r="H818" s="6">
        <v>-23.795134156773699</v>
      </c>
      <c r="I818" s="6">
        <v>-23.795134156773699</v>
      </c>
      <c r="J818" s="6">
        <v>-23.795134156773699</v>
      </c>
      <c r="K818" s="6">
        <v>0.49015521355768898</v>
      </c>
      <c r="L818" s="6">
        <v>0.49015521355768898</v>
      </c>
      <c r="M818" s="6">
        <v>0.49015521355768898</v>
      </c>
      <c r="N818" s="6">
        <v>-24.285289370331402</v>
      </c>
      <c r="O818" s="6">
        <v>-24.285289370331402</v>
      </c>
      <c r="P818" s="6">
        <v>-24.285289370331402</v>
      </c>
      <c r="Q818" s="6">
        <v>0</v>
      </c>
      <c r="R818" s="6">
        <v>0</v>
      </c>
      <c r="S818" s="6">
        <v>0</v>
      </c>
      <c r="T818" s="6">
        <v>215.900055834586</v>
      </c>
    </row>
    <row r="819" spans="1:20" ht="13" x14ac:dyDescent="0.15">
      <c r="A819" s="6">
        <v>817</v>
      </c>
      <c r="B819" s="7">
        <v>44344</v>
      </c>
      <c r="C819" s="6">
        <v>239.945278199169</v>
      </c>
      <c r="D819" s="6">
        <v>182.853021013556</v>
      </c>
      <c r="E819" s="6">
        <v>248.66614152476501</v>
      </c>
      <c r="F819" s="6">
        <v>239.945278199169</v>
      </c>
      <c r="G819" s="6">
        <v>239.945278199169</v>
      </c>
      <c r="H819" s="6">
        <v>-23.9183548439905</v>
      </c>
      <c r="I819" s="6">
        <v>-23.9183548439905</v>
      </c>
      <c r="J819" s="6">
        <v>-23.9183548439905</v>
      </c>
      <c r="K819" s="6">
        <v>-2.2976765059051898E-2</v>
      </c>
      <c r="L819" s="6">
        <v>-2.2976765059051898E-2</v>
      </c>
      <c r="M819" s="6">
        <v>-2.2976765059051898E-2</v>
      </c>
      <c r="N819" s="6">
        <v>-23.895378078931401</v>
      </c>
      <c r="O819" s="6">
        <v>-23.895378078931401</v>
      </c>
      <c r="P819" s="6">
        <v>-23.895378078931401</v>
      </c>
      <c r="Q819" s="6">
        <v>0</v>
      </c>
      <c r="R819" s="6">
        <v>0</v>
      </c>
      <c r="S819" s="6">
        <v>0</v>
      </c>
      <c r="T819" s="6">
        <v>216.02692335517901</v>
      </c>
    </row>
    <row r="820" spans="1:20" ht="13" x14ac:dyDescent="0.15">
      <c r="A820" s="6">
        <v>818</v>
      </c>
      <c r="B820" s="7">
        <v>44348</v>
      </c>
      <c r="C820" s="6">
        <v>240.94563103040699</v>
      </c>
      <c r="D820" s="6">
        <v>187.53636236585001</v>
      </c>
      <c r="E820" s="6">
        <v>251.52837732464801</v>
      </c>
      <c r="F820" s="6">
        <v>240.94563103040699</v>
      </c>
      <c r="G820" s="6">
        <v>240.94563103040699</v>
      </c>
      <c r="H820" s="6">
        <v>-21.2990282700226</v>
      </c>
      <c r="I820" s="6">
        <v>-21.2990282700226</v>
      </c>
      <c r="J820" s="6">
        <v>-21.2990282700226</v>
      </c>
      <c r="K820" s="6">
        <v>0.84522403106719102</v>
      </c>
      <c r="L820" s="6">
        <v>0.84522403106719102</v>
      </c>
      <c r="M820" s="6">
        <v>0.84522403106719102</v>
      </c>
      <c r="N820" s="6">
        <v>-22.1442523010898</v>
      </c>
      <c r="O820" s="6">
        <v>-22.1442523010898</v>
      </c>
      <c r="P820" s="6">
        <v>-22.1442523010898</v>
      </c>
      <c r="Q820" s="6">
        <v>0</v>
      </c>
      <c r="R820" s="6">
        <v>0</v>
      </c>
      <c r="S820" s="6">
        <v>0</v>
      </c>
      <c r="T820" s="6">
        <v>219.64660276038401</v>
      </c>
    </row>
    <row r="821" spans="1:20" ht="13" x14ac:dyDescent="0.15">
      <c r="A821" s="6">
        <v>819</v>
      </c>
      <c r="B821" s="7">
        <v>44349</v>
      </c>
      <c r="C821" s="6">
        <v>241.19571923821599</v>
      </c>
      <c r="D821" s="6">
        <v>189.702242554538</v>
      </c>
      <c r="E821" s="6">
        <v>252.27350554914099</v>
      </c>
      <c r="F821" s="6">
        <v>241.19571923821599</v>
      </c>
      <c r="G821" s="6">
        <v>241.19571923821599</v>
      </c>
      <c r="H821" s="6">
        <v>-20.7828036419303</v>
      </c>
      <c r="I821" s="6">
        <v>-20.7828036419303</v>
      </c>
      <c r="J821" s="6">
        <v>-20.7828036419303</v>
      </c>
      <c r="K821" s="6">
        <v>0.94874688043594202</v>
      </c>
      <c r="L821" s="6">
        <v>0.94874688043594202</v>
      </c>
      <c r="M821" s="6">
        <v>0.94874688043594202</v>
      </c>
      <c r="N821" s="6">
        <v>-21.731550522366302</v>
      </c>
      <c r="O821" s="6">
        <v>-21.731550522366302</v>
      </c>
      <c r="P821" s="6">
        <v>-21.731550522366302</v>
      </c>
      <c r="Q821" s="6">
        <v>0</v>
      </c>
      <c r="R821" s="6">
        <v>0</v>
      </c>
      <c r="S821" s="6">
        <v>0</v>
      </c>
      <c r="T821" s="6">
        <v>220.41291559628601</v>
      </c>
    </row>
    <row r="822" spans="1:20" ht="13" x14ac:dyDescent="0.15">
      <c r="A822" s="6">
        <v>820</v>
      </c>
      <c r="B822" s="7">
        <v>44350</v>
      </c>
      <c r="C822" s="6">
        <v>241.44580744602601</v>
      </c>
      <c r="D822" s="6">
        <v>188.84463638215701</v>
      </c>
      <c r="E822" s="6">
        <v>254.17541267174099</v>
      </c>
      <c r="F822" s="6">
        <v>241.44580744602601</v>
      </c>
      <c r="G822" s="6">
        <v>241.44580744602601</v>
      </c>
      <c r="H822" s="6">
        <v>-20.863348309068002</v>
      </c>
      <c r="I822" s="6">
        <v>-20.863348309068002</v>
      </c>
      <c r="J822" s="6">
        <v>-20.863348309068002</v>
      </c>
      <c r="K822" s="6">
        <v>0.49015521355485098</v>
      </c>
      <c r="L822" s="6">
        <v>0.49015521355485098</v>
      </c>
      <c r="M822" s="6">
        <v>0.49015521355485098</v>
      </c>
      <c r="N822" s="6">
        <v>-21.353503522622901</v>
      </c>
      <c r="O822" s="6">
        <v>-21.353503522622901</v>
      </c>
      <c r="P822" s="6">
        <v>-21.353503522622901</v>
      </c>
      <c r="Q822" s="6">
        <v>0</v>
      </c>
      <c r="R822" s="6">
        <v>0</v>
      </c>
      <c r="S822" s="6">
        <v>0</v>
      </c>
      <c r="T822" s="6">
        <v>220.582459136957</v>
      </c>
    </row>
    <row r="823" spans="1:20" ht="13" x14ac:dyDescent="0.15">
      <c r="A823" s="6">
        <v>821</v>
      </c>
      <c r="B823" s="7">
        <v>44351</v>
      </c>
      <c r="C823" s="6">
        <v>241.69589565383501</v>
      </c>
      <c r="D823" s="6">
        <v>188.26679814700901</v>
      </c>
      <c r="E823" s="6">
        <v>252.40562927852</v>
      </c>
      <c r="F823" s="6">
        <v>241.69589565383501</v>
      </c>
      <c r="G823" s="6">
        <v>241.69589565383501</v>
      </c>
      <c r="H823" s="6">
        <v>-21.042225027282701</v>
      </c>
      <c r="I823" s="6">
        <v>-21.042225027282701</v>
      </c>
      <c r="J823" s="6">
        <v>-21.042225027282701</v>
      </c>
      <c r="K823" s="6">
        <v>-2.2976765061663899E-2</v>
      </c>
      <c r="L823" s="6">
        <v>-2.2976765061663899E-2</v>
      </c>
      <c r="M823" s="6">
        <v>-2.2976765061663899E-2</v>
      </c>
      <c r="N823" s="6">
        <v>-21.019248262221002</v>
      </c>
      <c r="O823" s="6">
        <v>-21.019248262221002</v>
      </c>
      <c r="P823" s="6">
        <v>-21.019248262221002</v>
      </c>
      <c r="Q823" s="6">
        <v>0</v>
      </c>
      <c r="R823" s="6">
        <v>0</v>
      </c>
      <c r="S823" s="6">
        <v>0</v>
      </c>
      <c r="T823" s="6">
        <v>220.65367062655201</v>
      </c>
    </row>
    <row r="824" spans="1:20" ht="13" x14ac:dyDescent="0.15">
      <c r="A824" s="6">
        <v>822</v>
      </c>
      <c r="B824" s="7">
        <v>44354</v>
      </c>
      <c r="C824" s="6">
        <v>242.446160277263</v>
      </c>
      <c r="D824" s="6">
        <v>191.17132931780901</v>
      </c>
      <c r="E824" s="6">
        <v>259.31432637985898</v>
      </c>
      <c r="F824" s="6">
        <v>242.446160277263</v>
      </c>
      <c r="G824" s="6">
        <v>242.446160277263</v>
      </c>
      <c r="H824" s="6">
        <v>-18.514103876766299</v>
      </c>
      <c r="I824" s="6">
        <v>-18.514103876766299</v>
      </c>
      <c r="J824" s="6">
        <v>-18.514103876766299</v>
      </c>
      <c r="K824" s="6">
        <v>1.8228906089390799</v>
      </c>
      <c r="L824" s="6">
        <v>1.8228906089390799</v>
      </c>
      <c r="M824" s="6">
        <v>1.8228906089390799</v>
      </c>
      <c r="N824" s="6">
        <v>-20.3369944857054</v>
      </c>
      <c r="O824" s="6">
        <v>-20.3369944857054</v>
      </c>
      <c r="P824" s="6">
        <v>-20.3369944857054</v>
      </c>
      <c r="Q824" s="6">
        <v>0</v>
      </c>
      <c r="R824" s="6">
        <v>0</v>
      </c>
      <c r="S824" s="6">
        <v>0</v>
      </c>
      <c r="T824" s="6">
        <v>223.932056400497</v>
      </c>
    </row>
    <row r="825" spans="1:20" ht="13" x14ac:dyDescent="0.15">
      <c r="A825" s="6">
        <v>823</v>
      </c>
      <c r="B825" s="7">
        <v>44355</v>
      </c>
      <c r="C825" s="6">
        <v>242.696248485072</v>
      </c>
      <c r="D825" s="6">
        <v>187.62567222394</v>
      </c>
      <c r="E825" s="6">
        <v>253.73578261921699</v>
      </c>
      <c r="F825" s="6">
        <v>242.696248485072</v>
      </c>
      <c r="G825" s="6">
        <v>242.696248485072</v>
      </c>
      <c r="H825" s="6">
        <v>-19.378621565290501</v>
      </c>
      <c r="I825" s="6">
        <v>-19.378621565290501</v>
      </c>
      <c r="J825" s="6">
        <v>-19.378621565290501</v>
      </c>
      <c r="K825" s="6">
        <v>0.84522403106573396</v>
      </c>
      <c r="L825" s="6">
        <v>0.84522403106573396</v>
      </c>
      <c r="M825" s="6">
        <v>0.84522403106573396</v>
      </c>
      <c r="N825" s="6">
        <v>-20.223845596356199</v>
      </c>
      <c r="O825" s="6">
        <v>-20.223845596356199</v>
      </c>
      <c r="P825" s="6">
        <v>-20.223845596356199</v>
      </c>
      <c r="Q825" s="6">
        <v>0</v>
      </c>
      <c r="R825" s="6">
        <v>0</v>
      </c>
      <c r="S825" s="6">
        <v>0</v>
      </c>
      <c r="T825" s="6">
        <v>223.31762691978199</v>
      </c>
    </row>
    <row r="826" spans="1:20" ht="13" x14ac:dyDescent="0.15">
      <c r="A826" s="6">
        <v>824</v>
      </c>
      <c r="B826" s="7">
        <v>44356</v>
      </c>
      <c r="C826" s="6">
        <v>242.946336692882</v>
      </c>
      <c r="D826" s="6">
        <v>193.59267646390001</v>
      </c>
      <c r="E826" s="6">
        <v>255.89740243471999</v>
      </c>
      <c r="F826" s="6">
        <v>242.946336692882</v>
      </c>
      <c r="G826" s="6">
        <v>242.946336692882</v>
      </c>
      <c r="H826" s="6">
        <v>-19.216916122651899</v>
      </c>
      <c r="I826" s="6">
        <v>-19.216916122651899</v>
      </c>
      <c r="J826" s="6">
        <v>-19.216916122651899</v>
      </c>
      <c r="K826" s="6">
        <v>0.94874688043779198</v>
      </c>
      <c r="L826" s="6">
        <v>0.94874688043779198</v>
      </c>
      <c r="M826" s="6">
        <v>0.94874688043779198</v>
      </c>
      <c r="N826" s="6">
        <v>-20.165663003089701</v>
      </c>
      <c r="O826" s="6">
        <v>-20.165663003089701</v>
      </c>
      <c r="P826" s="6">
        <v>-20.165663003089701</v>
      </c>
      <c r="Q826" s="6">
        <v>0</v>
      </c>
      <c r="R826" s="6">
        <v>0</v>
      </c>
      <c r="S826" s="6">
        <v>0</v>
      </c>
      <c r="T826" s="6">
        <v>223.72942057022999</v>
      </c>
    </row>
    <row r="827" spans="1:20" ht="13" x14ac:dyDescent="0.15">
      <c r="A827" s="6">
        <v>825</v>
      </c>
      <c r="B827" s="7">
        <v>44357</v>
      </c>
      <c r="C827" s="6">
        <v>243.196424900691</v>
      </c>
      <c r="D827" s="6">
        <v>190.003787690238</v>
      </c>
      <c r="E827" s="6">
        <v>256.82689856628201</v>
      </c>
      <c r="F827" s="6">
        <v>243.196424900691</v>
      </c>
      <c r="G827" s="6">
        <v>243.196424900691</v>
      </c>
      <c r="H827" s="6">
        <v>-19.667674269988101</v>
      </c>
      <c r="I827" s="6">
        <v>-19.667674269988101</v>
      </c>
      <c r="J827" s="6">
        <v>-19.667674269988101</v>
      </c>
      <c r="K827" s="6">
        <v>0.49015521356004799</v>
      </c>
      <c r="L827" s="6">
        <v>0.49015521356004799</v>
      </c>
      <c r="M827" s="6">
        <v>0.49015521356004799</v>
      </c>
      <c r="N827" s="6">
        <v>-20.157829483548198</v>
      </c>
      <c r="O827" s="6">
        <v>-20.157829483548198</v>
      </c>
      <c r="P827" s="6">
        <v>-20.157829483548198</v>
      </c>
      <c r="Q827" s="6">
        <v>0</v>
      </c>
      <c r="R827" s="6">
        <v>0</v>
      </c>
      <c r="S827" s="6">
        <v>0</v>
      </c>
      <c r="T827" s="6">
        <v>223.528750630703</v>
      </c>
    </row>
    <row r="828" spans="1:20" ht="13" x14ac:dyDescent="0.15">
      <c r="A828" s="6">
        <v>826</v>
      </c>
      <c r="B828" s="7">
        <v>44358</v>
      </c>
      <c r="C828" s="6">
        <v>243.4465131085</v>
      </c>
      <c r="D828" s="6">
        <v>193.48832581408399</v>
      </c>
      <c r="E828" s="6">
        <v>255.395668009031</v>
      </c>
      <c r="F828" s="6">
        <v>243.4465131085</v>
      </c>
      <c r="G828" s="6">
        <v>243.4465131085</v>
      </c>
      <c r="H828" s="6">
        <v>-20.216759339475999</v>
      </c>
      <c r="I828" s="6">
        <v>-20.216759339475999</v>
      </c>
      <c r="J828" s="6">
        <v>-20.216759339475999</v>
      </c>
      <c r="K828" s="6">
        <v>-2.2976765064276101E-2</v>
      </c>
      <c r="L828" s="6">
        <v>-2.2976765064276101E-2</v>
      </c>
      <c r="M828" s="6">
        <v>-2.2976765064276101E-2</v>
      </c>
      <c r="N828" s="6">
        <v>-20.193782574411699</v>
      </c>
      <c r="O828" s="6">
        <v>-20.193782574411699</v>
      </c>
      <c r="P828" s="6">
        <v>-20.193782574411699</v>
      </c>
      <c r="Q828" s="6">
        <v>0</v>
      </c>
      <c r="R828" s="6">
        <v>0</v>
      </c>
      <c r="S828" s="6">
        <v>0</v>
      </c>
      <c r="T828" s="6">
        <v>223.229753769024</v>
      </c>
    </row>
    <row r="829" spans="1:20" ht="13" x14ac:dyDescent="0.15">
      <c r="A829" s="6">
        <v>827</v>
      </c>
      <c r="B829" s="7">
        <v>44361</v>
      </c>
      <c r="C829" s="6">
        <v>244.19677773192799</v>
      </c>
      <c r="D829" s="6">
        <v>195.56327893521501</v>
      </c>
      <c r="E829" s="6">
        <v>258.63109390913201</v>
      </c>
      <c r="F829" s="6">
        <v>244.19677773192799</v>
      </c>
      <c r="G829" s="6">
        <v>244.19677773192799</v>
      </c>
      <c r="H829" s="6">
        <v>-18.652586969773498</v>
      </c>
      <c r="I829" s="6">
        <v>-18.652586969773498</v>
      </c>
      <c r="J829" s="6">
        <v>-18.652586969773498</v>
      </c>
      <c r="K829" s="6">
        <v>1.82289060893958</v>
      </c>
      <c r="L829" s="6">
        <v>1.82289060893958</v>
      </c>
      <c r="M829" s="6">
        <v>1.82289060893958</v>
      </c>
      <c r="N829" s="6">
        <v>-20.4754775787131</v>
      </c>
      <c r="O829" s="6">
        <v>-20.4754775787131</v>
      </c>
      <c r="P829" s="6">
        <v>-20.4754775787131</v>
      </c>
      <c r="Q829" s="6">
        <v>0</v>
      </c>
      <c r="R829" s="6">
        <v>0</v>
      </c>
      <c r="S829" s="6">
        <v>0</v>
      </c>
      <c r="T829" s="6">
        <v>225.54419076215501</v>
      </c>
    </row>
    <row r="830" spans="1:20" ht="13" x14ac:dyDescent="0.15">
      <c r="A830" s="6">
        <v>828</v>
      </c>
      <c r="B830" s="7">
        <v>44362</v>
      </c>
      <c r="C830" s="6">
        <v>244.44686593973799</v>
      </c>
      <c r="D830" s="6">
        <v>192.79779867891199</v>
      </c>
      <c r="E830" s="6">
        <v>255.45355926711201</v>
      </c>
      <c r="F830" s="6">
        <v>244.44686593973799</v>
      </c>
      <c r="G830" s="6">
        <v>244.44686593973799</v>
      </c>
      <c r="H830" s="6">
        <v>-19.747071336476399</v>
      </c>
      <c r="I830" s="6">
        <v>-19.747071336476399</v>
      </c>
      <c r="J830" s="6">
        <v>-19.747071336476399</v>
      </c>
      <c r="K830" s="6">
        <v>0.84522403106508903</v>
      </c>
      <c r="L830" s="6">
        <v>0.84522403106508903</v>
      </c>
      <c r="M830" s="6">
        <v>0.84522403106508903</v>
      </c>
      <c r="N830" s="6">
        <v>-20.5922953675414</v>
      </c>
      <c r="O830" s="6">
        <v>-20.5922953675414</v>
      </c>
      <c r="P830" s="6">
        <v>-20.5922953675414</v>
      </c>
      <c r="Q830" s="6">
        <v>0</v>
      </c>
      <c r="R830" s="6">
        <v>0</v>
      </c>
      <c r="S830" s="6">
        <v>0</v>
      </c>
      <c r="T830" s="6">
        <v>224.69979460326101</v>
      </c>
    </row>
    <row r="831" spans="1:20" ht="13" x14ac:dyDescent="0.15">
      <c r="A831" s="6">
        <v>829</v>
      </c>
      <c r="B831" s="7">
        <v>44363</v>
      </c>
      <c r="C831" s="6">
        <v>244.69695414754699</v>
      </c>
      <c r="D831" s="6">
        <v>191.78881084713601</v>
      </c>
      <c r="E831" s="6">
        <v>258.26696611207501</v>
      </c>
      <c r="F831" s="6">
        <v>244.69695414754699</v>
      </c>
      <c r="G831" s="6">
        <v>244.69695414754699</v>
      </c>
      <c r="H831" s="6">
        <v>-19.752917332054899</v>
      </c>
      <c r="I831" s="6">
        <v>-19.752917332054899</v>
      </c>
      <c r="J831" s="6">
        <v>-19.752917332054899</v>
      </c>
      <c r="K831" s="6">
        <v>0.94874688043964095</v>
      </c>
      <c r="L831" s="6">
        <v>0.94874688043964095</v>
      </c>
      <c r="M831" s="6">
        <v>0.94874688043964095</v>
      </c>
      <c r="N831" s="6">
        <v>-20.701664212494599</v>
      </c>
      <c r="O831" s="6">
        <v>-20.701664212494599</v>
      </c>
      <c r="P831" s="6">
        <v>-20.701664212494599</v>
      </c>
      <c r="Q831" s="6">
        <v>0</v>
      </c>
      <c r="R831" s="6">
        <v>0</v>
      </c>
      <c r="S831" s="6">
        <v>0</v>
      </c>
      <c r="T831" s="6">
        <v>224.94403681549201</v>
      </c>
    </row>
    <row r="832" spans="1:20" ht="13" x14ac:dyDescent="0.15">
      <c r="A832" s="6">
        <v>830</v>
      </c>
      <c r="B832" s="7">
        <v>44364</v>
      </c>
      <c r="C832" s="6">
        <v>244.94704235535701</v>
      </c>
      <c r="D832" s="6">
        <v>191.190112964375</v>
      </c>
      <c r="E832" s="6">
        <v>257.07994733292003</v>
      </c>
      <c r="F832" s="6">
        <v>244.94704235535701</v>
      </c>
      <c r="G832" s="6">
        <v>244.94704235535701</v>
      </c>
      <c r="H832" s="6">
        <v>-20.3020607979864</v>
      </c>
      <c r="I832" s="6">
        <v>-20.3020607979864</v>
      </c>
      <c r="J832" s="6">
        <v>-20.3020607979864</v>
      </c>
      <c r="K832" s="6">
        <v>0.49015521355575198</v>
      </c>
      <c r="L832" s="6">
        <v>0.49015521355575198</v>
      </c>
      <c r="M832" s="6">
        <v>0.49015521355575198</v>
      </c>
      <c r="N832" s="6">
        <v>-20.792216011542202</v>
      </c>
      <c r="O832" s="6">
        <v>-20.792216011542202</v>
      </c>
      <c r="P832" s="6">
        <v>-20.792216011542202</v>
      </c>
      <c r="Q832" s="6">
        <v>0</v>
      </c>
      <c r="R832" s="6">
        <v>0</v>
      </c>
      <c r="S832" s="6">
        <v>0</v>
      </c>
      <c r="T832" s="6">
        <v>224.64498155736999</v>
      </c>
    </row>
    <row r="833" spans="1:20" ht="13" x14ac:dyDescent="0.15">
      <c r="A833" s="6">
        <v>831</v>
      </c>
      <c r="B833" s="7">
        <v>44365</v>
      </c>
      <c r="C833" s="6">
        <v>245.19713056316601</v>
      </c>
      <c r="D833" s="6">
        <v>192.75999638440399</v>
      </c>
      <c r="E833" s="6">
        <v>255.59330924711099</v>
      </c>
      <c r="F833" s="6">
        <v>245.19713056316601</v>
      </c>
      <c r="G833" s="6">
        <v>245.19713056316601</v>
      </c>
      <c r="H833" s="6">
        <v>-20.876079779369299</v>
      </c>
      <c r="I833" s="6">
        <v>-20.876079779369299</v>
      </c>
      <c r="J833" s="6">
        <v>-20.876079779369299</v>
      </c>
      <c r="K833" s="6">
        <v>-2.2976765062775701E-2</v>
      </c>
      <c r="L833" s="6">
        <v>-2.2976765062775701E-2</v>
      </c>
      <c r="M833" s="6">
        <v>-2.2976765062775701E-2</v>
      </c>
      <c r="N833" s="6">
        <v>-20.853103014306601</v>
      </c>
      <c r="O833" s="6">
        <v>-20.853103014306601</v>
      </c>
      <c r="P833" s="6">
        <v>-20.853103014306601</v>
      </c>
      <c r="Q833" s="6">
        <v>0</v>
      </c>
      <c r="R833" s="6">
        <v>0</v>
      </c>
      <c r="S833" s="6">
        <v>0</v>
      </c>
      <c r="T833" s="6">
        <v>224.32105078379601</v>
      </c>
    </row>
    <row r="834" spans="1:20" ht="13" x14ac:dyDescent="0.15">
      <c r="A834" s="6">
        <v>832</v>
      </c>
      <c r="B834" s="7">
        <v>44368</v>
      </c>
      <c r="C834" s="6">
        <v>245.94739518659401</v>
      </c>
      <c r="D834" s="6">
        <v>193.941863231323</v>
      </c>
      <c r="E834" s="6">
        <v>260.42996235457798</v>
      </c>
      <c r="F834" s="6">
        <v>245.94739518659401</v>
      </c>
      <c r="G834" s="6">
        <v>245.94739518659401</v>
      </c>
      <c r="H834" s="6">
        <v>-18.941460056787601</v>
      </c>
      <c r="I834" s="6">
        <v>-18.941460056787601</v>
      </c>
      <c r="J834" s="6">
        <v>-18.941460056787601</v>
      </c>
      <c r="K834" s="6">
        <v>1.8228906089425101</v>
      </c>
      <c r="L834" s="6">
        <v>1.8228906089425101</v>
      </c>
      <c r="M834" s="6">
        <v>1.8228906089425101</v>
      </c>
      <c r="N834" s="6">
        <v>-20.764350665730099</v>
      </c>
      <c r="O834" s="6">
        <v>-20.764350665730099</v>
      </c>
      <c r="P834" s="6">
        <v>-20.764350665730099</v>
      </c>
      <c r="Q834" s="6">
        <v>0</v>
      </c>
      <c r="R834" s="6">
        <v>0</v>
      </c>
      <c r="S834" s="6">
        <v>0</v>
      </c>
      <c r="T834" s="6">
        <v>227.00593512980601</v>
      </c>
    </row>
    <row r="835" spans="1:20" ht="13" x14ac:dyDescent="0.15">
      <c r="A835" s="6">
        <v>833</v>
      </c>
      <c r="B835" s="7">
        <v>44369</v>
      </c>
      <c r="C835" s="6">
        <v>246.19748339440301</v>
      </c>
      <c r="D835" s="6">
        <v>196.64557399860399</v>
      </c>
      <c r="E835" s="6">
        <v>258.913480800103</v>
      </c>
      <c r="F835" s="6">
        <v>246.19748339440301</v>
      </c>
      <c r="G835" s="6">
        <v>246.19748339440301</v>
      </c>
      <c r="H835" s="6">
        <v>-19.774998340531599</v>
      </c>
      <c r="I835" s="6">
        <v>-19.774998340531599</v>
      </c>
      <c r="J835" s="6">
        <v>-19.774998340531599</v>
      </c>
      <c r="K835" s="6">
        <v>0.845224031069015</v>
      </c>
      <c r="L835" s="6">
        <v>0.845224031069015</v>
      </c>
      <c r="M835" s="6">
        <v>0.845224031069015</v>
      </c>
      <c r="N835" s="6">
        <v>-20.6202223716007</v>
      </c>
      <c r="O835" s="6">
        <v>-20.6202223716007</v>
      </c>
      <c r="P835" s="6">
        <v>-20.6202223716007</v>
      </c>
      <c r="Q835" s="6">
        <v>0</v>
      </c>
      <c r="R835" s="6">
        <v>0</v>
      </c>
      <c r="S835" s="6">
        <v>0</v>
      </c>
      <c r="T835" s="6">
        <v>226.42248505387201</v>
      </c>
    </row>
    <row r="836" spans="1:20" ht="13" x14ac:dyDescent="0.15">
      <c r="A836" s="6">
        <v>834</v>
      </c>
      <c r="B836" s="7">
        <v>44370</v>
      </c>
      <c r="C836" s="6">
        <v>246.447571602213</v>
      </c>
      <c r="D836" s="6">
        <v>195.250958724768</v>
      </c>
      <c r="E836" s="6">
        <v>260.41932658524701</v>
      </c>
      <c r="F836" s="6">
        <v>246.447571602213</v>
      </c>
      <c r="G836" s="6">
        <v>246.447571602213</v>
      </c>
      <c r="H836" s="6">
        <v>-19.462363470941</v>
      </c>
      <c r="I836" s="6">
        <v>-19.462363470941</v>
      </c>
      <c r="J836" s="6">
        <v>-19.462363470941</v>
      </c>
      <c r="K836" s="6">
        <v>0.94874688043613098</v>
      </c>
      <c r="L836" s="6">
        <v>0.94874688043613098</v>
      </c>
      <c r="M836" s="6">
        <v>0.94874688043613098</v>
      </c>
      <c r="N836" s="6">
        <v>-20.411110351377101</v>
      </c>
      <c r="O836" s="6">
        <v>-20.411110351377101</v>
      </c>
      <c r="P836" s="6">
        <v>-20.411110351377101</v>
      </c>
      <c r="Q836" s="6">
        <v>0</v>
      </c>
      <c r="R836" s="6">
        <v>0</v>
      </c>
      <c r="S836" s="6">
        <v>0</v>
      </c>
      <c r="T836" s="6">
        <v>226.985208131272</v>
      </c>
    </row>
    <row r="837" spans="1:20" ht="13" x14ac:dyDescent="0.15">
      <c r="A837" s="6">
        <v>835</v>
      </c>
      <c r="B837" s="7">
        <v>44371</v>
      </c>
      <c r="C837" s="6">
        <v>246.697659810022</v>
      </c>
      <c r="D837" s="6">
        <v>194.83107333402401</v>
      </c>
      <c r="E837" s="6">
        <v>258.66173131219102</v>
      </c>
      <c r="F837" s="6">
        <v>246.697659810022</v>
      </c>
      <c r="G837" s="6">
        <v>246.697659810022</v>
      </c>
      <c r="H837" s="6">
        <v>-19.645136952369999</v>
      </c>
      <c r="I837" s="6">
        <v>-19.645136952369999</v>
      </c>
      <c r="J837" s="6">
        <v>-19.645136952369999</v>
      </c>
      <c r="K837" s="6">
        <v>0.49015521355693098</v>
      </c>
      <c r="L837" s="6">
        <v>0.49015521355693098</v>
      </c>
      <c r="M837" s="6">
        <v>0.49015521355693098</v>
      </c>
      <c r="N837" s="6">
        <v>-20.135292165926899</v>
      </c>
      <c r="O837" s="6">
        <v>-20.135292165926899</v>
      </c>
      <c r="P837" s="6">
        <v>-20.135292165926899</v>
      </c>
      <c r="Q837" s="6">
        <v>0</v>
      </c>
      <c r="R837" s="6">
        <v>0</v>
      </c>
      <c r="S837" s="6">
        <v>0</v>
      </c>
      <c r="T837" s="6">
        <v>227.05252285765201</v>
      </c>
    </row>
    <row r="838" spans="1:20" ht="13" x14ac:dyDescent="0.15">
      <c r="A838" s="6">
        <v>836</v>
      </c>
      <c r="B838" s="7">
        <v>44372</v>
      </c>
      <c r="C838" s="6">
        <v>246.947748017831</v>
      </c>
      <c r="D838" s="6">
        <v>194.41980130935201</v>
      </c>
      <c r="E838" s="6">
        <v>257.17377031364998</v>
      </c>
      <c r="F838" s="6">
        <v>246.947748017831</v>
      </c>
      <c r="G838" s="6">
        <v>246.947748017831</v>
      </c>
      <c r="H838" s="6">
        <v>-19.816044755322402</v>
      </c>
      <c r="I838" s="6">
        <v>-19.816044755322402</v>
      </c>
      <c r="J838" s="6">
        <v>-19.816044755322402</v>
      </c>
      <c r="K838" s="6">
        <v>-2.29767650608293E-2</v>
      </c>
      <c r="L838" s="6">
        <v>-2.29767650608293E-2</v>
      </c>
      <c r="M838" s="6">
        <v>-2.29767650608293E-2</v>
      </c>
      <c r="N838" s="6">
        <v>-19.793067990261498</v>
      </c>
      <c r="O838" s="6">
        <v>-19.793067990261498</v>
      </c>
      <c r="P838" s="6">
        <v>-19.793067990261498</v>
      </c>
      <c r="Q838" s="6">
        <v>0</v>
      </c>
      <c r="R838" s="6">
        <v>0</v>
      </c>
      <c r="S838" s="6">
        <v>0</v>
      </c>
      <c r="T838" s="6">
        <v>227.13170326250901</v>
      </c>
    </row>
    <row r="839" spans="1:20" ht="13" x14ac:dyDescent="0.15">
      <c r="A839" s="6">
        <v>837</v>
      </c>
      <c r="B839" s="7">
        <v>44375</v>
      </c>
      <c r="C839" s="6">
        <v>247.698012641259</v>
      </c>
      <c r="D839" s="6">
        <v>198.660465146321</v>
      </c>
      <c r="E839" s="6">
        <v>263.45858121196699</v>
      </c>
      <c r="F839" s="6">
        <v>247.698012641259</v>
      </c>
      <c r="G839" s="6">
        <v>247.698012641259</v>
      </c>
      <c r="H839" s="6">
        <v>-16.5773842955989</v>
      </c>
      <c r="I839" s="6">
        <v>-16.5773842955989</v>
      </c>
      <c r="J839" s="6">
        <v>-16.5773842955989</v>
      </c>
      <c r="K839" s="6">
        <v>1.82289060893509</v>
      </c>
      <c r="L839" s="6">
        <v>1.82289060893509</v>
      </c>
      <c r="M839" s="6">
        <v>1.82289060893509</v>
      </c>
      <c r="N839" s="6">
        <v>-18.400274904533902</v>
      </c>
      <c r="O839" s="6">
        <v>-18.400274904533902</v>
      </c>
      <c r="P839" s="6">
        <v>-18.400274904533902</v>
      </c>
      <c r="Q839" s="6">
        <v>0</v>
      </c>
      <c r="R839" s="6">
        <v>0</v>
      </c>
      <c r="S839" s="6">
        <v>0</v>
      </c>
      <c r="T839" s="6">
        <v>231.120628345661</v>
      </c>
    </row>
    <row r="840" spans="1:20" ht="13" x14ac:dyDescent="0.15">
      <c r="A840" s="6">
        <v>838</v>
      </c>
      <c r="B840" s="7">
        <v>44376</v>
      </c>
      <c r="C840" s="6">
        <v>247.94810084906899</v>
      </c>
      <c r="D840" s="6">
        <v>199.34670010372699</v>
      </c>
      <c r="E840" s="6">
        <v>263.16134646389099</v>
      </c>
      <c r="F840" s="6">
        <v>247.94810084906899</v>
      </c>
      <c r="G840" s="6">
        <v>247.94810084906899</v>
      </c>
      <c r="H840" s="6">
        <v>-16.988357242262602</v>
      </c>
      <c r="I840" s="6">
        <v>-16.988357242262602</v>
      </c>
      <c r="J840" s="6">
        <v>-16.988357242262602</v>
      </c>
      <c r="K840" s="6">
        <v>0.84522403106836996</v>
      </c>
      <c r="L840" s="6">
        <v>0.84522403106836996</v>
      </c>
      <c r="M840" s="6">
        <v>0.84522403106836996</v>
      </c>
      <c r="N840" s="6">
        <v>-17.833581273330999</v>
      </c>
      <c r="O840" s="6">
        <v>-17.833581273330999</v>
      </c>
      <c r="P840" s="6">
        <v>-17.833581273330999</v>
      </c>
      <c r="Q840" s="6">
        <v>0</v>
      </c>
      <c r="R840" s="6">
        <v>0</v>
      </c>
      <c r="S840" s="6">
        <v>0</v>
      </c>
      <c r="T840" s="6">
        <v>230.959743606806</v>
      </c>
    </row>
    <row r="841" spans="1:20" ht="13" x14ac:dyDescent="0.15">
      <c r="A841" s="6">
        <v>839</v>
      </c>
      <c r="B841" s="7">
        <v>44377</v>
      </c>
      <c r="C841" s="6">
        <v>248.19818905687799</v>
      </c>
      <c r="D841" s="6">
        <v>199.40580356344799</v>
      </c>
      <c r="E841" s="6">
        <v>261.574508694023</v>
      </c>
      <c r="F841" s="6">
        <v>248.19818905687799</v>
      </c>
      <c r="G841" s="6">
        <v>248.19818905687799</v>
      </c>
      <c r="H841" s="6">
        <v>-16.2804195256791</v>
      </c>
      <c r="I841" s="6">
        <v>-16.2804195256791</v>
      </c>
      <c r="J841" s="6">
        <v>-16.2804195256791</v>
      </c>
      <c r="K841" s="6">
        <v>0.94874688043797994</v>
      </c>
      <c r="L841" s="6">
        <v>0.94874688043797994</v>
      </c>
      <c r="M841" s="6">
        <v>0.94874688043797994</v>
      </c>
      <c r="N841" s="6">
        <v>-17.229166406117098</v>
      </c>
      <c r="O841" s="6">
        <v>-17.229166406117098</v>
      </c>
      <c r="P841" s="6">
        <v>-17.229166406117098</v>
      </c>
      <c r="Q841" s="6">
        <v>0</v>
      </c>
      <c r="R841" s="6">
        <v>0</v>
      </c>
      <c r="S841" s="6">
        <v>0</v>
      </c>
      <c r="T841" s="6">
        <v>231.91776953119901</v>
      </c>
    </row>
    <row r="842" spans="1:20" ht="13" x14ac:dyDescent="0.15">
      <c r="A842" s="6">
        <v>840</v>
      </c>
      <c r="B842" s="7">
        <v>44378</v>
      </c>
      <c r="C842" s="6">
        <v>248.44827726468799</v>
      </c>
      <c r="D842" s="6">
        <v>200.00254302904401</v>
      </c>
      <c r="E842" s="6">
        <v>267.69359015901398</v>
      </c>
      <c r="F842" s="6">
        <v>248.44827726468799</v>
      </c>
      <c r="G842" s="6">
        <v>248.44827726468799</v>
      </c>
      <c r="H842" s="6">
        <v>-16.106611295338901</v>
      </c>
      <c r="I842" s="6">
        <v>-16.106611295338901</v>
      </c>
      <c r="J842" s="6">
        <v>-16.106611295338901</v>
      </c>
      <c r="K842" s="6">
        <v>0.49015521355409303</v>
      </c>
      <c r="L842" s="6">
        <v>0.49015521355409303</v>
      </c>
      <c r="M842" s="6">
        <v>0.49015521355409303</v>
      </c>
      <c r="N842" s="6">
        <v>-16.596766508893001</v>
      </c>
      <c r="O842" s="6">
        <v>-16.596766508893001</v>
      </c>
      <c r="P842" s="6">
        <v>-16.596766508893001</v>
      </c>
      <c r="Q842" s="6">
        <v>0</v>
      </c>
      <c r="R842" s="6">
        <v>0</v>
      </c>
      <c r="S842" s="6">
        <v>0</v>
      </c>
      <c r="T842" s="6">
        <v>232.34166596934901</v>
      </c>
    </row>
    <row r="843" spans="1:20" ht="13" x14ac:dyDescent="0.15">
      <c r="A843" s="6">
        <v>841</v>
      </c>
      <c r="B843" s="7">
        <v>44379</v>
      </c>
      <c r="C843" s="6">
        <v>248.69836547249699</v>
      </c>
      <c r="D843" s="6">
        <v>200.58172022209399</v>
      </c>
      <c r="E843" s="6">
        <v>262.96869232327299</v>
      </c>
      <c r="F843" s="6">
        <v>248.69836547249699</v>
      </c>
      <c r="G843" s="6">
        <v>248.69836547249699</v>
      </c>
      <c r="H843" s="6">
        <v>-15.9697388208543</v>
      </c>
      <c r="I843" s="6">
        <v>-15.9697388208543</v>
      </c>
      <c r="J843" s="6">
        <v>-15.9697388208543</v>
      </c>
      <c r="K843" s="6">
        <v>-2.2976765063441401E-2</v>
      </c>
      <c r="L843" s="6">
        <v>-2.2976765063441401E-2</v>
      </c>
      <c r="M843" s="6">
        <v>-2.2976765063441401E-2</v>
      </c>
      <c r="N843" s="6">
        <v>-15.946762055790799</v>
      </c>
      <c r="O843" s="6">
        <v>-15.946762055790799</v>
      </c>
      <c r="P843" s="6">
        <v>-15.946762055790799</v>
      </c>
      <c r="Q843" s="6">
        <v>0</v>
      </c>
      <c r="R843" s="6">
        <v>0</v>
      </c>
      <c r="S843" s="6">
        <v>0</v>
      </c>
      <c r="T843" s="6">
        <v>232.728626651643</v>
      </c>
    </row>
    <row r="844" spans="1:20" ht="13" x14ac:dyDescent="0.15">
      <c r="A844" s="6">
        <v>842</v>
      </c>
      <c r="B844" s="7">
        <v>44383</v>
      </c>
      <c r="C844" s="6">
        <v>249.69871830373401</v>
      </c>
      <c r="D844" s="6">
        <v>203.691187804718</v>
      </c>
      <c r="E844" s="6">
        <v>269.85130193963698</v>
      </c>
      <c r="F844" s="6">
        <v>249.69871830373401</v>
      </c>
      <c r="G844" s="6">
        <v>249.69871830373401</v>
      </c>
      <c r="H844" s="6">
        <v>-12.535840297114801</v>
      </c>
      <c r="I844" s="6">
        <v>-12.535840297114801</v>
      </c>
      <c r="J844" s="6">
        <v>-12.535840297114801</v>
      </c>
      <c r="K844" s="6">
        <v>0.84522403106691302</v>
      </c>
      <c r="L844" s="6">
        <v>0.84522403106691302</v>
      </c>
      <c r="M844" s="6">
        <v>0.84522403106691302</v>
      </c>
      <c r="N844" s="6">
        <v>-13.381064328181701</v>
      </c>
      <c r="O844" s="6">
        <v>-13.381064328181701</v>
      </c>
      <c r="P844" s="6">
        <v>-13.381064328181701</v>
      </c>
      <c r="Q844" s="6">
        <v>0</v>
      </c>
      <c r="R844" s="6">
        <v>0</v>
      </c>
      <c r="S844" s="6">
        <v>0</v>
      </c>
      <c r="T844" s="6">
        <v>237.162878006619</v>
      </c>
    </row>
    <row r="845" spans="1:20" ht="13" x14ac:dyDescent="0.15">
      <c r="A845" s="6">
        <v>843</v>
      </c>
      <c r="B845" s="7">
        <v>44384</v>
      </c>
      <c r="C845" s="6">
        <v>249.94880651154401</v>
      </c>
      <c r="D845" s="6">
        <v>206.67577071603199</v>
      </c>
      <c r="E845" s="6">
        <v>271.06379307611797</v>
      </c>
      <c r="F845" s="6">
        <v>249.94880651154401</v>
      </c>
      <c r="G845" s="6">
        <v>249.94880651154401</v>
      </c>
      <c r="H845" s="6">
        <v>-11.8478464685279</v>
      </c>
      <c r="I845" s="6">
        <v>-11.8478464685279</v>
      </c>
      <c r="J845" s="6">
        <v>-11.8478464685279</v>
      </c>
      <c r="K845" s="6">
        <v>0.94874688043715005</v>
      </c>
      <c r="L845" s="6">
        <v>0.94874688043715005</v>
      </c>
      <c r="M845" s="6">
        <v>0.94874688043715005</v>
      </c>
      <c r="N845" s="6">
        <v>-12.7965933489651</v>
      </c>
      <c r="O845" s="6">
        <v>-12.7965933489651</v>
      </c>
      <c r="P845" s="6">
        <v>-12.7965933489651</v>
      </c>
      <c r="Q845" s="6">
        <v>0</v>
      </c>
      <c r="R845" s="6">
        <v>0</v>
      </c>
      <c r="S845" s="6">
        <v>0</v>
      </c>
      <c r="T845" s="6">
        <v>238.10096004301599</v>
      </c>
    </row>
    <row r="846" spans="1:20" ht="13" x14ac:dyDescent="0.15">
      <c r="A846" s="6">
        <v>844</v>
      </c>
      <c r="B846" s="7">
        <v>44385</v>
      </c>
      <c r="C846" s="6">
        <v>250.19889471935301</v>
      </c>
      <c r="D846" s="6">
        <v>207.91258507743501</v>
      </c>
      <c r="E846" s="6">
        <v>271.77994217643902</v>
      </c>
      <c r="F846" s="6">
        <v>250.19889471935301</v>
      </c>
      <c r="G846" s="6">
        <v>250.19889471935301</v>
      </c>
      <c r="H846" s="6">
        <v>-11.7606015381278</v>
      </c>
      <c r="I846" s="6">
        <v>-11.7606015381278</v>
      </c>
      <c r="J846" s="6">
        <v>-11.7606015381278</v>
      </c>
      <c r="K846" s="6">
        <v>0.49015521355125502</v>
      </c>
      <c r="L846" s="6">
        <v>0.49015521355125502</v>
      </c>
      <c r="M846" s="6">
        <v>0.49015521355125502</v>
      </c>
      <c r="N846" s="6">
        <v>-12.250756751679001</v>
      </c>
      <c r="O846" s="6">
        <v>-12.250756751679001</v>
      </c>
      <c r="P846" s="6">
        <v>-12.250756751679001</v>
      </c>
      <c r="Q846" s="6">
        <v>0</v>
      </c>
      <c r="R846" s="6">
        <v>0</v>
      </c>
      <c r="S846" s="6">
        <v>0</v>
      </c>
      <c r="T846" s="6">
        <v>238.43829318122499</v>
      </c>
    </row>
    <row r="847" spans="1:20" ht="13" x14ac:dyDescent="0.15">
      <c r="A847" s="6">
        <v>845</v>
      </c>
      <c r="B847" s="7">
        <v>44386</v>
      </c>
      <c r="C847" s="6">
        <v>250.59260271934801</v>
      </c>
      <c r="D847" s="6">
        <v>204.48236102993999</v>
      </c>
      <c r="E847" s="6">
        <v>270.30848774262</v>
      </c>
      <c r="F847" s="6">
        <v>250.59260271934801</v>
      </c>
      <c r="G847" s="6">
        <v>250.59260271934801</v>
      </c>
      <c r="H847" s="6">
        <v>-11.771945269670899</v>
      </c>
      <c r="I847" s="6">
        <v>-11.771945269670899</v>
      </c>
      <c r="J847" s="6">
        <v>-11.771945269670899</v>
      </c>
      <c r="K847" s="6">
        <v>-2.29767650614951E-2</v>
      </c>
      <c r="L847" s="6">
        <v>-2.29767650614951E-2</v>
      </c>
      <c r="M847" s="6">
        <v>-2.29767650614951E-2</v>
      </c>
      <c r="N847" s="6">
        <v>-11.748968504609399</v>
      </c>
      <c r="O847" s="6">
        <v>-11.748968504609399</v>
      </c>
      <c r="P847" s="6">
        <v>-11.748968504609399</v>
      </c>
      <c r="Q847" s="6">
        <v>0</v>
      </c>
      <c r="R847" s="6">
        <v>0</v>
      </c>
      <c r="S847" s="6">
        <v>0</v>
      </c>
      <c r="T847" s="6">
        <v>238.82065744967699</v>
      </c>
    </row>
    <row r="848" spans="1:20" ht="13" x14ac:dyDescent="0.15">
      <c r="A848" s="6">
        <v>846</v>
      </c>
      <c r="B848" s="7">
        <v>44389</v>
      </c>
      <c r="C848" s="6">
        <v>251.77372671933401</v>
      </c>
      <c r="D848" s="6">
        <v>212.18498373708101</v>
      </c>
      <c r="E848" s="6">
        <v>271.29758932402598</v>
      </c>
      <c r="F848" s="6">
        <v>251.77372671933401</v>
      </c>
      <c r="G848" s="6">
        <v>251.77372671933401</v>
      </c>
      <c r="H848" s="6">
        <v>-8.7120774646404104</v>
      </c>
      <c r="I848" s="6">
        <v>-8.7120774646404104</v>
      </c>
      <c r="J848" s="6">
        <v>-8.7120774646404104</v>
      </c>
      <c r="K848" s="6">
        <v>1.82289060893852</v>
      </c>
      <c r="L848" s="6">
        <v>1.82289060893852</v>
      </c>
      <c r="M848" s="6">
        <v>1.82289060893852</v>
      </c>
      <c r="N848" s="6">
        <v>-10.5349680735789</v>
      </c>
      <c r="O848" s="6">
        <v>-10.5349680735789</v>
      </c>
      <c r="P848" s="6">
        <v>-10.5349680735789</v>
      </c>
      <c r="Q848" s="6">
        <v>0</v>
      </c>
      <c r="R848" s="6">
        <v>0</v>
      </c>
      <c r="S848" s="6">
        <v>0</v>
      </c>
      <c r="T848" s="6">
        <v>243.061649254694</v>
      </c>
    </row>
    <row r="849" spans="1:20" ht="13" x14ac:dyDescent="0.15">
      <c r="A849" s="6">
        <v>847</v>
      </c>
      <c r="B849" s="7">
        <v>44390</v>
      </c>
      <c r="C849" s="6">
        <v>252.16743471932901</v>
      </c>
      <c r="D849" s="6">
        <v>211.502972992883</v>
      </c>
      <c r="E849" s="6">
        <v>273.70163793336701</v>
      </c>
      <c r="F849" s="6">
        <v>252.16743471932901</v>
      </c>
      <c r="G849" s="6">
        <v>252.16743471932901</v>
      </c>
      <c r="H849" s="6">
        <v>-9.3816685065971495</v>
      </c>
      <c r="I849" s="6">
        <v>-9.3816685065971495</v>
      </c>
      <c r="J849" s="6">
        <v>-9.3816685065971495</v>
      </c>
      <c r="K849" s="6">
        <v>0.84522403106626798</v>
      </c>
      <c r="L849" s="6">
        <v>0.84522403106626798</v>
      </c>
      <c r="M849" s="6">
        <v>0.84522403106626798</v>
      </c>
      <c r="N849" s="6">
        <v>-10.226892537663399</v>
      </c>
      <c r="O849" s="6">
        <v>-10.226892537663399</v>
      </c>
      <c r="P849" s="6">
        <v>-10.226892537663399</v>
      </c>
      <c r="Q849" s="6">
        <v>0</v>
      </c>
      <c r="R849" s="6">
        <v>0</v>
      </c>
      <c r="S849" s="6">
        <v>0</v>
      </c>
      <c r="T849" s="6">
        <v>242.785766212732</v>
      </c>
    </row>
    <row r="850" spans="1:20" ht="13" x14ac:dyDescent="0.15">
      <c r="A850" s="6">
        <v>848</v>
      </c>
      <c r="B850" s="7">
        <v>44391</v>
      </c>
      <c r="C850" s="6">
        <v>252.56114271932501</v>
      </c>
      <c r="D850" s="6">
        <v>212.647655699616</v>
      </c>
      <c r="E850" s="6">
        <v>276.36591716301803</v>
      </c>
      <c r="F850" s="6">
        <v>252.56114271932501</v>
      </c>
      <c r="G850" s="6">
        <v>252.56114271932501</v>
      </c>
      <c r="H850" s="6">
        <v>-9.0133573588133906</v>
      </c>
      <c r="I850" s="6">
        <v>-9.0133573588133906</v>
      </c>
      <c r="J850" s="6">
        <v>-9.0133573588133906</v>
      </c>
      <c r="K850" s="6">
        <v>0.94874688043753297</v>
      </c>
      <c r="L850" s="6">
        <v>0.94874688043753297</v>
      </c>
      <c r="M850" s="6">
        <v>0.94874688043753297</v>
      </c>
      <c r="N850" s="6">
        <v>-9.9621042392509196</v>
      </c>
      <c r="O850" s="6">
        <v>-9.9621042392509196</v>
      </c>
      <c r="P850" s="6">
        <v>-9.9621042392509196</v>
      </c>
      <c r="Q850" s="6">
        <v>0</v>
      </c>
      <c r="R850" s="6">
        <v>0</v>
      </c>
      <c r="S850" s="6">
        <v>0</v>
      </c>
      <c r="T850" s="6">
        <v>243.547785360511</v>
      </c>
    </row>
    <row r="851" spans="1:20" ht="13" x14ac:dyDescent="0.15">
      <c r="A851" s="6">
        <v>849</v>
      </c>
      <c r="B851" s="7">
        <v>44392</v>
      </c>
      <c r="C851" s="6">
        <v>252.95485071932001</v>
      </c>
      <c r="D851" s="6">
        <v>213.30943000781599</v>
      </c>
      <c r="E851" s="6">
        <v>276.79734227983602</v>
      </c>
      <c r="F851" s="6">
        <v>252.95485071932001</v>
      </c>
      <c r="G851" s="6">
        <v>252.95485071932001</v>
      </c>
      <c r="H851" s="6">
        <v>-9.24479725423625</v>
      </c>
      <c r="I851" s="6">
        <v>-9.24479725423625</v>
      </c>
      <c r="J851" s="6">
        <v>-9.24479725423625</v>
      </c>
      <c r="K851" s="6">
        <v>0.49015521355900998</v>
      </c>
      <c r="L851" s="6">
        <v>0.49015521355900998</v>
      </c>
      <c r="M851" s="6">
        <v>0.49015521355900998</v>
      </c>
      <c r="N851" s="6">
        <v>-9.7349524677952601</v>
      </c>
      <c r="O851" s="6">
        <v>-9.7349524677952601</v>
      </c>
      <c r="P851" s="6">
        <v>-9.7349524677952601</v>
      </c>
      <c r="Q851" s="6">
        <v>0</v>
      </c>
      <c r="R851" s="6">
        <v>0</v>
      </c>
      <c r="S851" s="6">
        <v>0</v>
      </c>
      <c r="T851" s="6">
        <v>243.710053465084</v>
      </c>
    </row>
    <row r="852" spans="1:20" ht="13" x14ac:dyDescent="0.15">
      <c r="A852" s="6">
        <v>850</v>
      </c>
      <c r="B852" s="7">
        <v>44393</v>
      </c>
      <c r="C852" s="6">
        <v>253.34855871931501</v>
      </c>
      <c r="D852" s="6">
        <v>209.124830586672</v>
      </c>
      <c r="E852" s="6">
        <v>274.87329377206498</v>
      </c>
      <c r="F852" s="6">
        <v>253.34855871931501</v>
      </c>
      <c r="G852" s="6">
        <v>253.34855871931501</v>
      </c>
      <c r="H852" s="6">
        <v>-9.5612463444987608</v>
      </c>
      <c r="I852" s="6">
        <v>-9.5612463444987608</v>
      </c>
      <c r="J852" s="6">
        <v>-9.5612463444987608</v>
      </c>
      <c r="K852" s="6">
        <v>-2.2976765068665701E-2</v>
      </c>
      <c r="L852" s="6">
        <v>-2.2976765068665701E-2</v>
      </c>
      <c r="M852" s="6">
        <v>-2.2976765068665701E-2</v>
      </c>
      <c r="N852" s="6">
        <v>-9.5382695794301</v>
      </c>
      <c r="O852" s="6">
        <v>-9.5382695794301</v>
      </c>
      <c r="P852" s="6">
        <v>-9.5382695794301</v>
      </c>
      <c r="Q852" s="6">
        <v>0</v>
      </c>
      <c r="R852" s="6">
        <v>0</v>
      </c>
      <c r="S852" s="6">
        <v>0</v>
      </c>
      <c r="T852" s="6">
        <v>243.78731237481699</v>
      </c>
    </row>
    <row r="853" spans="1:20" ht="13" x14ac:dyDescent="0.15">
      <c r="A853" s="6">
        <v>851</v>
      </c>
      <c r="B853" s="7">
        <v>44396</v>
      </c>
      <c r="C853" s="6">
        <v>254.52968271930101</v>
      </c>
      <c r="D853" s="6">
        <v>215.63720931156499</v>
      </c>
      <c r="E853" s="6">
        <v>280.62180015811299</v>
      </c>
      <c r="F853" s="6">
        <v>254.52968271930101</v>
      </c>
      <c r="G853" s="6">
        <v>254.52968271930101</v>
      </c>
      <c r="H853" s="6">
        <v>-7.2192288999340404</v>
      </c>
      <c r="I853" s="6">
        <v>-7.2192288999340404</v>
      </c>
      <c r="J853" s="6">
        <v>-7.2192288999340404</v>
      </c>
      <c r="K853" s="6">
        <v>1.82289060893231</v>
      </c>
      <c r="L853" s="6">
        <v>1.82289060893231</v>
      </c>
      <c r="M853" s="6">
        <v>1.82289060893231</v>
      </c>
      <c r="N853" s="6">
        <v>-9.0421195088663602</v>
      </c>
      <c r="O853" s="6">
        <v>-9.0421195088663602</v>
      </c>
      <c r="P853" s="6">
        <v>-9.0421195088663602</v>
      </c>
      <c r="Q853" s="6">
        <v>0</v>
      </c>
      <c r="R853" s="6">
        <v>0</v>
      </c>
      <c r="S853" s="6">
        <v>0</v>
      </c>
      <c r="T853" s="6">
        <v>247.31045381936701</v>
      </c>
    </row>
    <row r="854" spans="1:20" ht="13" x14ac:dyDescent="0.15">
      <c r="A854" s="6">
        <v>852</v>
      </c>
      <c r="B854" s="7">
        <v>44397</v>
      </c>
      <c r="C854" s="6">
        <v>254.92339071929601</v>
      </c>
      <c r="D854" s="6">
        <v>213.31961295476501</v>
      </c>
      <c r="E854" s="6">
        <v>276.284738522282</v>
      </c>
      <c r="F854" s="6">
        <v>254.92339071929601</v>
      </c>
      <c r="G854" s="6">
        <v>254.92339071929601</v>
      </c>
      <c r="H854" s="6">
        <v>-8.0296292284994895</v>
      </c>
      <c r="I854" s="6">
        <v>-8.0296292284994895</v>
      </c>
      <c r="J854" s="6">
        <v>-8.0296292284994895</v>
      </c>
      <c r="K854" s="6">
        <v>0.84522403106481103</v>
      </c>
      <c r="L854" s="6">
        <v>0.84522403106481103</v>
      </c>
      <c r="M854" s="6">
        <v>0.84522403106481103</v>
      </c>
      <c r="N854" s="6">
        <v>-8.8748532595643006</v>
      </c>
      <c r="O854" s="6">
        <v>-8.8748532595643006</v>
      </c>
      <c r="P854" s="6">
        <v>-8.8748532595643006</v>
      </c>
      <c r="Q854" s="6">
        <v>0</v>
      </c>
      <c r="R854" s="6">
        <v>0</v>
      </c>
      <c r="S854" s="6">
        <v>0</v>
      </c>
      <c r="T854" s="6">
        <v>246.893761490797</v>
      </c>
    </row>
    <row r="855" spans="1:20" ht="13" x14ac:dyDescent="0.15">
      <c r="A855" s="6">
        <v>853</v>
      </c>
      <c r="B855" s="7">
        <v>44398</v>
      </c>
      <c r="C855" s="6">
        <v>255.31709871929201</v>
      </c>
      <c r="D855" s="6">
        <v>216.60699165302199</v>
      </c>
      <c r="E855" s="6">
        <v>279.01241473310802</v>
      </c>
      <c r="F855" s="6">
        <v>255.31709871929201</v>
      </c>
      <c r="G855" s="6">
        <v>255.31709871929201</v>
      </c>
      <c r="H855" s="6">
        <v>-7.7407569097121902</v>
      </c>
      <c r="I855" s="6">
        <v>-7.7407569097121902</v>
      </c>
      <c r="J855" s="6">
        <v>-7.7407569097121902</v>
      </c>
      <c r="K855" s="6">
        <v>0.94874688043670297</v>
      </c>
      <c r="L855" s="6">
        <v>0.94874688043670297</v>
      </c>
      <c r="M855" s="6">
        <v>0.94874688043670297</v>
      </c>
      <c r="N855" s="6">
        <v>-8.6895037901488905</v>
      </c>
      <c r="O855" s="6">
        <v>-8.6895037901488905</v>
      </c>
      <c r="P855" s="6">
        <v>-8.6895037901488905</v>
      </c>
      <c r="Q855" s="6">
        <v>0</v>
      </c>
      <c r="R855" s="6">
        <v>0</v>
      </c>
      <c r="S855" s="6">
        <v>0</v>
      </c>
      <c r="T855" s="6">
        <v>247.57634180957999</v>
      </c>
    </row>
    <row r="856" spans="1:20" ht="13" x14ac:dyDescent="0.15">
      <c r="A856" s="6">
        <v>854</v>
      </c>
      <c r="B856" s="7">
        <v>44399</v>
      </c>
      <c r="C856" s="6">
        <v>255.71080671928701</v>
      </c>
      <c r="D856" s="6">
        <v>216.091484911245</v>
      </c>
      <c r="E856" s="6">
        <v>282.028192693336</v>
      </c>
      <c r="F856" s="6">
        <v>255.71080671928701</v>
      </c>
      <c r="G856" s="6">
        <v>255.71080671928701</v>
      </c>
      <c r="H856" s="6">
        <v>-7.98606517026235</v>
      </c>
      <c r="I856" s="6">
        <v>-7.98606517026235</v>
      </c>
      <c r="J856" s="6">
        <v>-7.98606517026235</v>
      </c>
      <c r="K856" s="6">
        <v>0.49015521356018898</v>
      </c>
      <c r="L856" s="6">
        <v>0.49015521356018898</v>
      </c>
      <c r="M856" s="6">
        <v>0.49015521356018898</v>
      </c>
      <c r="N856" s="6">
        <v>-8.4762203838225396</v>
      </c>
      <c r="O856" s="6">
        <v>-8.4762203838225396</v>
      </c>
      <c r="P856" s="6">
        <v>-8.4762203838225396</v>
      </c>
      <c r="Q856" s="6">
        <v>0</v>
      </c>
      <c r="R856" s="6">
        <v>0</v>
      </c>
      <c r="S856" s="6">
        <v>0</v>
      </c>
      <c r="T856" s="6">
        <v>247.724741549025</v>
      </c>
    </row>
    <row r="857" spans="1:20" ht="13" x14ac:dyDescent="0.15">
      <c r="A857" s="6">
        <v>855</v>
      </c>
      <c r="B857" s="7">
        <v>44400</v>
      </c>
      <c r="C857" s="6">
        <v>256.10451471928201</v>
      </c>
      <c r="D857" s="6">
        <v>217.13578364673899</v>
      </c>
      <c r="E857" s="6">
        <v>279.22673763124601</v>
      </c>
      <c r="F857" s="6">
        <v>256.10451471928201</v>
      </c>
      <c r="G857" s="6">
        <v>256.10451471928201</v>
      </c>
      <c r="H857" s="6">
        <v>-8.2489212349972405</v>
      </c>
      <c r="I857" s="6">
        <v>-8.2489212349972405</v>
      </c>
      <c r="J857" s="6">
        <v>-8.2489212349972405</v>
      </c>
      <c r="K857" s="6">
        <v>-2.2976765066719199E-2</v>
      </c>
      <c r="L857" s="6">
        <v>-2.2976765066719199E-2</v>
      </c>
      <c r="M857" s="6">
        <v>-2.2976765066719199E-2</v>
      </c>
      <c r="N857" s="6">
        <v>-8.2259444699305195</v>
      </c>
      <c r="O857" s="6">
        <v>-8.2259444699305195</v>
      </c>
      <c r="P857" s="6">
        <v>-8.2259444699305195</v>
      </c>
      <c r="Q857" s="6">
        <v>0</v>
      </c>
      <c r="R857" s="6">
        <v>0</v>
      </c>
      <c r="S857" s="6">
        <v>0</v>
      </c>
      <c r="T857" s="6">
        <v>247.85559348428501</v>
      </c>
    </row>
    <row r="858" spans="1:20" ht="13" x14ac:dyDescent="0.15">
      <c r="A858" s="6">
        <v>856</v>
      </c>
      <c r="B858" s="7">
        <v>44403</v>
      </c>
      <c r="C858" s="6">
        <v>257.28563871926798</v>
      </c>
      <c r="D858" s="6">
        <v>218.45803873142299</v>
      </c>
      <c r="E858" s="6">
        <v>283.573766823028</v>
      </c>
      <c r="F858" s="6">
        <v>257.28563871926798</v>
      </c>
      <c r="G858" s="6">
        <v>257.28563871926798</v>
      </c>
      <c r="H858" s="6">
        <v>-5.3583284697210702</v>
      </c>
      <c r="I858" s="6">
        <v>-5.3583284697210702</v>
      </c>
      <c r="J858" s="6">
        <v>-5.3583284697210702</v>
      </c>
      <c r="K858" s="6">
        <v>1.82289060893402</v>
      </c>
      <c r="L858" s="6">
        <v>1.82289060893402</v>
      </c>
      <c r="M858" s="6">
        <v>1.82289060893402</v>
      </c>
      <c r="N858" s="6">
        <v>-7.18121907865509</v>
      </c>
      <c r="O858" s="6">
        <v>-7.18121907865509</v>
      </c>
      <c r="P858" s="6">
        <v>-7.18121907865509</v>
      </c>
      <c r="Q858" s="6">
        <v>0</v>
      </c>
      <c r="R858" s="6">
        <v>0</v>
      </c>
      <c r="S858" s="6">
        <v>0</v>
      </c>
      <c r="T858" s="6">
        <v>251.92731024954699</v>
      </c>
    </row>
    <row r="859" spans="1:20" ht="13" x14ac:dyDescent="0.15">
      <c r="A859" s="6">
        <v>857</v>
      </c>
      <c r="B859" s="7">
        <v>44404</v>
      </c>
      <c r="C859" s="6">
        <v>257.679346719264</v>
      </c>
      <c r="D859" s="6">
        <v>217.21144746462599</v>
      </c>
      <c r="E859" s="6">
        <v>285.71287499735899</v>
      </c>
      <c r="F859" s="6">
        <v>257.679346719264</v>
      </c>
      <c r="G859" s="6">
        <v>257.679346719264</v>
      </c>
      <c r="H859" s="6">
        <v>-5.8739095532635899</v>
      </c>
      <c r="I859" s="6">
        <v>-5.8739095532635899</v>
      </c>
      <c r="J859" s="6">
        <v>-5.8739095532635899</v>
      </c>
      <c r="K859" s="6">
        <v>0.84522403106497701</v>
      </c>
      <c r="L859" s="6">
        <v>0.84522403106497701</v>
      </c>
      <c r="M859" s="6">
        <v>0.84522403106497701</v>
      </c>
      <c r="N859" s="6">
        <v>-6.7191335843285698</v>
      </c>
      <c r="O859" s="6">
        <v>-6.7191335843285698</v>
      </c>
      <c r="P859" s="6">
        <v>-6.7191335843285698</v>
      </c>
      <c r="Q859" s="6">
        <v>0</v>
      </c>
      <c r="R859" s="6">
        <v>0</v>
      </c>
      <c r="S859" s="6">
        <v>0</v>
      </c>
      <c r="T859" s="6">
        <v>251.80543716599999</v>
      </c>
    </row>
    <row r="860" spans="1:20" ht="13" x14ac:dyDescent="0.15">
      <c r="A860" s="6">
        <v>858</v>
      </c>
      <c r="B860" s="7">
        <v>44405</v>
      </c>
      <c r="C860" s="6">
        <v>258.07305471925901</v>
      </c>
      <c r="D860" s="6">
        <v>220.57078373911401</v>
      </c>
      <c r="E860" s="6">
        <v>283.973100915342</v>
      </c>
      <c r="F860" s="6">
        <v>258.07305471925901</v>
      </c>
      <c r="G860" s="6">
        <v>258.07305471925901</v>
      </c>
      <c r="H860" s="6">
        <v>-5.2481995426996502</v>
      </c>
      <c r="I860" s="6">
        <v>-5.2481995426996502</v>
      </c>
      <c r="J860" s="6">
        <v>-5.2481995426996502</v>
      </c>
      <c r="K860" s="6">
        <v>0.94874688043855204</v>
      </c>
      <c r="L860" s="6">
        <v>0.94874688043855204</v>
      </c>
      <c r="M860" s="6">
        <v>0.94874688043855204</v>
      </c>
      <c r="N860" s="6">
        <v>-6.1969464231382103</v>
      </c>
      <c r="O860" s="6">
        <v>-6.1969464231382103</v>
      </c>
      <c r="P860" s="6">
        <v>-6.1969464231382103</v>
      </c>
      <c r="Q860" s="6">
        <v>0</v>
      </c>
      <c r="R860" s="6">
        <v>0</v>
      </c>
      <c r="S860" s="6">
        <v>0</v>
      </c>
      <c r="T860" s="6">
        <v>252.824855176559</v>
      </c>
    </row>
    <row r="861" spans="1:20" ht="13" x14ac:dyDescent="0.15">
      <c r="A861" s="6">
        <v>859</v>
      </c>
      <c r="B861" s="7">
        <v>44406</v>
      </c>
      <c r="C861" s="6">
        <v>258.46676271925401</v>
      </c>
      <c r="D861" s="6">
        <v>221.98720703545399</v>
      </c>
      <c r="E861" s="6">
        <v>286.15858211529098</v>
      </c>
      <c r="F861" s="6">
        <v>258.46676271925401</v>
      </c>
      <c r="G861" s="6">
        <v>258.46676271925401</v>
      </c>
      <c r="H861" s="6">
        <v>-5.1257068417120601</v>
      </c>
      <c r="I861" s="6">
        <v>-5.1257068417120601</v>
      </c>
      <c r="J861" s="6">
        <v>-5.1257068417120601</v>
      </c>
      <c r="K861" s="6">
        <v>0.49015521355735198</v>
      </c>
      <c r="L861" s="6">
        <v>0.49015521355735198</v>
      </c>
      <c r="M861" s="6">
        <v>0.49015521355735198</v>
      </c>
      <c r="N861" s="6">
        <v>-5.6158620552694103</v>
      </c>
      <c r="O861" s="6">
        <v>-5.6158620552694103</v>
      </c>
      <c r="P861" s="6">
        <v>-5.6158620552694103</v>
      </c>
      <c r="Q861" s="6">
        <v>0</v>
      </c>
      <c r="R861" s="6">
        <v>0</v>
      </c>
      <c r="S861" s="6">
        <v>0</v>
      </c>
      <c r="T861" s="6">
        <v>253.341055877542</v>
      </c>
    </row>
    <row r="862" spans="1:20" ht="13" x14ac:dyDescent="0.15">
      <c r="A862" s="6">
        <v>860</v>
      </c>
      <c r="B862" s="7">
        <v>44407</v>
      </c>
      <c r="C862" s="6">
        <v>258.86047071924901</v>
      </c>
      <c r="D862" s="6">
        <v>219.78043424401901</v>
      </c>
      <c r="E862" s="6">
        <v>286.22874504898499</v>
      </c>
      <c r="F862" s="6">
        <v>258.86047071924901</v>
      </c>
      <c r="G862" s="6">
        <v>258.86047071924901</v>
      </c>
      <c r="H862" s="6">
        <v>-5.0021846043142997</v>
      </c>
      <c r="I862" s="6">
        <v>-5.0021846043142997</v>
      </c>
      <c r="J862" s="6">
        <v>-5.0021846043142997</v>
      </c>
      <c r="K862" s="6">
        <v>-2.2976765060660299E-2</v>
      </c>
      <c r="L862" s="6">
        <v>-2.2976765060660299E-2</v>
      </c>
      <c r="M862" s="6">
        <v>-2.2976765060660299E-2</v>
      </c>
      <c r="N862" s="6">
        <v>-4.9792078392536396</v>
      </c>
      <c r="O862" s="6">
        <v>-4.9792078392536396</v>
      </c>
      <c r="P862" s="6">
        <v>-4.9792078392536396</v>
      </c>
      <c r="Q862" s="6">
        <v>0</v>
      </c>
      <c r="R862" s="6">
        <v>0</v>
      </c>
      <c r="S862" s="6">
        <v>0</v>
      </c>
      <c r="T862" s="6">
        <v>253.858286114935</v>
      </c>
    </row>
    <row r="863" spans="1:20" ht="13" x14ac:dyDescent="0.15">
      <c r="A863" s="6">
        <v>861</v>
      </c>
      <c r="B863" s="7">
        <v>44410</v>
      </c>
      <c r="C863" s="6">
        <v>260.04159471923498</v>
      </c>
      <c r="D863" s="6">
        <v>228.561815708236</v>
      </c>
      <c r="E863" s="6">
        <v>290.48509190511299</v>
      </c>
      <c r="F863" s="6">
        <v>260.04159471923498</v>
      </c>
      <c r="G863" s="6">
        <v>260.04159471923498</v>
      </c>
      <c r="H863" s="6">
        <v>-0.97636835318785298</v>
      </c>
      <c r="I863" s="6">
        <v>-0.97636835318785298</v>
      </c>
      <c r="J863" s="6">
        <v>-0.97636835318785298</v>
      </c>
      <c r="K863" s="6">
        <v>1.82289060893574</v>
      </c>
      <c r="L863" s="6">
        <v>1.82289060893574</v>
      </c>
      <c r="M863" s="6">
        <v>1.82289060893574</v>
      </c>
      <c r="N863" s="6">
        <v>-2.7992589621235902</v>
      </c>
      <c r="O863" s="6">
        <v>-2.7992589621235902</v>
      </c>
      <c r="P863" s="6">
        <v>-2.7992589621235902</v>
      </c>
      <c r="Q863" s="6">
        <v>0</v>
      </c>
      <c r="R863" s="6">
        <v>0</v>
      </c>
      <c r="S863" s="6">
        <v>0</v>
      </c>
      <c r="T863" s="6">
        <v>259.065226366047</v>
      </c>
    </row>
    <row r="864" spans="1:20" ht="13" x14ac:dyDescent="0.15">
      <c r="A864" s="6">
        <v>862</v>
      </c>
      <c r="B864" s="7">
        <v>44411</v>
      </c>
      <c r="C864" s="6">
        <v>260.435302719231</v>
      </c>
      <c r="D864" s="6">
        <v>225.06473898982</v>
      </c>
      <c r="E864" s="6">
        <v>292.29459230187302</v>
      </c>
      <c r="F864" s="6">
        <v>260.435302719231</v>
      </c>
      <c r="G864" s="6">
        <v>260.435302719231</v>
      </c>
      <c r="H864" s="6">
        <v>-1.16740764675259</v>
      </c>
      <c r="I864" s="6">
        <v>-1.16740764675259</v>
      </c>
      <c r="J864" s="6">
        <v>-1.16740764675259</v>
      </c>
      <c r="K864" s="6">
        <v>0.84522403106352095</v>
      </c>
      <c r="L864" s="6">
        <v>0.84522403106352095</v>
      </c>
      <c r="M864" s="6">
        <v>0.84522403106352095</v>
      </c>
      <c r="N864" s="6">
        <v>-2.01263167781612</v>
      </c>
      <c r="O864" s="6">
        <v>-2.01263167781612</v>
      </c>
      <c r="P864" s="6">
        <v>-2.01263167781612</v>
      </c>
      <c r="Q864" s="6">
        <v>0</v>
      </c>
      <c r="R864" s="6">
        <v>0</v>
      </c>
      <c r="S864" s="6">
        <v>0</v>
      </c>
      <c r="T864" s="6">
        <v>259.26789507247798</v>
      </c>
    </row>
    <row r="865" spans="1:20" ht="13" x14ac:dyDescent="0.15">
      <c r="A865" s="6">
        <v>863</v>
      </c>
      <c r="B865" s="7">
        <v>44412</v>
      </c>
      <c r="C865" s="6">
        <v>260.82901071922601</v>
      </c>
      <c r="D865" s="6">
        <v>226.18769483463299</v>
      </c>
      <c r="E865" s="6">
        <v>293.92455066613201</v>
      </c>
      <c r="F865" s="6">
        <v>260.82901071922601</v>
      </c>
      <c r="G865" s="6">
        <v>260.82901071922601</v>
      </c>
      <c r="H865" s="6">
        <v>-0.26584386260784099</v>
      </c>
      <c r="I865" s="6">
        <v>-0.26584386260784099</v>
      </c>
      <c r="J865" s="6">
        <v>-0.26584386260784099</v>
      </c>
      <c r="K865" s="6">
        <v>0.94874688043772204</v>
      </c>
      <c r="L865" s="6">
        <v>0.94874688043772204</v>
      </c>
      <c r="M865" s="6">
        <v>0.94874688043772204</v>
      </c>
      <c r="N865" s="6">
        <v>-1.21459074304556</v>
      </c>
      <c r="O865" s="6">
        <v>-1.21459074304556</v>
      </c>
      <c r="P865" s="6">
        <v>-1.21459074304556</v>
      </c>
      <c r="Q865" s="6">
        <v>0</v>
      </c>
      <c r="R865" s="6">
        <v>0</v>
      </c>
      <c r="S865" s="6">
        <v>0</v>
      </c>
      <c r="T865" s="6">
        <v>260.56316685661801</v>
      </c>
    </row>
    <row r="866" spans="1:20" ht="13" x14ac:dyDescent="0.15">
      <c r="A866" s="6">
        <v>864</v>
      </c>
      <c r="B866" s="7">
        <v>44413</v>
      </c>
      <c r="C866" s="6">
        <v>261.22271871922101</v>
      </c>
      <c r="D866" s="6">
        <v>229.914915460478</v>
      </c>
      <c r="E866" s="6">
        <v>295.58405018798402</v>
      </c>
      <c r="F866" s="6">
        <v>261.22271871922101</v>
      </c>
      <c r="G866" s="6">
        <v>261.22271871922101</v>
      </c>
      <c r="H866" s="6">
        <v>7.2398910885559706E-2</v>
      </c>
      <c r="I866" s="6">
        <v>7.2398910885559706E-2</v>
      </c>
      <c r="J866" s="6">
        <v>7.2398910885559706E-2</v>
      </c>
      <c r="K866" s="6">
        <v>0.49015521355451402</v>
      </c>
      <c r="L866" s="6">
        <v>0.49015521355451402</v>
      </c>
      <c r="M866" s="6">
        <v>0.49015521355451402</v>
      </c>
      <c r="N866" s="6">
        <v>-0.41775630266895403</v>
      </c>
      <c r="O866" s="6">
        <v>-0.41775630266895403</v>
      </c>
      <c r="P866" s="6">
        <v>-0.41775630266895403</v>
      </c>
      <c r="Q866" s="6">
        <v>0</v>
      </c>
      <c r="R866" s="6">
        <v>0</v>
      </c>
      <c r="S866" s="6">
        <v>0</v>
      </c>
      <c r="T866" s="6">
        <v>261.29511763010697</v>
      </c>
    </row>
    <row r="867" spans="1:20" ht="13" x14ac:dyDescent="0.15">
      <c r="A867" s="6">
        <v>865</v>
      </c>
      <c r="B867" s="7">
        <v>44414</v>
      </c>
      <c r="C867" s="6">
        <v>261.61642671921601</v>
      </c>
      <c r="D867" s="6">
        <v>228.402532662157</v>
      </c>
      <c r="E867" s="6">
        <v>294.45891694218801</v>
      </c>
      <c r="F867" s="6">
        <v>261.61642671921601</v>
      </c>
      <c r="G867" s="6">
        <v>261.61642671921601</v>
      </c>
      <c r="H867" s="6">
        <v>0.341807180652906</v>
      </c>
      <c r="I867" s="6">
        <v>0.341807180652906</v>
      </c>
      <c r="J867" s="6">
        <v>0.341807180652906</v>
      </c>
      <c r="K867" s="6">
        <v>-2.2976765063272502E-2</v>
      </c>
      <c r="L867" s="6">
        <v>-2.2976765063272502E-2</v>
      </c>
      <c r="M867" s="6">
        <v>-2.2976765063272502E-2</v>
      </c>
      <c r="N867" s="6">
        <v>0.364783945716179</v>
      </c>
      <c r="O867" s="6">
        <v>0.364783945716179</v>
      </c>
      <c r="P867" s="6">
        <v>0.364783945716179</v>
      </c>
      <c r="Q867" s="6">
        <v>0</v>
      </c>
      <c r="R867" s="6">
        <v>0</v>
      </c>
      <c r="S867" s="6">
        <v>0</v>
      </c>
      <c r="T867" s="6">
        <v>261.95823389986901</v>
      </c>
    </row>
    <row r="868" spans="1:20" ht="13" x14ac:dyDescent="0.15">
      <c r="A868" s="6">
        <v>866</v>
      </c>
      <c r="B868" s="7">
        <v>44417</v>
      </c>
      <c r="C868" s="6">
        <v>262.79755071920198</v>
      </c>
      <c r="D868" s="6">
        <v>233.856800910869</v>
      </c>
      <c r="E868" s="6">
        <v>301.72343336856301</v>
      </c>
      <c r="F868" s="6">
        <v>262.79755071920198</v>
      </c>
      <c r="G868" s="6">
        <v>262.79755071920198</v>
      </c>
      <c r="H868" s="6">
        <v>4.3201203820884997</v>
      </c>
      <c r="I868" s="6">
        <v>4.3201203820884997</v>
      </c>
      <c r="J868" s="6">
        <v>4.3201203820884997</v>
      </c>
      <c r="K868" s="6">
        <v>1.82289060893624</v>
      </c>
      <c r="L868" s="6">
        <v>1.82289060893624</v>
      </c>
      <c r="M868" s="6">
        <v>1.82289060893624</v>
      </c>
      <c r="N868" s="6">
        <v>2.4972297731522501</v>
      </c>
      <c r="O868" s="6">
        <v>2.4972297731522501</v>
      </c>
      <c r="P868" s="6">
        <v>2.4972297731522501</v>
      </c>
      <c r="Q868" s="6">
        <v>0</v>
      </c>
      <c r="R868" s="6">
        <v>0</v>
      </c>
      <c r="S868" s="6">
        <v>0</v>
      </c>
      <c r="T868" s="6">
        <v>267.11767110129102</v>
      </c>
    </row>
    <row r="869" spans="1:20" ht="13" x14ac:dyDescent="0.15">
      <c r="A869" s="6">
        <v>867</v>
      </c>
      <c r="B869" s="7">
        <v>44418</v>
      </c>
      <c r="C869" s="6">
        <v>263.191258719198</v>
      </c>
      <c r="D869" s="6">
        <v>233.12783924028801</v>
      </c>
      <c r="E869" s="6">
        <v>299.75740900176697</v>
      </c>
      <c r="F869" s="6">
        <v>263.191258719198</v>
      </c>
      <c r="G869" s="6">
        <v>263.191258719198</v>
      </c>
      <c r="H869" s="6">
        <v>3.9417391085784899</v>
      </c>
      <c r="I869" s="6">
        <v>3.9417391085784899</v>
      </c>
      <c r="J869" s="6">
        <v>3.9417391085784899</v>
      </c>
      <c r="K869" s="6">
        <v>0.84522403106744604</v>
      </c>
      <c r="L869" s="6">
        <v>0.84522403106744604</v>
      </c>
      <c r="M869" s="6">
        <v>0.84522403106744604</v>
      </c>
      <c r="N869" s="6">
        <v>3.0965150775110399</v>
      </c>
      <c r="O869" s="6">
        <v>3.0965150775110399</v>
      </c>
      <c r="P869" s="6">
        <v>3.0965150775110399</v>
      </c>
      <c r="Q869" s="6">
        <v>0</v>
      </c>
      <c r="R869" s="6">
        <v>0</v>
      </c>
      <c r="S869" s="6">
        <v>0</v>
      </c>
      <c r="T869" s="6">
        <v>267.13299782777602</v>
      </c>
    </row>
    <row r="870" spans="1:20" ht="13" x14ac:dyDescent="0.15">
      <c r="A870" s="6">
        <v>868</v>
      </c>
      <c r="B870" s="7">
        <v>44419</v>
      </c>
      <c r="C870" s="6">
        <v>263.58496671919301</v>
      </c>
      <c r="D870" s="6">
        <v>239.025487561744</v>
      </c>
      <c r="E870" s="6">
        <v>299.70658773565998</v>
      </c>
      <c r="F870" s="6">
        <v>263.58496671919301</v>
      </c>
      <c r="G870" s="6">
        <v>263.58496671919301</v>
      </c>
      <c r="H870" s="6">
        <v>4.5718977172715602</v>
      </c>
      <c r="I870" s="6">
        <v>4.5718977172715602</v>
      </c>
      <c r="J870" s="6">
        <v>4.5718977172715602</v>
      </c>
      <c r="K870" s="6">
        <v>0.94874688043957101</v>
      </c>
      <c r="L870" s="6">
        <v>0.94874688043957101</v>
      </c>
      <c r="M870" s="6">
        <v>0.94874688043957101</v>
      </c>
      <c r="N870" s="6">
        <v>3.6231508368319898</v>
      </c>
      <c r="O870" s="6">
        <v>3.6231508368319898</v>
      </c>
      <c r="P870" s="6">
        <v>3.6231508368319898</v>
      </c>
      <c r="Q870" s="6">
        <v>0</v>
      </c>
      <c r="R870" s="6">
        <v>0</v>
      </c>
      <c r="S870" s="6">
        <v>0</v>
      </c>
      <c r="T870" s="6">
        <v>268.15686443646399</v>
      </c>
    </row>
    <row r="871" spans="1:20" ht="13" x14ac:dyDescent="0.15">
      <c r="A871" s="6">
        <v>869</v>
      </c>
      <c r="B871" s="7">
        <v>44420</v>
      </c>
      <c r="C871" s="6">
        <v>263.97867471918801</v>
      </c>
      <c r="D871" s="6">
        <v>237.29498137709601</v>
      </c>
      <c r="E871" s="6">
        <v>305.35978477242099</v>
      </c>
      <c r="F871" s="6">
        <v>263.97867471918801</v>
      </c>
      <c r="G871" s="6">
        <v>263.97867471918801</v>
      </c>
      <c r="H871" s="6">
        <v>4.5596973698033096</v>
      </c>
      <c r="I871" s="6">
        <v>4.5596973698033096</v>
      </c>
      <c r="J871" s="6">
        <v>4.5596973698033096</v>
      </c>
      <c r="K871" s="6">
        <v>0.49015521355569303</v>
      </c>
      <c r="L871" s="6">
        <v>0.49015521355569303</v>
      </c>
      <c r="M871" s="6">
        <v>0.49015521355569303</v>
      </c>
      <c r="N871" s="6">
        <v>4.0695421562476204</v>
      </c>
      <c r="O871" s="6">
        <v>4.0695421562476204</v>
      </c>
      <c r="P871" s="6">
        <v>4.0695421562476204</v>
      </c>
      <c r="Q871" s="6">
        <v>0</v>
      </c>
      <c r="R871" s="6">
        <v>0</v>
      </c>
      <c r="S871" s="6">
        <v>0</v>
      </c>
      <c r="T871" s="6">
        <v>268.53837208899199</v>
      </c>
    </row>
    <row r="872" spans="1:20" ht="13" x14ac:dyDescent="0.15">
      <c r="A872" s="6">
        <v>870</v>
      </c>
      <c r="B872" s="7">
        <v>44421</v>
      </c>
      <c r="C872" s="6">
        <v>264.37238271918397</v>
      </c>
      <c r="D872" s="6">
        <v>239.63428450401301</v>
      </c>
      <c r="E872" s="6">
        <v>302.23574760186602</v>
      </c>
      <c r="F872" s="6">
        <v>264.37238271918397</v>
      </c>
      <c r="G872" s="6">
        <v>264.37238271918397</v>
      </c>
      <c r="H872" s="6">
        <v>4.4072064015657402</v>
      </c>
      <c r="I872" s="6">
        <v>4.4072064015657402</v>
      </c>
      <c r="J872" s="6">
        <v>4.4072064015657402</v>
      </c>
      <c r="K872" s="6">
        <v>-2.29767650658847E-2</v>
      </c>
      <c r="L872" s="6">
        <v>-2.29767650658847E-2</v>
      </c>
      <c r="M872" s="6">
        <v>-2.29767650658847E-2</v>
      </c>
      <c r="N872" s="6">
        <v>4.4301831666316298</v>
      </c>
      <c r="O872" s="6">
        <v>4.4301831666316298</v>
      </c>
      <c r="P872" s="6">
        <v>4.4301831666316298</v>
      </c>
      <c r="Q872" s="6">
        <v>0</v>
      </c>
      <c r="R872" s="6">
        <v>0</v>
      </c>
      <c r="S872" s="6">
        <v>0</v>
      </c>
      <c r="T872" s="6">
        <v>268.77958912074899</v>
      </c>
    </row>
    <row r="873" spans="1:20" ht="13" x14ac:dyDescent="0.15">
      <c r="A873" s="6">
        <v>871</v>
      </c>
      <c r="B873" s="7">
        <v>44424</v>
      </c>
      <c r="C873" s="6">
        <v>265.55350671916898</v>
      </c>
      <c r="D873" s="6">
        <v>239.09504998003899</v>
      </c>
      <c r="E873" s="6">
        <v>304.67719102050899</v>
      </c>
      <c r="F873" s="6">
        <v>265.55350671916898</v>
      </c>
      <c r="G873" s="6">
        <v>265.55350671916898</v>
      </c>
      <c r="H873" s="6">
        <v>6.80063553856104</v>
      </c>
      <c r="I873" s="6">
        <v>6.80063553856104</v>
      </c>
      <c r="J873" s="6">
        <v>6.80063553856104</v>
      </c>
      <c r="K873" s="6">
        <v>1.82289060893674</v>
      </c>
      <c r="L873" s="6">
        <v>1.82289060893674</v>
      </c>
      <c r="M873" s="6">
        <v>1.82289060893674</v>
      </c>
      <c r="N873" s="6">
        <v>4.9777449296242899</v>
      </c>
      <c r="O873" s="6">
        <v>4.9777449296242899</v>
      </c>
      <c r="P873" s="6">
        <v>4.9777449296242899</v>
      </c>
      <c r="Q873" s="6">
        <v>0</v>
      </c>
      <c r="R873" s="6">
        <v>0</v>
      </c>
      <c r="S873" s="6">
        <v>0</v>
      </c>
      <c r="T873" s="6">
        <v>272.35414225773002</v>
      </c>
    </row>
    <row r="874" spans="1:20" ht="13" x14ac:dyDescent="0.15">
      <c r="A874" s="6">
        <v>872</v>
      </c>
      <c r="B874" s="7">
        <v>44425</v>
      </c>
      <c r="C874" s="6">
        <v>265.947214719165</v>
      </c>
      <c r="D874" s="6">
        <v>238.71013693698799</v>
      </c>
      <c r="E874" s="6">
        <v>305.45371347685699</v>
      </c>
      <c r="F874" s="6">
        <v>265.947214719165</v>
      </c>
      <c r="G874" s="6">
        <v>265.947214719165</v>
      </c>
      <c r="H874" s="6">
        <v>5.8331064987855896</v>
      </c>
      <c r="I874" s="6">
        <v>5.8331064987855896</v>
      </c>
      <c r="J874" s="6">
        <v>5.8331064987855896</v>
      </c>
      <c r="K874" s="6">
        <v>0.845224031066801</v>
      </c>
      <c r="L874" s="6">
        <v>0.845224031066801</v>
      </c>
      <c r="M874" s="6">
        <v>0.845224031066801</v>
      </c>
      <c r="N874" s="6">
        <v>4.9878824677187898</v>
      </c>
      <c r="O874" s="6">
        <v>4.9878824677187898</v>
      </c>
      <c r="P874" s="6">
        <v>4.9878824677187898</v>
      </c>
      <c r="Q874" s="6">
        <v>0</v>
      </c>
      <c r="R874" s="6">
        <v>0</v>
      </c>
      <c r="S874" s="6">
        <v>0</v>
      </c>
      <c r="T874" s="6">
        <v>271.78032121795002</v>
      </c>
    </row>
    <row r="875" spans="1:20" ht="13" x14ac:dyDescent="0.15">
      <c r="A875" s="6">
        <v>873</v>
      </c>
      <c r="B875" s="7">
        <v>44426</v>
      </c>
      <c r="C875" s="6">
        <v>266.34092271916001</v>
      </c>
      <c r="D875" s="6">
        <v>239.37055148470401</v>
      </c>
      <c r="E875" s="6">
        <v>305.53382934621197</v>
      </c>
      <c r="F875" s="6">
        <v>266.34092271916001</v>
      </c>
      <c r="G875" s="6">
        <v>266.34092271916001</v>
      </c>
      <c r="H875" s="6">
        <v>5.8695804599977697</v>
      </c>
      <c r="I875" s="6">
        <v>5.8695804599977697</v>
      </c>
      <c r="J875" s="6">
        <v>5.8695804599977697</v>
      </c>
      <c r="K875" s="6">
        <v>0.94874688043459499</v>
      </c>
      <c r="L875" s="6">
        <v>0.94874688043459499</v>
      </c>
      <c r="M875" s="6">
        <v>0.94874688043459499</v>
      </c>
      <c r="N875" s="6">
        <v>4.9208335795631699</v>
      </c>
      <c r="O875" s="6">
        <v>4.9208335795631699</v>
      </c>
      <c r="P875" s="6">
        <v>4.9208335795631699</v>
      </c>
      <c r="Q875" s="6">
        <v>0</v>
      </c>
      <c r="R875" s="6">
        <v>0</v>
      </c>
      <c r="S875" s="6">
        <v>0</v>
      </c>
      <c r="T875" s="6">
        <v>272.21050317915802</v>
      </c>
    </row>
    <row r="876" spans="1:20" ht="13" x14ac:dyDescent="0.15">
      <c r="A876" s="6">
        <v>874</v>
      </c>
      <c r="B876" s="7">
        <v>44427</v>
      </c>
      <c r="C876" s="6">
        <v>266.73463071915501</v>
      </c>
      <c r="D876" s="6">
        <v>241.126944851339</v>
      </c>
      <c r="E876" s="6">
        <v>303.88574038419</v>
      </c>
      <c r="F876" s="6">
        <v>266.73463071915501</v>
      </c>
      <c r="G876" s="6">
        <v>266.73463071915501</v>
      </c>
      <c r="H876" s="6">
        <v>5.2755975341288304</v>
      </c>
      <c r="I876" s="6">
        <v>5.2755975341288304</v>
      </c>
      <c r="J876" s="6">
        <v>5.2755975341288304</v>
      </c>
      <c r="K876" s="6">
        <v>0.49015521355687203</v>
      </c>
      <c r="L876" s="6">
        <v>0.49015521355687203</v>
      </c>
      <c r="M876" s="6">
        <v>0.49015521355687203</v>
      </c>
      <c r="N876" s="6">
        <v>4.7854423205719598</v>
      </c>
      <c r="O876" s="6">
        <v>4.7854423205719598</v>
      </c>
      <c r="P876" s="6">
        <v>4.7854423205719598</v>
      </c>
      <c r="Q876" s="6">
        <v>0</v>
      </c>
      <c r="R876" s="6">
        <v>0</v>
      </c>
      <c r="S876" s="6">
        <v>0</v>
      </c>
      <c r="T876" s="6">
        <v>272.01022825328403</v>
      </c>
    </row>
    <row r="877" spans="1:20" ht="13" x14ac:dyDescent="0.15">
      <c r="A877" s="6">
        <v>875</v>
      </c>
      <c r="B877" s="7">
        <v>44428</v>
      </c>
      <c r="C877" s="6">
        <v>267.12833871915097</v>
      </c>
      <c r="D877" s="6">
        <v>240.18344666293299</v>
      </c>
      <c r="E877" s="6">
        <v>302.55242402580802</v>
      </c>
      <c r="F877" s="6">
        <v>267.12833871915097</v>
      </c>
      <c r="G877" s="6">
        <v>267.12833871915097</v>
      </c>
      <c r="H877" s="6">
        <v>4.56957080223268</v>
      </c>
      <c r="I877" s="6">
        <v>4.56957080223268</v>
      </c>
      <c r="J877" s="6">
        <v>4.56957080223268</v>
      </c>
      <c r="K877" s="6">
        <v>-2.2976765063938299E-2</v>
      </c>
      <c r="L877" s="6">
        <v>-2.2976765063938299E-2</v>
      </c>
      <c r="M877" s="6">
        <v>-2.2976765063938299E-2</v>
      </c>
      <c r="N877" s="6">
        <v>4.5925475672966201</v>
      </c>
      <c r="O877" s="6">
        <v>4.5925475672966201</v>
      </c>
      <c r="P877" s="6">
        <v>4.5925475672966201</v>
      </c>
      <c r="Q877" s="6">
        <v>0</v>
      </c>
      <c r="R877" s="6">
        <v>0</v>
      </c>
      <c r="S877" s="6">
        <v>0</v>
      </c>
      <c r="T877" s="6">
        <v>271.697909521383</v>
      </c>
    </row>
    <row r="878" spans="1:20" ht="13" x14ac:dyDescent="0.15">
      <c r="A878" s="6">
        <v>876</v>
      </c>
      <c r="B878" s="7">
        <v>44431</v>
      </c>
      <c r="C878" s="6">
        <v>268.30946271913598</v>
      </c>
      <c r="D878" s="6">
        <v>241.70009277276</v>
      </c>
      <c r="E878" s="6">
        <v>305.41546221330799</v>
      </c>
      <c r="F878" s="6">
        <v>268.30946271913598</v>
      </c>
      <c r="G878" s="6">
        <v>268.30946271913598</v>
      </c>
      <c r="H878" s="6">
        <v>5.6232635153462498</v>
      </c>
      <c r="I878" s="6">
        <v>5.6232635153462498</v>
      </c>
      <c r="J878" s="6">
        <v>5.6232635153462498</v>
      </c>
      <c r="K878" s="6">
        <v>1.82289060893846</v>
      </c>
      <c r="L878" s="6">
        <v>1.82289060893846</v>
      </c>
      <c r="M878" s="6">
        <v>1.82289060893846</v>
      </c>
      <c r="N878" s="6">
        <v>3.80037290640779</v>
      </c>
      <c r="O878" s="6">
        <v>3.80037290640779</v>
      </c>
      <c r="P878" s="6">
        <v>3.80037290640779</v>
      </c>
      <c r="Q878" s="6">
        <v>0</v>
      </c>
      <c r="R878" s="6">
        <v>0</v>
      </c>
      <c r="S878" s="6">
        <v>0</v>
      </c>
      <c r="T878" s="6">
        <v>273.93272623448303</v>
      </c>
    </row>
    <row r="879" spans="1:20" ht="13" x14ac:dyDescent="0.15">
      <c r="A879" s="6">
        <v>877</v>
      </c>
      <c r="B879" s="7">
        <v>44432</v>
      </c>
      <c r="C879" s="6">
        <v>268.703170719132</v>
      </c>
      <c r="D879" s="6">
        <v>242.17372938035899</v>
      </c>
      <c r="E879" s="6">
        <v>304.47474391538799</v>
      </c>
      <c r="F879" s="6">
        <v>268.703170719132</v>
      </c>
      <c r="G879" s="6">
        <v>268.703170719132</v>
      </c>
      <c r="H879" s="6">
        <v>4.3591886062740697</v>
      </c>
      <c r="I879" s="6">
        <v>4.3591886062740697</v>
      </c>
      <c r="J879" s="6">
        <v>4.3591886062740697</v>
      </c>
      <c r="K879" s="6">
        <v>0.84522403106615596</v>
      </c>
      <c r="L879" s="6">
        <v>0.84522403106615596</v>
      </c>
      <c r="M879" s="6">
        <v>0.84522403106615596</v>
      </c>
      <c r="N879" s="6">
        <v>3.5139645752079098</v>
      </c>
      <c r="O879" s="6">
        <v>3.5139645752079098</v>
      </c>
      <c r="P879" s="6">
        <v>3.5139645752079098</v>
      </c>
      <c r="Q879" s="6">
        <v>0</v>
      </c>
      <c r="R879" s="6">
        <v>0</v>
      </c>
      <c r="S879" s="6">
        <v>0</v>
      </c>
      <c r="T879" s="6">
        <v>273.06235932540602</v>
      </c>
    </row>
    <row r="880" spans="1:20" ht="13" x14ac:dyDescent="0.15">
      <c r="A880" s="6">
        <v>878</v>
      </c>
      <c r="B880" s="7">
        <v>44433</v>
      </c>
      <c r="C880" s="6">
        <v>269.09687871912701</v>
      </c>
      <c r="D880" s="6">
        <v>241.966197793953</v>
      </c>
      <c r="E880" s="6">
        <v>304.12639215763801</v>
      </c>
      <c r="F880" s="6">
        <v>269.09687871912701</v>
      </c>
      <c r="G880" s="6">
        <v>269.09687871912701</v>
      </c>
      <c r="H880" s="6">
        <v>4.1904735155228297</v>
      </c>
      <c r="I880" s="6">
        <v>4.1904735155228297</v>
      </c>
      <c r="J880" s="6">
        <v>4.1904735155228297</v>
      </c>
      <c r="K880" s="6">
        <v>0.94874688043644495</v>
      </c>
      <c r="L880" s="6">
        <v>0.94874688043644495</v>
      </c>
      <c r="M880" s="6">
        <v>0.94874688043644495</v>
      </c>
      <c r="N880" s="6">
        <v>3.24172663508639</v>
      </c>
      <c r="O880" s="6">
        <v>3.24172663508639</v>
      </c>
      <c r="P880" s="6">
        <v>3.24172663508639</v>
      </c>
      <c r="Q880" s="6">
        <v>0</v>
      </c>
      <c r="R880" s="6">
        <v>0</v>
      </c>
      <c r="S880" s="6">
        <v>0</v>
      </c>
      <c r="T880" s="6">
        <v>273.28735223464997</v>
      </c>
    </row>
    <row r="881" spans="1:20" ht="13" x14ac:dyDescent="0.15">
      <c r="A881" s="6">
        <v>879</v>
      </c>
      <c r="B881" s="7">
        <v>44434</v>
      </c>
      <c r="C881" s="6">
        <v>269.49058671912201</v>
      </c>
      <c r="D881" s="6">
        <v>241.38793442389499</v>
      </c>
      <c r="E881" s="6">
        <v>306.47012253412601</v>
      </c>
      <c r="F881" s="6">
        <v>269.49058671912201</v>
      </c>
      <c r="G881" s="6">
        <v>269.49058671912201</v>
      </c>
      <c r="H881" s="6">
        <v>3.4885992033271598</v>
      </c>
      <c r="I881" s="6">
        <v>3.4885992033271598</v>
      </c>
      <c r="J881" s="6">
        <v>3.4885992033271598</v>
      </c>
      <c r="K881" s="6">
        <v>0.49015521355659297</v>
      </c>
      <c r="L881" s="6">
        <v>0.49015521355659297</v>
      </c>
      <c r="M881" s="6">
        <v>0.49015521355659297</v>
      </c>
      <c r="N881" s="6">
        <v>2.9984439897705601</v>
      </c>
      <c r="O881" s="6">
        <v>2.9984439897705601</v>
      </c>
      <c r="P881" s="6">
        <v>2.9984439897705601</v>
      </c>
      <c r="Q881" s="6">
        <v>0</v>
      </c>
      <c r="R881" s="6">
        <v>0</v>
      </c>
      <c r="S881" s="6">
        <v>0</v>
      </c>
      <c r="T881" s="6">
        <v>272.97918592244901</v>
      </c>
    </row>
    <row r="882" spans="1:20" ht="13" x14ac:dyDescent="0.15">
      <c r="A882" s="6">
        <v>880</v>
      </c>
      <c r="B882" s="7">
        <v>44435</v>
      </c>
      <c r="C882" s="6">
        <v>269.88429471911797</v>
      </c>
      <c r="D882" s="6">
        <v>238.496188125793</v>
      </c>
      <c r="E882" s="6">
        <v>304.76726078401498</v>
      </c>
      <c r="F882" s="6">
        <v>269.88429471911797</v>
      </c>
      <c r="G882" s="6">
        <v>269.88429471911797</v>
      </c>
      <c r="H882" s="6">
        <v>2.7749810020744401</v>
      </c>
      <c r="I882" s="6">
        <v>2.7749810020744401</v>
      </c>
      <c r="J882" s="6">
        <v>2.7749810020744401</v>
      </c>
      <c r="K882" s="6">
        <v>-2.2976765061992001E-2</v>
      </c>
      <c r="L882" s="6">
        <v>-2.2976765061992001E-2</v>
      </c>
      <c r="M882" s="6">
        <v>-2.2976765061992001E-2</v>
      </c>
      <c r="N882" s="6">
        <v>2.79795776713644</v>
      </c>
      <c r="O882" s="6">
        <v>2.79795776713644</v>
      </c>
      <c r="P882" s="6">
        <v>2.79795776713644</v>
      </c>
      <c r="Q882" s="6">
        <v>0</v>
      </c>
      <c r="R882" s="6">
        <v>0</v>
      </c>
      <c r="S882" s="6">
        <v>0</v>
      </c>
      <c r="T882" s="6">
        <v>272.65927572119199</v>
      </c>
    </row>
    <row r="883" spans="1:20" ht="13" x14ac:dyDescent="0.15">
      <c r="A883" s="6">
        <v>881</v>
      </c>
      <c r="B883" s="7">
        <v>44438</v>
      </c>
      <c r="C883" s="6">
        <v>271.06541871910298</v>
      </c>
      <c r="D883" s="6">
        <v>239.276561806937</v>
      </c>
      <c r="E883" s="6">
        <v>305.334500034016</v>
      </c>
      <c r="F883" s="6">
        <v>271.06541871910298</v>
      </c>
      <c r="G883" s="6">
        <v>271.06541871910298</v>
      </c>
      <c r="H883" s="6">
        <v>4.3911810713838397</v>
      </c>
      <c r="I883" s="6">
        <v>4.3911810713838397</v>
      </c>
      <c r="J883" s="6">
        <v>4.3911810713838397</v>
      </c>
      <c r="K883" s="6">
        <v>1.82289060894017</v>
      </c>
      <c r="L883" s="6">
        <v>1.82289060894017</v>
      </c>
      <c r="M883" s="6">
        <v>1.82289060894017</v>
      </c>
      <c r="N883" s="6">
        <v>2.5682904624436702</v>
      </c>
      <c r="O883" s="6">
        <v>2.5682904624436702</v>
      </c>
      <c r="P883" s="6">
        <v>2.5682904624436702</v>
      </c>
      <c r="Q883" s="6">
        <v>0</v>
      </c>
      <c r="R883" s="6">
        <v>0</v>
      </c>
      <c r="S883" s="6">
        <v>0</v>
      </c>
      <c r="T883" s="6">
        <v>275.45659979048702</v>
      </c>
    </row>
    <row r="884" spans="1:20" ht="13" x14ac:dyDescent="0.15">
      <c r="A884" s="6">
        <v>882</v>
      </c>
      <c r="B884" s="7">
        <v>44439</v>
      </c>
      <c r="C884" s="6">
        <v>271.459126719099</v>
      </c>
      <c r="D884" s="6">
        <v>242.29027436606799</v>
      </c>
      <c r="E884" s="6">
        <v>307.48383402578497</v>
      </c>
      <c r="F884" s="6">
        <v>271.459126719099</v>
      </c>
      <c r="G884" s="6">
        <v>271.459126719099</v>
      </c>
      <c r="H884" s="6">
        <v>3.48873243276672</v>
      </c>
      <c r="I884" s="6">
        <v>3.48873243276672</v>
      </c>
      <c r="J884" s="6">
        <v>3.48873243276672</v>
      </c>
      <c r="K884" s="6">
        <v>0.84522403106469901</v>
      </c>
      <c r="L884" s="6">
        <v>0.84522403106469901</v>
      </c>
      <c r="M884" s="6">
        <v>0.84522403106469901</v>
      </c>
      <c r="N884" s="6">
        <v>2.6435084017020198</v>
      </c>
      <c r="O884" s="6">
        <v>2.6435084017020198</v>
      </c>
      <c r="P884" s="6">
        <v>2.6435084017020198</v>
      </c>
      <c r="Q884" s="6">
        <v>0</v>
      </c>
      <c r="R884" s="6">
        <v>0</v>
      </c>
      <c r="S884" s="6">
        <v>0</v>
      </c>
      <c r="T884" s="6">
        <v>274.94785915186498</v>
      </c>
    </row>
    <row r="885" spans="1:20" ht="13" x14ac:dyDescent="0.15">
      <c r="A885" s="6">
        <v>883</v>
      </c>
      <c r="B885" s="7">
        <v>44440</v>
      </c>
      <c r="C885" s="6">
        <v>271.85283471909401</v>
      </c>
      <c r="D885" s="6">
        <v>243.36610131414801</v>
      </c>
      <c r="E885" s="6">
        <v>307.53153578954903</v>
      </c>
      <c r="F885" s="6">
        <v>271.85283471909401</v>
      </c>
      <c r="G885" s="6">
        <v>271.85283471909401</v>
      </c>
      <c r="H885" s="6">
        <v>3.7509534468657399</v>
      </c>
      <c r="I885" s="6">
        <v>3.7509534468657399</v>
      </c>
      <c r="J885" s="6">
        <v>3.7509534468657399</v>
      </c>
      <c r="K885" s="6">
        <v>0.94874688043561395</v>
      </c>
      <c r="L885" s="6">
        <v>0.94874688043561395</v>
      </c>
      <c r="M885" s="6">
        <v>0.94874688043561395</v>
      </c>
      <c r="N885" s="6">
        <v>2.8022065664301201</v>
      </c>
      <c r="O885" s="6">
        <v>2.8022065664301201</v>
      </c>
      <c r="P885" s="6">
        <v>2.8022065664301201</v>
      </c>
      <c r="Q885" s="6">
        <v>0</v>
      </c>
      <c r="R885" s="6">
        <v>0</v>
      </c>
      <c r="S885" s="6">
        <v>0</v>
      </c>
      <c r="T885" s="6">
        <v>275.60378816596</v>
      </c>
    </row>
    <row r="886" spans="1:20" ht="13" x14ac:dyDescent="0.15">
      <c r="A886" s="6">
        <v>884</v>
      </c>
      <c r="B886" s="7">
        <v>44441</v>
      </c>
      <c r="C886" s="6">
        <v>272.24654271908901</v>
      </c>
      <c r="D886" s="6">
        <v>244.37848204986099</v>
      </c>
      <c r="E886" s="6">
        <v>307.55785600983</v>
      </c>
      <c r="F886" s="6">
        <v>272.24654271908901</v>
      </c>
      <c r="G886" s="6">
        <v>272.24654271908901</v>
      </c>
      <c r="H886" s="6">
        <v>3.5348475556468899</v>
      </c>
      <c r="I886" s="6">
        <v>3.5348475556468899</v>
      </c>
      <c r="J886" s="6">
        <v>3.5348475556468899</v>
      </c>
      <c r="K886" s="6">
        <v>0.49015521355375602</v>
      </c>
      <c r="L886" s="6">
        <v>0.49015521355375602</v>
      </c>
      <c r="M886" s="6">
        <v>0.49015521355375602</v>
      </c>
      <c r="N886" s="6">
        <v>3.0446923420931302</v>
      </c>
      <c r="O886" s="6">
        <v>3.0446923420931302</v>
      </c>
      <c r="P886" s="6">
        <v>3.0446923420931302</v>
      </c>
      <c r="Q886" s="6">
        <v>0</v>
      </c>
      <c r="R886" s="6">
        <v>0</v>
      </c>
      <c r="S886" s="6">
        <v>0</v>
      </c>
      <c r="T886" s="6">
        <v>275.781390274736</v>
      </c>
    </row>
    <row r="887" spans="1:20" ht="13" x14ac:dyDescent="0.15">
      <c r="A887" s="6">
        <v>885</v>
      </c>
      <c r="B887" s="7">
        <v>44442</v>
      </c>
      <c r="C887" s="6">
        <v>272.65511367041199</v>
      </c>
      <c r="D887" s="6">
        <v>244.50946024358299</v>
      </c>
      <c r="E887" s="6">
        <v>305.95476679701397</v>
      </c>
      <c r="F887" s="6">
        <v>272.65511367041199</v>
      </c>
      <c r="G887" s="6">
        <v>272.65511367041199</v>
      </c>
      <c r="H887" s="6">
        <v>3.3453130376550901</v>
      </c>
      <c r="I887" s="6">
        <v>3.3453130376550901</v>
      </c>
      <c r="J887" s="6">
        <v>3.3453130376550901</v>
      </c>
      <c r="K887" s="6">
        <v>-2.2976765064604301E-2</v>
      </c>
      <c r="L887" s="6">
        <v>-2.2976765064604301E-2</v>
      </c>
      <c r="M887" s="6">
        <v>-2.2976765064604301E-2</v>
      </c>
      <c r="N887" s="6">
        <v>3.3682898027196901</v>
      </c>
      <c r="O887" s="6">
        <v>3.3682898027196901</v>
      </c>
      <c r="P887" s="6">
        <v>3.3682898027196901</v>
      </c>
      <c r="Q887" s="6">
        <v>0</v>
      </c>
      <c r="R887" s="6">
        <v>0</v>
      </c>
      <c r="S887" s="6">
        <v>0</v>
      </c>
      <c r="T887" s="6">
        <v>276.00042670806801</v>
      </c>
    </row>
    <row r="888" spans="1:20" ht="13" x14ac:dyDescent="0.15">
      <c r="A888" s="6">
        <v>886</v>
      </c>
      <c r="B888" s="7">
        <v>44446</v>
      </c>
      <c r="C888" s="6">
        <v>274.28939747570502</v>
      </c>
      <c r="D888" s="6">
        <v>247.726659025885</v>
      </c>
      <c r="E888" s="6">
        <v>311.16175017924502</v>
      </c>
      <c r="F888" s="6">
        <v>274.28939747570502</v>
      </c>
      <c r="G888" s="6">
        <v>274.28939747570502</v>
      </c>
      <c r="H888" s="6">
        <v>6.1640375602256103</v>
      </c>
      <c r="I888" s="6">
        <v>6.1640375602256103</v>
      </c>
      <c r="J888" s="6">
        <v>6.1640375602256103</v>
      </c>
      <c r="K888" s="6">
        <v>0.84522403106324195</v>
      </c>
      <c r="L888" s="6">
        <v>0.84522403106324195</v>
      </c>
      <c r="M888" s="6">
        <v>0.84522403106324195</v>
      </c>
      <c r="N888" s="6">
        <v>5.3188135291623597</v>
      </c>
      <c r="O888" s="6">
        <v>5.3188135291623597</v>
      </c>
      <c r="P888" s="6">
        <v>5.3188135291623597</v>
      </c>
      <c r="Q888" s="6">
        <v>0</v>
      </c>
      <c r="R888" s="6">
        <v>0</v>
      </c>
      <c r="S888" s="6">
        <v>0</v>
      </c>
      <c r="T888" s="6">
        <v>280.45343503593</v>
      </c>
    </row>
    <row r="889" spans="1:20" ht="13" x14ac:dyDescent="0.15">
      <c r="A889" s="6">
        <v>887</v>
      </c>
      <c r="B889" s="7">
        <v>44447</v>
      </c>
      <c r="C889" s="6">
        <v>274.697968427028</v>
      </c>
      <c r="D889" s="6">
        <v>249.06501485999101</v>
      </c>
      <c r="E889" s="6">
        <v>315.578563094434</v>
      </c>
      <c r="F889" s="6">
        <v>274.697968427028</v>
      </c>
      <c r="G889" s="6">
        <v>274.697968427028</v>
      </c>
      <c r="H889" s="6">
        <v>6.8576883671767703</v>
      </c>
      <c r="I889" s="6">
        <v>6.8576883671767703</v>
      </c>
      <c r="J889" s="6">
        <v>6.8576883671767703</v>
      </c>
      <c r="K889" s="6">
        <v>0.94874688043746302</v>
      </c>
      <c r="L889" s="6">
        <v>0.94874688043746302</v>
      </c>
      <c r="M889" s="6">
        <v>0.94874688043746302</v>
      </c>
      <c r="N889" s="6">
        <v>5.9089414867393097</v>
      </c>
      <c r="O889" s="6">
        <v>5.9089414867393097</v>
      </c>
      <c r="P889" s="6">
        <v>5.9089414867393097</v>
      </c>
      <c r="Q889" s="6">
        <v>0</v>
      </c>
      <c r="R889" s="6">
        <v>0</v>
      </c>
      <c r="S889" s="6">
        <v>0</v>
      </c>
      <c r="T889" s="6">
        <v>281.55565679420403</v>
      </c>
    </row>
    <row r="890" spans="1:20" ht="13" x14ac:dyDescent="0.15">
      <c r="A890" s="6">
        <v>888</v>
      </c>
      <c r="B890" s="7">
        <v>44448</v>
      </c>
      <c r="C890" s="6">
        <v>275.10653937835099</v>
      </c>
      <c r="D890" s="6">
        <v>251.56495273151</v>
      </c>
      <c r="E890" s="6">
        <v>314.745889022894</v>
      </c>
      <c r="F890" s="6">
        <v>275.10653937835099</v>
      </c>
      <c r="G890" s="6">
        <v>275.10653937835099</v>
      </c>
      <c r="H890" s="6">
        <v>6.9982070536712797</v>
      </c>
      <c r="I890" s="6">
        <v>6.9982070536712797</v>
      </c>
      <c r="J890" s="6">
        <v>6.9982070536712797</v>
      </c>
      <c r="K890" s="6">
        <v>0.49015521355895197</v>
      </c>
      <c r="L890" s="6">
        <v>0.49015521355895197</v>
      </c>
      <c r="M890" s="6">
        <v>0.49015521355895197</v>
      </c>
      <c r="N890" s="6">
        <v>6.50805184011233</v>
      </c>
      <c r="O890" s="6">
        <v>6.50805184011233</v>
      </c>
      <c r="P890" s="6">
        <v>6.50805184011233</v>
      </c>
      <c r="Q890" s="6">
        <v>0</v>
      </c>
      <c r="R890" s="6">
        <v>0</v>
      </c>
      <c r="S890" s="6">
        <v>0</v>
      </c>
      <c r="T890" s="6">
        <v>282.10474643202201</v>
      </c>
    </row>
    <row r="891" spans="1:20" ht="13" x14ac:dyDescent="0.15">
      <c r="A891" s="6">
        <v>889</v>
      </c>
      <c r="B891" s="7">
        <v>44449</v>
      </c>
      <c r="C891" s="6">
        <v>275.51511032967397</v>
      </c>
      <c r="D891" s="6">
        <v>250.17212926258901</v>
      </c>
      <c r="E891" s="6">
        <v>317.26575139581502</v>
      </c>
      <c r="F891" s="6">
        <v>275.51511032967397</v>
      </c>
      <c r="G891" s="6">
        <v>275.51511032967397</v>
      </c>
      <c r="H891" s="6">
        <v>7.0746124056098596</v>
      </c>
      <c r="I891" s="6">
        <v>7.0746124056098596</v>
      </c>
      <c r="J891" s="6">
        <v>7.0746124056098596</v>
      </c>
      <c r="K891" s="6">
        <v>-2.29767650672161E-2</v>
      </c>
      <c r="L891" s="6">
        <v>-2.29767650672161E-2</v>
      </c>
      <c r="M891" s="6">
        <v>-2.29767650672161E-2</v>
      </c>
      <c r="N891" s="6">
        <v>7.0975891706770797</v>
      </c>
      <c r="O891" s="6">
        <v>7.0975891706770797</v>
      </c>
      <c r="P891" s="6">
        <v>7.0975891706770797</v>
      </c>
      <c r="Q891" s="6">
        <v>0</v>
      </c>
      <c r="R891" s="6">
        <v>0</v>
      </c>
      <c r="S891" s="6">
        <v>0</v>
      </c>
      <c r="T891" s="6">
        <v>282.589722735284</v>
      </c>
    </row>
    <row r="892" spans="1:20" ht="13" x14ac:dyDescent="0.15">
      <c r="A892" s="6">
        <v>890</v>
      </c>
      <c r="B892" s="7">
        <v>44452</v>
      </c>
      <c r="C892" s="6">
        <v>276.74082318364299</v>
      </c>
      <c r="D892" s="6">
        <v>256.45146895141102</v>
      </c>
      <c r="E892" s="6">
        <v>317.85684386135603</v>
      </c>
      <c r="F892" s="6">
        <v>276.74082318364299</v>
      </c>
      <c r="G892" s="6">
        <v>276.74082318364299</v>
      </c>
      <c r="H892" s="6">
        <v>10.4394653286123</v>
      </c>
      <c r="I892" s="6">
        <v>10.4394653286123</v>
      </c>
      <c r="J892" s="6">
        <v>10.4394653286123</v>
      </c>
      <c r="K892" s="6">
        <v>1.8228906089344601</v>
      </c>
      <c r="L892" s="6">
        <v>1.8228906089344601</v>
      </c>
      <c r="M892" s="6">
        <v>1.8228906089344601</v>
      </c>
      <c r="N892" s="6">
        <v>8.6165747196778799</v>
      </c>
      <c r="O892" s="6">
        <v>8.6165747196778799</v>
      </c>
      <c r="P892" s="6">
        <v>8.6165747196778799</v>
      </c>
      <c r="Q892" s="6">
        <v>0</v>
      </c>
      <c r="R892" s="6">
        <v>0</v>
      </c>
      <c r="S892" s="6">
        <v>0</v>
      </c>
      <c r="T892" s="6">
        <v>287.180288512255</v>
      </c>
    </row>
    <row r="893" spans="1:20" ht="13" x14ac:dyDescent="0.15">
      <c r="A893" s="6">
        <v>891</v>
      </c>
      <c r="B893" s="7">
        <v>44453</v>
      </c>
      <c r="C893" s="6">
        <v>277.14939413496597</v>
      </c>
      <c r="D893" s="6">
        <v>254.439453324113</v>
      </c>
      <c r="E893" s="6">
        <v>320.468627237644</v>
      </c>
      <c r="F893" s="6">
        <v>277.14939413496597</v>
      </c>
      <c r="G893" s="6">
        <v>277.14939413496597</v>
      </c>
      <c r="H893" s="6">
        <v>9.8225498524363601</v>
      </c>
      <c r="I893" s="6">
        <v>9.8225498524363601</v>
      </c>
      <c r="J893" s="6">
        <v>9.8225498524363601</v>
      </c>
      <c r="K893" s="6">
        <v>0.84522403106797905</v>
      </c>
      <c r="L893" s="6">
        <v>0.84522403106797905</v>
      </c>
      <c r="M893" s="6">
        <v>0.84522403106797905</v>
      </c>
      <c r="N893" s="6">
        <v>8.97732582136838</v>
      </c>
      <c r="O893" s="6">
        <v>8.97732582136838</v>
      </c>
      <c r="P893" s="6">
        <v>8.97732582136838</v>
      </c>
      <c r="Q893" s="6">
        <v>0</v>
      </c>
      <c r="R893" s="6">
        <v>0</v>
      </c>
      <c r="S893" s="6">
        <v>0</v>
      </c>
      <c r="T893" s="6">
        <v>286.97194398740203</v>
      </c>
    </row>
    <row r="894" spans="1:20" ht="13" x14ac:dyDescent="0.15">
      <c r="A894" s="6">
        <v>892</v>
      </c>
      <c r="B894" s="7">
        <v>44454</v>
      </c>
      <c r="C894" s="6">
        <v>277.55796508628902</v>
      </c>
      <c r="D894" s="6">
        <v>256.338635882929</v>
      </c>
      <c r="E894" s="6">
        <v>318.46644007832703</v>
      </c>
      <c r="F894" s="6">
        <v>277.55796508628902</v>
      </c>
      <c r="G894" s="6">
        <v>277.55796508628902</v>
      </c>
      <c r="H894" s="6">
        <v>10.185657139100201</v>
      </c>
      <c r="I894" s="6">
        <v>10.185657139100201</v>
      </c>
      <c r="J894" s="6">
        <v>10.185657139100201</v>
      </c>
      <c r="K894" s="6">
        <v>0.94874688043663302</v>
      </c>
      <c r="L894" s="6">
        <v>0.94874688043663302</v>
      </c>
      <c r="M894" s="6">
        <v>0.94874688043663302</v>
      </c>
      <c r="N894" s="6">
        <v>9.2369102586636291</v>
      </c>
      <c r="O894" s="6">
        <v>9.2369102586636291</v>
      </c>
      <c r="P894" s="6">
        <v>9.2369102586636291</v>
      </c>
      <c r="Q894" s="6">
        <v>0</v>
      </c>
      <c r="R894" s="6">
        <v>0</v>
      </c>
      <c r="S894" s="6">
        <v>0</v>
      </c>
      <c r="T894" s="6">
        <v>287.743622225389</v>
      </c>
    </row>
    <row r="895" spans="1:20" ht="13" x14ac:dyDescent="0.15">
      <c r="A895" s="6">
        <v>893</v>
      </c>
      <c r="B895" s="7">
        <v>44455</v>
      </c>
      <c r="C895" s="6">
        <v>277.966536037612</v>
      </c>
      <c r="D895" s="6">
        <v>254.830875789663</v>
      </c>
      <c r="E895" s="6">
        <v>318.11725303975101</v>
      </c>
      <c r="F895" s="6">
        <v>277.966536037612</v>
      </c>
      <c r="G895" s="6">
        <v>277.966536037612</v>
      </c>
      <c r="H895" s="6">
        <v>9.8712616186817002</v>
      </c>
      <c r="I895" s="6">
        <v>9.8712616186817002</v>
      </c>
      <c r="J895" s="6">
        <v>9.8712616186817002</v>
      </c>
      <c r="K895" s="6">
        <v>0.49015521355611402</v>
      </c>
      <c r="L895" s="6">
        <v>0.49015521355611402</v>
      </c>
      <c r="M895" s="6">
        <v>0.49015521355611402</v>
      </c>
      <c r="N895" s="6">
        <v>9.3811064051255908</v>
      </c>
      <c r="O895" s="6">
        <v>9.3811064051255908</v>
      </c>
      <c r="P895" s="6">
        <v>9.3811064051255908</v>
      </c>
      <c r="Q895" s="6">
        <v>0</v>
      </c>
      <c r="R895" s="6">
        <v>0</v>
      </c>
      <c r="S895" s="6">
        <v>0</v>
      </c>
      <c r="T895" s="6">
        <v>287.83779765629401</v>
      </c>
    </row>
    <row r="896" spans="1:20" ht="13" x14ac:dyDescent="0.15">
      <c r="A896" s="6">
        <v>894</v>
      </c>
      <c r="B896" s="7">
        <v>44456</v>
      </c>
      <c r="C896" s="6">
        <v>278.37510698893499</v>
      </c>
      <c r="D896" s="6">
        <v>254.851220431548</v>
      </c>
      <c r="E896" s="6">
        <v>319.13353450849303</v>
      </c>
      <c r="F896" s="6">
        <v>278.37510698893499</v>
      </c>
      <c r="G896" s="6">
        <v>278.37510698893499</v>
      </c>
      <c r="H896" s="6">
        <v>9.3752596483898998</v>
      </c>
      <c r="I896" s="6">
        <v>9.3752596483898998</v>
      </c>
      <c r="J896" s="6">
        <v>9.3752596483898998</v>
      </c>
      <c r="K896" s="6">
        <v>-2.2976765061157301E-2</v>
      </c>
      <c r="L896" s="6">
        <v>-2.2976765061157301E-2</v>
      </c>
      <c r="M896" s="6">
        <v>-2.2976765061157301E-2</v>
      </c>
      <c r="N896" s="6">
        <v>9.3982364134510608</v>
      </c>
      <c r="O896" s="6">
        <v>9.3982364134510608</v>
      </c>
      <c r="P896" s="6">
        <v>9.3982364134510608</v>
      </c>
      <c r="Q896" s="6">
        <v>0</v>
      </c>
      <c r="R896" s="6">
        <v>0</v>
      </c>
      <c r="S896" s="6">
        <v>0</v>
      </c>
      <c r="T896" s="6">
        <v>287.75036663732499</v>
      </c>
    </row>
    <row r="897" spans="1:20" ht="13" x14ac:dyDescent="0.15">
      <c r="A897" s="6">
        <v>895</v>
      </c>
      <c r="B897" s="7">
        <v>44459</v>
      </c>
      <c r="C897" s="6">
        <v>279.600819842904</v>
      </c>
      <c r="D897" s="6">
        <v>257.76214864710198</v>
      </c>
      <c r="E897" s="6">
        <v>324.06843128102798</v>
      </c>
      <c r="F897" s="6">
        <v>279.600819842904</v>
      </c>
      <c r="G897" s="6">
        <v>279.600819842904</v>
      </c>
      <c r="H897" s="6">
        <v>10.4394354369584</v>
      </c>
      <c r="I897" s="6">
        <v>10.4394354369584</v>
      </c>
      <c r="J897" s="6">
        <v>10.4394354369584</v>
      </c>
      <c r="K897" s="6">
        <v>1.82289060893739</v>
      </c>
      <c r="L897" s="6">
        <v>1.82289060893739</v>
      </c>
      <c r="M897" s="6">
        <v>1.82289060893739</v>
      </c>
      <c r="N897" s="6">
        <v>8.6165448280210502</v>
      </c>
      <c r="O897" s="6">
        <v>8.6165448280210502</v>
      </c>
      <c r="P897" s="6">
        <v>8.6165448280210502</v>
      </c>
      <c r="Q897" s="6">
        <v>0</v>
      </c>
      <c r="R897" s="6">
        <v>0</v>
      </c>
      <c r="S897" s="6">
        <v>0</v>
      </c>
      <c r="T897" s="6">
        <v>290.040255279863</v>
      </c>
    </row>
    <row r="898" spans="1:20" ht="13" x14ac:dyDescent="0.15">
      <c r="A898" s="6">
        <v>896</v>
      </c>
      <c r="B898" s="7">
        <v>44460</v>
      </c>
      <c r="C898" s="6">
        <v>280.00939079422699</v>
      </c>
      <c r="D898" s="6">
        <v>256.19213637237198</v>
      </c>
      <c r="E898" s="6">
        <v>321.50210565381002</v>
      </c>
      <c r="F898" s="6">
        <v>280.00939079422699</v>
      </c>
      <c r="G898" s="6">
        <v>280.00939079422699</v>
      </c>
      <c r="H898" s="6">
        <v>8.9172079920043803</v>
      </c>
      <c r="I898" s="6">
        <v>8.9172079920043803</v>
      </c>
      <c r="J898" s="6">
        <v>8.9172079920043803</v>
      </c>
      <c r="K898" s="6">
        <v>0.84522403106814603</v>
      </c>
      <c r="L898" s="6">
        <v>0.84522403106814603</v>
      </c>
      <c r="M898" s="6">
        <v>0.84522403106814603</v>
      </c>
      <c r="N898" s="6">
        <v>8.0719839609362403</v>
      </c>
      <c r="O898" s="6">
        <v>8.0719839609362403</v>
      </c>
      <c r="P898" s="6">
        <v>8.0719839609362403</v>
      </c>
      <c r="Q898" s="6">
        <v>0</v>
      </c>
      <c r="R898" s="6">
        <v>0</v>
      </c>
      <c r="S898" s="6">
        <v>0</v>
      </c>
      <c r="T898" s="6">
        <v>288.92659878623198</v>
      </c>
    </row>
    <row r="899" spans="1:20" ht="13" x14ac:dyDescent="0.15">
      <c r="A899" s="6">
        <v>897</v>
      </c>
      <c r="B899" s="7">
        <v>44461</v>
      </c>
      <c r="C899" s="6">
        <v>280.41796174554997</v>
      </c>
      <c r="D899" s="6">
        <v>257.22737525156498</v>
      </c>
      <c r="E899" s="6">
        <v>319.94647704749201</v>
      </c>
      <c r="F899" s="6">
        <v>280.41796174554997</v>
      </c>
      <c r="G899" s="6">
        <v>280.41796174554997</v>
      </c>
      <c r="H899" s="6">
        <v>8.3401682678824205</v>
      </c>
      <c r="I899" s="6">
        <v>8.3401682678824205</v>
      </c>
      <c r="J899" s="6">
        <v>8.3401682678824205</v>
      </c>
      <c r="K899" s="6">
        <v>0.94874688043701605</v>
      </c>
      <c r="L899" s="6">
        <v>0.94874688043701605</v>
      </c>
      <c r="M899" s="6">
        <v>0.94874688043701605</v>
      </c>
      <c r="N899" s="6">
        <v>7.3914213874453996</v>
      </c>
      <c r="O899" s="6">
        <v>7.3914213874453996</v>
      </c>
      <c r="P899" s="6">
        <v>7.3914213874453996</v>
      </c>
      <c r="Q899" s="6">
        <v>0</v>
      </c>
      <c r="R899" s="6">
        <v>0</v>
      </c>
      <c r="S899" s="6">
        <v>0</v>
      </c>
      <c r="T899" s="6">
        <v>288.758130013433</v>
      </c>
    </row>
    <row r="900" spans="1:20" ht="13" x14ac:dyDescent="0.15">
      <c r="A900" s="6">
        <v>898</v>
      </c>
      <c r="B900" s="7">
        <v>44462</v>
      </c>
      <c r="C900" s="6">
        <v>280.82653269687302</v>
      </c>
      <c r="D900" s="6">
        <v>253.84802185297801</v>
      </c>
      <c r="E900" s="6">
        <v>321.54333934811098</v>
      </c>
      <c r="F900" s="6">
        <v>280.82653269687302</v>
      </c>
      <c r="G900" s="6">
        <v>280.82653269687302</v>
      </c>
      <c r="H900" s="6">
        <v>7.0741344151805903</v>
      </c>
      <c r="I900" s="6">
        <v>7.0741344151805903</v>
      </c>
      <c r="J900" s="6">
        <v>7.0741344151805903</v>
      </c>
      <c r="K900" s="6">
        <v>0.49015521355729302</v>
      </c>
      <c r="L900" s="6">
        <v>0.49015521355729302</v>
      </c>
      <c r="M900" s="6">
        <v>0.49015521355729302</v>
      </c>
      <c r="N900" s="6">
        <v>6.5839792016232996</v>
      </c>
      <c r="O900" s="6">
        <v>6.5839792016232996</v>
      </c>
      <c r="P900" s="6">
        <v>6.5839792016232996</v>
      </c>
      <c r="Q900" s="6">
        <v>0</v>
      </c>
      <c r="R900" s="6">
        <v>0</v>
      </c>
      <c r="S900" s="6">
        <v>0</v>
      </c>
      <c r="T900" s="6">
        <v>287.90066711205401</v>
      </c>
    </row>
    <row r="901" spans="1:20" ht="13" x14ac:dyDescent="0.15">
      <c r="A901" s="6">
        <v>899</v>
      </c>
      <c r="B901" s="7">
        <v>44463</v>
      </c>
      <c r="C901" s="6">
        <v>281.235103648196</v>
      </c>
      <c r="D901" s="6">
        <v>254.04773880241899</v>
      </c>
      <c r="E901" s="6">
        <v>319.83995974696597</v>
      </c>
      <c r="F901" s="6">
        <v>281.235103648196</v>
      </c>
      <c r="G901" s="6">
        <v>281.235103648196</v>
      </c>
      <c r="H901" s="6">
        <v>5.6393194662045003</v>
      </c>
      <c r="I901" s="6">
        <v>5.6393194662045003</v>
      </c>
      <c r="J901" s="6">
        <v>5.6393194662045003</v>
      </c>
      <c r="K901" s="6">
        <v>-2.2976765059211101E-2</v>
      </c>
      <c r="L901" s="6">
        <v>-2.2976765059211101E-2</v>
      </c>
      <c r="M901" s="6">
        <v>-2.2976765059211101E-2</v>
      </c>
      <c r="N901" s="6">
        <v>5.66229623126371</v>
      </c>
      <c r="O901" s="6">
        <v>5.66229623126371</v>
      </c>
      <c r="P901" s="6">
        <v>5.66229623126371</v>
      </c>
      <c r="Q901" s="6">
        <v>0</v>
      </c>
      <c r="R901" s="6">
        <v>0</v>
      </c>
      <c r="S901" s="6">
        <v>0</v>
      </c>
      <c r="T901" s="6">
        <v>286.874423114401</v>
      </c>
    </row>
    <row r="902" spans="1:20" ht="13" x14ac:dyDescent="0.15">
      <c r="A902" s="6">
        <v>900</v>
      </c>
      <c r="B902" s="7">
        <v>44466</v>
      </c>
      <c r="C902" s="6">
        <v>282.46081650216598</v>
      </c>
      <c r="D902" s="6">
        <v>254.02533942444401</v>
      </c>
      <c r="E902" s="6">
        <v>318.592296787968</v>
      </c>
      <c r="F902" s="6">
        <v>282.46081650216598</v>
      </c>
      <c r="G902" s="6">
        <v>282.46081650216598</v>
      </c>
      <c r="H902" s="6">
        <v>4.2079161786754904</v>
      </c>
      <c r="I902" s="6">
        <v>4.2079161786754904</v>
      </c>
      <c r="J902" s="6">
        <v>4.2079161786754904</v>
      </c>
      <c r="K902" s="6">
        <v>1.82289060893789</v>
      </c>
      <c r="L902" s="6">
        <v>1.82289060893789</v>
      </c>
      <c r="M902" s="6">
        <v>1.82289060893789</v>
      </c>
      <c r="N902" s="6">
        <v>2.3850255697375902</v>
      </c>
      <c r="O902" s="6">
        <v>2.3850255697375902</v>
      </c>
      <c r="P902" s="6">
        <v>2.3850255697375902</v>
      </c>
      <c r="Q902" s="6">
        <v>0</v>
      </c>
      <c r="R902" s="6">
        <v>0</v>
      </c>
      <c r="S902" s="6">
        <v>0</v>
      </c>
      <c r="T902" s="6">
        <v>286.668732680841</v>
      </c>
    </row>
    <row r="903" spans="1:20" ht="13" x14ac:dyDescent="0.15">
      <c r="A903" s="6">
        <v>901</v>
      </c>
      <c r="B903" s="7">
        <v>44467</v>
      </c>
      <c r="C903" s="6">
        <v>282.86938745348903</v>
      </c>
      <c r="D903" s="6">
        <v>251.970564254886</v>
      </c>
      <c r="E903" s="6">
        <v>318.35190355074099</v>
      </c>
      <c r="F903" s="6">
        <v>282.86938745348903</v>
      </c>
      <c r="G903" s="6">
        <v>282.86938745348903</v>
      </c>
      <c r="H903" s="6">
        <v>2.03764585752511</v>
      </c>
      <c r="I903" s="6">
        <v>2.03764585752511</v>
      </c>
      <c r="J903" s="6">
        <v>2.03764585752511</v>
      </c>
      <c r="K903" s="6">
        <v>0.84522403106668897</v>
      </c>
      <c r="L903" s="6">
        <v>0.84522403106668897</v>
      </c>
      <c r="M903" s="6">
        <v>0.84522403106668897</v>
      </c>
      <c r="N903" s="6">
        <v>1.1924218264584201</v>
      </c>
      <c r="O903" s="6">
        <v>1.1924218264584201</v>
      </c>
      <c r="P903" s="6">
        <v>1.1924218264584201</v>
      </c>
      <c r="Q903" s="6">
        <v>0</v>
      </c>
      <c r="R903" s="6">
        <v>0</v>
      </c>
      <c r="S903" s="6">
        <v>0</v>
      </c>
      <c r="T903" s="6">
        <v>284.907033311014</v>
      </c>
    </row>
    <row r="904" spans="1:20" ht="13" x14ac:dyDescent="0.15">
      <c r="A904" s="6">
        <v>902</v>
      </c>
      <c r="B904" s="7">
        <v>44468</v>
      </c>
      <c r="C904" s="6">
        <v>283.27795840481201</v>
      </c>
      <c r="D904" s="6">
        <v>252.096126785309</v>
      </c>
      <c r="E904" s="6">
        <v>316.38361937235902</v>
      </c>
      <c r="F904" s="6">
        <v>283.27795840481201</v>
      </c>
      <c r="G904" s="6">
        <v>283.27795840481201</v>
      </c>
      <c r="H904" s="6">
        <v>0.93842017511858999</v>
      </c>
      <c r="I904" s="6">
        <v>0.93842017511858999</v>
      </c>
      <c r="J904" s="6">
        <v>0.93842017511858999</v>
      </c>
      <c r="K904" s="6">
        <v>0.94874688043618605</v>
      </c>
      <c r="L904" s="6">
        <v>0.94874688043618605</v>
      </c>
      <c r="M904" s="6">
        <v>0.94874688043618605</v>
      </c>
      <c r="N904" s="6">
        <v>-1.03267053175957E-2</v>
      </c>
      <c r="O904" s="6">
        <v>-1.03267053175957E-2</v>
      </c>
      <c r="P904" s="6">
        <v>-1.03267053175957E-2</v>
      </c>
      <c r="Q904" s="6">
        <v>0</v>
      </c>
      <c r="R904" s="6">
        <v>0</v>
      </c>
      <c r="S904" s="6">
        <v>0</v>
      </c>
      <c r="T904" s="6">
        <v>284.21637857992999</v>
      </c>
    </row>
    <row r="905" spans="1:20" ht="13" x14ac:dyDescent="0.15">
      <c r="A905" s="6">
        <v>903</v>
      </c>
      <c r="B905" s="7">
        <v>44469</v>
      </c>
      <c r="C905" s="6">
        <v>283.686529356135</v>
      </c>
      <c r="D905" s="6">
        <v>250.90363624426701</v>
      </c>
      <c r="E905" s="6">
        <v>315.73101477792</v>
      </c>
      <c r="F905" s="6">
        <v>283.686529356135</v>
      </c>
      <c r="G905" s="6">
        <v>283.686529356135</v>
      </c>
      <c r="H905" s="6">
        <v>-0.70750767621676602</v>
      </c>
      <c r="I905" s="6">
        <v>-0.70750767621676602</v>
      </c>
      <c r="J905" s="6">
        <v>-0.70750767621676602</v>
      </c>
      <c r="K905" s="6">
        <v>0.49015521355445502</v>
      </c>
      <c r="L905" s="6">
        <v>0.49015521355445502</v>
      </c>
      <c r="M905" s="6">
        <v>0.49015521355445502</v>
      </c>
      <c r="N905" s="6">
        <v>-1.19766288977122</v>
      </c>
      <c r="O905" s="6">
        <v>-1.19766288977122</v>
      </c>
      <c r="P905" s="6">
        <v>-1.19766288977122</v>
      </c>
      <c r="Q905" s="6">
        <v>0</v>
      </c>
      <c r="R905" s="6">
        <v>0</v>
      </c>
      <c r="S905" s="6">
        <v>0</v>
      </c>
      <c r="T905" s="6">
        <v>282.97902167991799</v>
      </c>
    </row>
    <row r="906" spans="1:20" ht="13" x14ac:dyDescent="0.15">
      <c r="A906" s="6">
        <v>904</v>
      </c>
      <c r="B906" s="7">
        <v>44470</v>
      </c>
      <c r="C906" s="6">
        <v>284.09510030745798</v>
      </c>
      <c r="D906" s="6">
        <v>250.44943680730699</v>
      </c>
      <c r="E906" s="6">
        <v>316.01872888633898</v>
      </c>
      <c r="F906" s="6">
        <v>284.09510030745798</v>
      </c>
      <c r="G906" s="6">
        <v>284.09510030745798</v>
      </c>
      <c r="H906" s="6">
        <v>-2.3668242575293901</v>
      </c>
      <c r="I906" s="6">
        <v>-2.3668242575293901</v>
      </c>
      <c r="J906" s="6">
        <v>-2.3668242575293901</v>
      </c>
      <c r="K906" s="6">
        <v>-2.2976765066381698E-2</v>
      </c>
      <c r="L906" s="6">
        <v>-2.2976765066381698E-2</v>
      </c>
      <c r="M906" s="6">
        <v>-2.2976765066381698E-2</v>
      </c>
      <c r="N906" s="6">
        <v>-2.3438474924630102</v>
      </c>
      <c r="O906" s="6">
        <v>-2.3438474924630102</v>
      </c>
      <c r="P906" s="6">
        <v>-2.3438474924630102</v>
      </c>
      <c r="Q906" s="6">
        <v>0</v>
      </c>
      <c r="R906" s="6">
        <v>0</v>
      </c>
      <c r="S906" s="6">
        <v>0</v>
      </c>
      <c r="T906" s="6">
        <v>281.72827604992801</v>
      </c>
    </row>
    <row r="907" spans="1:20" ht="13" x14ac:dyDescent="0.15">
      <c r="A907" s="6">
        <v>905</v>
      </c>
      <c r="B907" s="7">
        <v>44473</v>
      </c>
      <c r="C907" s="6">
        <v>285.320813161427</v>
      </c>
      <c r="D907" s="6">
        <v>248.91356006893901</v>
      </c>
      <c r="E907" s="6">
        <v>312.52112759817697</v>
      </c>
      <c r="F907" s="6">
        <v>285.320813161427</v>
      </c>
      <c r="G907" s="6">
        <v>285.320813161427</v>
      </c>
      <c r="H907" s="6">
        <v>-3.4660619774113002</v>
      </c>
      <c r="I907" s="6">
        <v>-3.4660619774113002</v>
      </c>
      <c r="J907" s="6">
        <v>-3.4660619774113002</v>
      </c>
      <c r="K907" s="6">
        <v>1.82289060893961</v>
      </c>
      <c r="L907" s="6">
        <v>1.82289060893961</v>
      </c>
      <c r="M907" s="6">
        <v>1.82289060893961</v>
      </c>
      <c r="N907" s="6">
        <v>-5.2889525863509199</v>
      </c>
      <c r="O907" s="6">
        <v>-5.2889525863509199</v>
      </c>
      <c r="P907" s="6">
        <v>-5.2889525863509199</v>
      </c>
      <c r="Q907" s="6">
        <v>0</v>
      </c>
      <c r="R907" s="6">
        <v>0</v>
      </c>
      <c r="S907" s="6">
        <v>0</v>
      </c>
      <c r="T907" s="6">
        <v>281.85475118401598</v>
      </c>
    </row>
    <row r="908" spans="1:20" ht="13" x14ac:dyDescent="0.15">
      <c r="A908" s="6">
        <v>906</v>
      </c>
      <c r="B908" s="7">
        <v>44474</v>
      </c>
      <c r="C908" s="6">
        <v>285.72938411274998</v>
      </c>
      <c r="D908" s="6">
        <v>248.80175358042399</v>
      </c>
      <c r="E908" s="6">
        <v>310.39079958873702</v>
      </c>
      <c r="F908" s="6">
        <v>285.72938411274998</v>
      </c>
      <c r="G908" s="6">
        <v>285.72938411274998</v>
      </c>
      <c r="H908" s="6">
        <v>-5.1867665657461997</v>
      </c>
      <c r="I908" s="6">
        <v>-5.1867665657461997</v>
      </c>
      <c r="J908" s="6">
        <v>-5.1867665657461997</v>
      </c>
      <c r="K908" s="6">
        <v>0.84522403106523203</v>
      </c>
      <c r="L908" s="6">
        <v>0.84522403106523203</v>
      </c>
      <c r="M908" s="6">
        <v>0.84522403106523203</v>
      </c>
      <c r="N908" s="6">
        <v>-6.03199059681143</v>
      </c>
      <c r="O908" s="6">
        <v>-6.03199059681143</v>
      </c>
      <c r="P908" s="6">
        <v>-6.03199059681143</v>
      </c>
      <c r="Q908" s="6">
        <v>0</v>
      </c>
      <c r="R908" s="6">
        <v>0</v>
      </c>
      <c r="S908" s="6">
        <v>0</v>
      </c>
      <c r="T908" s="6">
        <v>280.542617547004</v>
      </c>
    </row>
    <row r="909" spans="1:20" ht="13" x14ac:dyDescent="0.15">
      <c r="A909" s="6">
        <v>907</v>
      </c>
      <c r="B909" s="7">
        <v>44475</v>
      </c>
      <c r="C909" s="6">
        <v>286.13795506407303</v>
      </c>
      <c r="D909" s="6">
        <v>247.88371013397401</v>
      </c>
      <c r="E909" s="6">
        <v>311.985931520549</v>
      </c>
      <c r="F909" s="6">
        <v>286.13795506407303</v>
      </c>
      <c r="G909" s="6">
        <v>286.13795506407303</v>
      </c>
      <c r="H909" s="6">
        <v>-5.6758728564373602</v>
      </c>
      <c r="I909" s="6">
        <v>-5.6758728564373602</v>
      </c>
      <c r="J909" s="6">
        <v>-5.6758728564373602</v>
      </c>
      <c r="K909" s="6">
        <v>0.94874688043803501</v>
      </c>
      <c r="L909" s="6">
        <v>0.94874688043803501</v>
      </c>
      <c r="M909" s="6">
        <v>0.94874688043803501</v>
      </c>
      <c r="N909" s="6">
        <v>-6.6246197368753901</v>
      </c>
      <c r="O909" s="6">
        <v>-6.6246197368753901</v>
      </c>
      <c r="P909" s="6">
        <v>-6.6246197368753901</v>
      </c>
      <c r="Q909" s="6">
        <v>0</v>
      </c>
      <c r="R909" s="6">
        <v>0</v>
      </c>
      <c r="S909" s="6">
        <v>0</v>
      </c>
      <c r="T909" s="6">
        <v>280.462082207636</v>
      </c>
    </row>
    <row r="910" spans="1:20" ht="13" x14ac:dyDescent="0.15">
      <c r="A910" s="6">
        <v>908</v>
      </c>
      <c r="B910" s="7">
        <v>44476</v>
      </c>
      <c r="C910" s="6">
        <v>286.54652601539601</v>
      </c>
      <c r="D910" s="6">
        <v>250.96590516867599</v>
      </c>
      <c r="E910" s="6">
        <v>313.89719691999301</v>
      </c>
      <c r="F910" s="6">
        <v>286.54652601539601</v>
      </c>
      <c r="G910" s="6">
        <v>286.54652601539601</v>
      </c>
      <c r="H910" s="6">
        <v>-6.5626912600729099</v>
      </c>
      <c r="I910" s="6">
        <v>-6.5626912600729099</v>
      </c>
      <c r="J910" s="6">
        <v>-6.5626912600729099</v>
      </c>
      <c r="K910" s="6">
        <v>0.49015521355563402</v>
      </c>
      <c r="L910" s="6">
        <v>0.49015521355563402</v>
      </c>
      <c r="M910" s="6">
        <v>0.49015521355563402</v>
      </c>
      <c r="N910" s="6">
        <v>-7.0528464736285397</v>
      </c>
      <c r="O910" s="6">
        <v>-7.0528464736285397</v>
      </c>
      <c r="P910" s="6">
        <v>-7.0528464736285397</v>
      </c>
      <c r="Q910" s="6">
        <v>0</v>
      </c>
      <c r="R910" s="6">
        <v>0</v>
      </c>
      <c r="S910" s="6">
        <v>0</v>
      </c>
      <c r="T910" s="6">
        <v>279.98383475532302</v>
      </c>
    </row>
    <row r="911" spans="1:20" ht="13" x14ac:dyDescent="0.15">
      <c r="A911" s="6">
        <v>909</v>
      </c>
      <c r="B911" s="7">
        <v>44477</v>
      </c>
      <c r="C911" s="6">
        <v>286.955096966719</v>
      </c>
      <c r="D911" s="6">
        <v>247.45575947897399</v>
      </c>
      <c r="E911" s="6">
        <v>312.17130011064501</v>
      </c>
      <c r="F911" s="6">
        <v>286.955096966719</v>
      </c>
      <c r="G911" s="6">
        <v>286.955096966719</v>
      </c>
      <c r="H911" s="6">
        <v>-7.3293093188916298</v>
      </c>
      <c r="I911" s="6">
        <v>-7.3293093188916298</v>
      </c>
      <c r="J911" s="6">
        <v>-7.3293093188916298</v>
      </c>
      <c r="K911" s="6">
        <v>-2.2976765055764199E-2</v>
      </c>
      <c r="L911" s="6">
        <v>-2.2976765055764199E-2</v>
      </c>
      <c r="M911" s="6">
        <v>-2.2976765055764199E-2</v>
      </c>
      <c r="N911" s="6">
        <v>-7.3063325538358699</v>
      </c>
      <c r="O911" s="6">
        <v>-7.3063325538358699</v>
      </c>
      <c r="P911" s="6">
        <v>-7.3063325538358699</v>
      </c>
      <c r="Q911" s="6">
        <v>0</v>
      </c>
      <c r="R911" s="6">
        <v>0</v>
      </c>
      <c r="S911" s="6">
        <v>0</v>
      </c>
      <c r="T911" s="6">
        <v>279.62578764782802</v>
      </c>
    </row>
    <row r="912" spans="1:20" ht="13" x14ac:dyDescent="0.15">
      <c r="A912" s="6">
        <v>910</v>
      </c>
      <c r="B912" s="7">
        <v>44480</v>
      </c>
      <c r="C912" s="6">
        <v>288.18080982068801</v>
      </c>
      <c r="D912" s="6">
        <v>250.67647806137001</v>
      </c>
      <c r="E912" s="6">
        <v>315.61712447653002</v>
      </c>
      <c r="F912" s="6">
        <v>288.18080982068801</v>
      </c>
      <c r="G912" s="6">
        <v>288.18080982068801</v>
      </c>
      <c r="H912" s="6">
        <v>-5.1519227343153</v>
      </c>
      <c r="I912" s="6">
        <v>-5.1519227343153</v>
      </c>
      <c r="J912" s="6">
        <v>-5.1519227343153</v>
      </c>
      <c r="K912" s="6">
        <v>1.8228906089334</v>
      </c>
      <c r="L912" s="6">
        <v>1.8228906089334</v>
      </c>
      <c r="M912" s="6">
        <v>1.8228906089334</v>
      </c>
      <c r="N912" s="6">
        <v>-6.9748133432486998</v>
      </c>
      <c r="O912" s="6">
        <v>-6.9748133432486998</v>
      </c>
      <c r="P912" s="6">
        <v>-6.9748133432486998</v>
      </c>
      <c r="Q912" s="6">
        <v>0</v>
      </c>
      <c r="R912" s="6">
        <v>0</v>
      </c>
      <c r="S912" s="6">
        <v>0</v>
      </c>
      <c r="T912" s="6">
        <v>283.028887086373</v>
      </c>
    </row>
    <row r="913" spans="1:20" ht="13" x14ac:dyDescent="0.15">
      <c r="A913" s="6">
        <v>911</v>
      </c>
      <c r="B913" s="7">
        <v>44481</v>
      </c>
      <c r="C913" s="6">
        <v>288.589380772011</v>
      </c>
      <c r="D913" s="6">
        <v>249.552509494238</v>
      </c>
      <c r="E913" s="6">
        <v>315.80471038330802</v>
      </c>
      <c r="F913" s="6">
        <v>288.589380772011</v>
      </c>
      <c r="G913" s="6">
        <v>288.589380772011</v>
      </c>
      <c r="H913" s="6">
        <v>-5.6612225427896901</v>
      </c>
      <c r="I913" s="6">
        <v>-5.6612225427896901</v>
      </c>
      <c r="J913" s="6">
        <v>-5.6612225427896901</v>
      </c>
      <c r="K913" s="6">
        <v>0.84522403106458699</v>
      </c>
      <c r="L913" s="6">
        <v>0.84522403106458699</v>
      </c>
      <c r="M913" s="6">
        <v>0.84522403106458699</v>
      </c>
      <c r="N913" s="6">
        <v>-6.5064465738542703</v>
      </c>
      <c r="O913" s="6">
        <v>-6.5064465738542703</v>
      </c>
      <c r="P913" s="6">
        <v>-6.5064465738542703</v>
      </c>
      <c r="Q913" s="6">
        <v>0</v>
      </c>
      <c r="R913" s="6">
        <v>0</v>
      </c>
      <c r="S913" s="6">
        <v>0</v>
      </c>
      <c r="T913" s="6">
        <v>282.92815822922199</v>
      </c>
    </row>
    <row r="914" spans="1:20" ht="13" x14ac:dyDescent="0.15">
      <c r="A914" s="6">
        <v>912</v>
      </c>
      <c r="B914" s="7">
        <v>44482</v>
      </c>
      <c r="C914" s="6">
        <v>288.99795172333398</v>
      </c>
      <c r="D914" s="6">
        <v>254.43494884489999</v>
      </c>
      <c r="E914" s="6">
        <v>315.88151622500999</v>
      </c>
      <c r="F914" s="6">
        <v>288.99795172333398</v>
      </c>
      <c r="G914" s="6">
        <v>288.99795172333398</v>
      </c>
      <c r="H914" s="6">
        <v>-4.9236305738536998</v>
      </c>
      <c r="I914" s="6">
        <v>-4.9236305738536998</v>
      </c>
      <c r="J914" s="6">
        <v>-4.9236305738536998</v>
      </c>
      <c r="K914" s="6">
        <v>0.94874688043452504</v>
      </c>
      <c r="L914" s="6">
        <v>0.94874688043452504</v>
      </c>
      <c r="M914" s="6">
        <v>0.94874688043452504</v>
      </c>
      <c r="N914" s="6">
        <v>-5.8723774542882303</v>
      </c>
      <c r="O914" s="6">
        <v>-5.8723774542882303</v>
      </c>
      <c r="P914" s="6">
        <v>-5.8723774542882303</v>
      </c>
      <c r="Q914" s="6">
        <v>0</v>
      </c>
      <c r="R914" s="6">
        <v>0</v>
      </c>
      <c r="S914" s="6">
        <v>0</v>
      </c>
      <c r="T914" s="6">
        <v>284.07432114948102</v>
      </c>
    </row>
    <row r="915" spans="1:20" ht="13" x14ac:dyDescent="0.15">
      <c r="A915" s="6">
        <v>913</v>
      </c>
      <c r="B915" s="7">
        <v>44483</v>
      </c>
      <c r="C915" s="6">
        <v>289.40652267465703</v>
      </c>
      <c r="D915" s="6">
        <v>253.56988131424501</v>
      </c>
      <c r="E915" s="6">
        <v>316.49828369797501</v>
      </c>
      <c r="F915" s="6">
        <v>289.40652267465703</v>
      </c>
      <c r="G915" s="6">
        <v>289.40652267465703</v>
      </c>
      <c r="H915" s="6">
        <v>-4.5960880815474798</v>
      </c>
      <c r="I915" s="6">
        <v>-4.5960880815474798</v>
      </c>
      <c r="J915" s="6">
        <v>-4.5960880815474798</v>
      </c>
      <c r="K915" s="6">
        <v>0.49015521355535602</v>
      </c>
      <c r="L915" s="6">
        <v>0.49015521355535602</v>
      </c>
      <c r="M915" s="6">
        <v>0.49015521355535602</v>
      </c>
      <c r="N915" s="6">
        <v>-5.0862432951028396</v>
      </c>
      <c r="O915" s="6">
        <v>-5.0862432951028396</v>
      </c>
      <c r="P915" s="6">
        <v>-5.0862432951028396</v>
      </c>
      <c r="Q915" s="6">
        <v>0</v>
      </c>
      <c r="R915" s="6">
        <v>0</v>
      </c>
      <c r="S915" s="6">
        <v>0</v>
      </c>
      <c r="T915" s="6">
        <v>284.81043459311002</v>
      </c>
    </row>
    <row r="916" spans="1:20" ht="13" x14ac:dyDescent="0.15">
      <c r="A916" s="6">
        <v>914</v>
      </c>
      <c r="B916" s="7">
        <v>44484</v>
      </c>
      <c r="C916" s="6">
        <v>289.81509362598098</v>
      </c>
      <c r="D916" s="6">
        <v>253.76239384248001</v>
      </c>
      <c r="E916" s="6">
        <v>316.49020181223301</v>
      </c>
      <c r="F916" s="6">
        <v>289.81509362598098</v>
      </c>
      <c r="G916" s="6">
        <v>289.81509362598098</v>
      </c>
      <c r="H916" s="6">
        <v>-4.1880052362748499</v>
      </c>
      <c r="I916" s="6">
        <v>-4.1880052362748499</v>
      </c>
      <c r="J916" s="6">
        <v>-4.1880052362748499</v>
      </c>
      <c r="K916" s="6">
        <v>-2.2976765062934602E-2</v>
      </c>
      <c r="L916" s="6">
        <v>-2.2976765062934602E-2</v>
      </c>
      <c r="M916" s="6">
        <v>-2.2976765062934602E-2</v>
      </c>
      <c r="N916" s="6">
        <v>-4.1650284712119197</v>
      </c>
      <c r="O916" s="6">
        <v>-4.1650284712119197</v>
      </c>
      <c r="P916" s="6">
        <v>-4.1650284712119197</v>
      </c>
      <c r="Q916" s="6">
        <v>0</v>
      </c>
      <c r="R916" s="6">
        <v>0</v>
      </c>
      <c r="S916" s="6">
        <v>0</v>
      </c>
      <c r="T916" s="6">
        <v>285.62708838970599</v>
      </c>
    </row>
    <row r="917" spans="1:20" ht="13" x14ac:dyDescent="0.15">
      <c r="A917" s="6">
        <v>915</v>
      </c>
      <c r="B917" s="7">
        <v>44487</v>
      </c>
      <c r="C917" s="6">
        <v>291.04080647994999</v>
      </c>
      <c r="D917" s="6">
        <v>256.195744302538</v>
      </c>
      <c r="E917" s="6">
        <v>322.59393842903501</v>
      </c>
      <c r="F917" s="6">
        <v>291.04080647994999</v>
      </c>
      <c r="G917" s="6">
        <v>291.04080647994999</v>
      </c>
      <c r="H917" s="6">
        <v>1.0217950246082099</v>
      </c>
      <c r="I917" s="6">
        <v>1.0217950246082099</v>
      </c>
      <c r="J917" s="6">
        <v>1.0217950246082099</v>
      </c>
      <c r="K917" s="6">
        <v>1.82289060893511</v>
      </c>
      <c r="L917" s="6">
        <v>1.82289060893511</v>
      </c>
      <c r="M917" s="6">
        <v>1.82289060893511</v>
      </c>
      <c r="N917" s="6">
        <v>-0.80109558432690098</v>
      </c>
      <c r="O917" s="6">
        <v>-0.80109558432690098</v>
      </c>
      <c r="P917" s="6">
        <v>-0.80109558432690098</v>
      </c>
      <c r="Q917" s="6">
        <v>0</v>
      </c>
      <c r="R917" s="6">
        <v>0</v>
      </c>
      <c r="S917" s="6">
        <v>0</v>
      </c>
      <c r="T917" s="6">
        <v>292.06260150455802</v>
      </c>
    </row>
    <row r="918" spans="1:20" ht="13" x14ac:dyDescent="0.15">
      <c r="A918" s="6">
        <v>916</v>
      </c>
      <c r="B918" s="7">
        <v>44488</v>
      </c>
      <c r="C918" s="6">
        <v>291.44937743127298</v>
      </c>
      <c r="D918" s="6">
        <v>261.757162628674</v>
      </c>
      <c r="E918" s="6">
        <v>323.30134182926901</v>
      </c>
      <c r="F918" s="6">
        <v>291.44937743127298</v>
      </c>
      <c r="G918" s="6">
        <v>291.44937743127298</v>
      </c>
      <c r="H918" s="6">
        <v>1.2859342567243599</v>
      </c>
      <c r="I918" s="6">
        <v>1.2859342567243599</v>
      </c>
      <c r="J918" s="6">
        <v>1.2859342567243599</v>
      </c>
      <c r="K918" s="6">
        <v>0.84522403106770105</v>
      </c>
      <c r="L918" s="6">
        <v>0.84522403106770105</v>
      </c>
      <c r="M918" s="6">
        <v>0.84522403106770105</v>
      </c>
      <c r="N918" s="6">
        <v>0.44071022565666601</v>
      </c>
      <c r="O918" s="6">
        <v>0.44071022565666601</v>
      </c>
      <c r="P918" s="6">
        <v>0.44071022565666601</v>
      </c>
      <c r="Q918" s="6">
        <v>0</v>
      </c>
      <c r="R918" s="6">
        <v>0</v>
      </c>
      <c r="S918" s="6">
        <v>0</v>
      </c>
      <c r="T918" s="6">
        <v>292.73531168799701</v>
      </c>
    </row>
    <row r="919" spans="1:20" ht="13" x14ac:dyDescent="0.15">
      <c r="A919" s="6">
        <v>917</v>
      </c>
      <c r="B919" s="7">
        <v>44489</v>
      </c>
      <c r="C919" s="6">
        <v>291.85794838259602</v>
      </c>
      <c r="D919" s="6">
        <v>263.03219963921998</v>
      </c>
      <c r="E919" s="6">
        <v>326.84153563894199</v>
      </c>
      <c r="F919" s="6">
        <v>291.85794838259602</v>
      </c>
      <c r="G919" s="6">
        <v>291.85794838259602</v>
      </c>
      <c r="H919" s="6">
        <v>2.6491207667896002</v>
      </c>
      <c r="I919" s="6">
        <v>2.6491207667896002</v>
      </c>
      <c r="J919" s="6">
        <v>2.6491207667896002</v>
      </c>
      <c r="K919" s="6">
        <v>0.94874688043637401</v>
      </c>
      <c r="L919" s="6">
        <v>0.94874688043637401</v>
      </c>
      <c r="M919" s="6">
        <v>0.94874688043637401</v>
      </c>
      <c r="N919" s="6">
        <v>1.7003738863532301</v>
      </c>
      <c r="O919" s="6">
        <v>1.7003738863532301</v>
      </c>
      <c r="P919" s="6">
        <v>1.7003738863532301</v>
      </c>
      <c r="Q919" s="6">
        <v>0</v>
      </c>
      <c r="R919" s="6">
        <v>0</v>
      </c>
      <c r="S919" s="6">
        <v>0</v>
      </c>
      <c r="T919" s="6">
        <v>294.50706914938502</v>
      </c>
    </row>
    <row r="920" spans="1:20" ht="13" x14ac:dyDescent="0.15">
      <c r="A920" s="6">
        <v>918</v>
      </c>
      <c r="B920" s="7">
        <v>44490</v>
      </c>
      <c r="C920" s="6">
        <v>292.26651933391901</v>
      </c>
      <c r="D920" s="6">
        <v>261.62484637391202</v>
      </c>
      <c r="E920" s="6">
        <v>328.76463787044003</v>
      </c>
      <c r="F920" s="6">
        <v>292.26651933391901</v>
      </c>
      <c r="G920" s="6">
        <v>292.26651933391901</v>
      </c>
      <c r="H920" s="6">
        <v>3.44244230492993</v>
      </c>
      <c r="I920" s="6">
        <v>3.44244230492993</v>
      </c>
      <c r="J920" s="6">
        <v>3.44244230492993</v>
      </c>
      <c r="K920" s="6">
        <v>0.49015521355653502</v>
      </c>
      <c r="L920" s="6">
        <v>0.49015521355653502</v>
      </c>
      <c r="M920" s="6">
        <v>0.49015521355653502</v>
      </c>
      <c r="N920" s="6">
        <v>2.9522870913733898</v>
      </c>
      <c r="O920" s="6">
        <v>2.9522870913733898</v>
      </c>
      <c r="P920" s="6">
        <v>2.9522870913733898</v>
      </c>
      <c r="Q920" s="6">
        <v>0</v>
      </c>
      <c r="R920" s="6">
        <v>0</v>
      </c>
      <c r="S920" s="6">
        <v>0</v>
      </c>
      <c r="T920" s="6">
        <v>295.70896163884902</v>
      </c>
    </row>
    <row r="921" spans="1:20" ht="13" x14ac:dyDescent="0.15">
      <c r="A921" s="6">
        <v>919</v>
      </c>
      <c r="B921" s="7">
        <v>44491</v>
      </c>
      <c r="C921" s="6">
        <v>292.67509028524199</v>
      </c>
      <c r="D921" s="6">
        <v>264.97731940274599</v>
      </c>
      <c r="E921" s="6">
        <v>326.96723254469703</v>
      </c>
      <c r="F921" s="6">
        <v>292.67509028524199</v>
      </c>
      <c r="G921" s="6">
        <v>292.67509028524199</v>
      </c>
      <c r="H921" s="6">
        <v>4.1486717243287803</v>
      </c>
      <c r="I921" s="6">
        <v>4.1486717243287803</v>
      </c>
      <c r="J921" s="6">
        <v>4.1486717243287803</v>
      </c>
      <c r="K921" s="6">
        <v>-2.2976765060988402E-2</v>
      </c>
      <c r="L921" s="6">
        <v>-2.2976765060988402E-2</v>
      </c>
      <c r="M921" s="6">
        <v>-2.2976765060988402E-2</v>
      </c>
      <c r="N921" s="6">
        <v>4.1716484893897698</v>
      </c>
      <c r="O921" s="6">
        <v>4.1716484893897698</v>
      </c>
      <c r="P921" s="6">
        <v>4.1716484893897698</v>
      </c>
      <c r="Q921" s="6">
        <v>0</v>
      </c>
      <c r="R921" s="6">
        <v>0</v>
      </c>
      <c r="S921" s="6">
        <v>0</v>
      </c>
      <c r="T921" s="6">
        <v>296.823762009571</v>
      </c>
    </row>
    <row r="922" spans="1:20" ht="13" x14ac:dyDescent="0.15">
      <c r="A922" s="6">
        <v>920</v>
      </c>
      <c r="B922" s="7">
        <v>44494</v>
      </c>
      <c r="C922" s="6">
        <v>293.90080313921101</v>
      </c>
      <c r="D922" s="6">
        <v>271.11901136624601</v>
      </c>
      <c r="E922" s="6">
        <v>334.54521121950103</v>
      </c>
      <c r="F922" s="6">
        <v>293.90080313921101</v>
      </c>
      <c r="G922" s="6">
        <v>293.90080313921101</v>
      </c>
      <c r="H922" s="6">
        <v>9.2343359575281294</v>
      </c>
      <c r="I922" s="6">
        <v>9.2343359575281294</v>
      </c>
      <c r="J922" s="6">
        <v>9.2343359575281294</v>
      </c>
      <c r="K922" s="6">
        <v>1.82289060893683</v>
      </c>
      <c r="L922" s="6">
        <v>1.82289060893683</v>
      </c>
      <c r="M922" s="6">
        <v>1.82289060893683</v>
      </c>
      <c r="N922" s="6">
        <v>7.4114453485912897</v>
      </c>
      <c r="O922" s="6">
        <v>7.4114453485912897</v>
      </c>
      <c r="P922" s="6">
        <v>7.4114453485912897</v>
      </c>
      <c r="Q922" s="6">
        <v>0</v>
      </c>
      <c r="R922" s="6">
        <v>0</v>
      </c>
      <c r="S922" s="6">
        <v>0</v>
      </c>
      <c r="T922" s="6">
        <v>303.13513909673901</v>
      </c>
    </row>
    <row r="923" spans="1:20" ht="13" x14ac:dyDescent="0.15">
      <c r="A923" s="6">
        <v>921</v>
      </c>
      <c r="B923" s="7">
        <v>44495</v>
      </c>
      <c r="C923" s="6">
        <v>294.30937409053399</v>
      </c>
      <c r="D923" s="6">
        <v>272.481292301439</v>
      </c>
      <c r="E923" s="6">
        <v>335.60432168056002</v>
      </c>
      <c r="F923" s="6">
        <v>294.30937409053399</v>
      </c>
      <c r="G923" s="6">
        <v>294.30937409053399</v>
      </c>
      <c r="H923" s="6">
        <v>9.1350100460189108</v>
      </c>
      <c r="I923" s="6">
        <v>9.1350100460189108</v>
      </c>
      <c r="J923" s="6">
        <v>9.1350100460189108</v>
      </c>
      <c r="K923" s="6">
        <v>0.84522403106786803</v>
      </c>
      <c r="L923" s="6">
        <v>0.84522403106786803</v>
      </c>
      <c r="M923" s="6">
        <v>0.84522403106786803</v>
      </c>
      <c r="N923" s="6">
        <v>8.2897860149510407</v>
      </c>
      <c r="O923" s="6">
        <v>8.2897860149510407</v>
      </c>
      <c r="P923" s="6">
        <v>8.2897860149510407</v>
      </c>
      <c r="Q923" s="6">
        <v>0</v>
      </c>
      <c r="R923" s="6">
        <v>0</v>
      </c>
      <c r="S923" s="6">
        <v>0</v>
      </c>
      <c r="T923" s="6">
        <v>303.44438413655303</v>
      </c>
    </row>
    <row r="924" spans="1:20" ht="13" x14ac:dyDescent="0.15">
      <c r="A924" s="6">
        <v>922</v>
      </c>
      <c r="B924" s="7">
        <v>44496</v>
      </c>
      <c r="C924" s="6">
        <v>294.71794504185698</v>
      </c>
      <c r="D924" s="6">
        <v>272.63832137023599</v>
      </c>
      <c r="E924" s="6">
        <v>336.35994593321101</v>
      </c>
      <c r="F924" s="6">
        <v>294.71794504185698</v>
      </c>
      <c r="G924" s="6">
        <v>294.71794504185698</v>
      </c>
      <c r="H924" s="6">
        <v>9.9926509509384598</v>
      </c>
      <c r="I924" s="6">
        <v>9.9926509509384598</v>
      </c>
      <c r="J924" s="6">
        <v>9.9926509509384598</v>
      </c>
      <c r="K924" s="6">
        <v>0.94874688043822397</v>
      </c>
      <c r="L924" s="6">
        <v>0.94874688043822397</v>
      </c>
      <c r="M924" s="6">
        <v>0.94874688043822397</v>
      </c>
      <c r="N924" s="6">
        <v>9.0439040705002398</v>
      </c>
      <c r="O924" s="6">
        <v>9.0439040705002398</v>
      </c>
      <c r="P924" s="6">
        <v>9.0439040705002398</v>
      </c>
      <c r="Q924" s="6">
        <v>0</v>
      </c>
      <c r="R924" s="6">
        <v>0</v>
      </c>
      <c r="S924" s="6">
        <v>0</v>
      </c>
      <c r="T924" s="6">
        <v>304.71059599279602</v>
      </c>
    </row>
    <row r="925" spans="1:20" ht="13" x14ac:dyDescent="0.15">
      <c r="A925" s="6">
        <v>923</v>
      </c>
      <c r="B925" s="7">
        <v>44497</v>
      </c>
      <c r="C925" s="6">
        <v>295.12651599318002</v>
      </c>
      <c r="D925" s="6">
        <v>275.04203919779599</v>
      </c>
      <c r="E925" s="6">
        <v>337.00567957717601</v>
      </c>
      <c r="F925" s="6">
        <v>295.12651599318002</v>
      </c>
      <c r="G925" s="6">
        <v>295.12651599318002</v>
      </c>
      <c r="H925" s="6">
        <v>10.1551895906226</v>
      </c>
      <c r="I925" s="6">
        <v>10.1551895906226</v>
      </c>
      <c r="J925" s="6">
        <v>10.1551895906226</v>
      </c>
      <c r="K925" s="6">
        <v>0.49015521355771402</v>
      </c>
      <c r="L925" s="6">
        <v>0.49015521355771402</v>
      </c>
      <c r="M925" s="6">
        <v>0.49015521355771402</v>
      </c>
      <c r="N925" s="6">
        <v>9.6650343770648899</v>
      </c>
      <c r="O925" s="6">
        <v>9.6650343770648899</v>
      </c>
      <c r="P925" s="6">
        <v>9.6650343770648899</v>
      </c>
      <c r="Q925" s="6">
        <v>0</v>
      </c>
      <c r="R925" s="6">
        <v>0</v>
      </c>
      <c r="S925" s="6">
        <v>0</v>
      </c>
      <c r="T925" s="6">
        <v>305.28170558380299</v>
      </c>
    </row>
    <row r="926" spans="1:20" ht="13" x14ac:dyDescent="0.15">
      <c r="A926" s="6">
        <v>924</v>
      </c>
      <c r="B926" s="7">
        <v>44498</v>
      </c>
      <c r="C926" s="6">
        <v>295.53508694450301</v>
      </c>
      <c r="D926" s="6">
        <v>273.75810644360502</v>
      </c>
      <c r="E926" s="6">
        <v>335.72043848099401</v>
      </c>
      <c r="F926" s="6">
        <v>295.53508694450301</v>
      </c>
      <c r="G926" s="6">
        <v>295.53508694450301</v>
      </c>
      <c r="H926" s="6">
        <v>10.12524223414</v>
      </c>
      <c r="I926" s="6">
        <v>10.12524223414</v>
      </c>
      <c r="J926" s="6">
        <v>10.12524223414</v>
      </c>
      <c r="K926" s="6">
        <v>-2.29767650636005E-2</v>
      </c>
      <c r="L926" s="6">
        <v>-2.29767650636005E-2</v>
      </c>
      <c r="M926" s="6">
        <v>-2.29767650636005E-2</v>
      </c>
      <c r="N926" s="6">
        <v>10.1482189992036</v>
      </c>
      <c r="O926" s="6">
        <v>10.1482189992036</v>
      </c>
      <c r="P926" s="6">
        <v>10.1482189992036</v>
      </c>
      <c r="Q926" s="6">
        <v>0</v>
      </c>
      <c r="R926" s="6">
        <v>0</v>
      </c>
      <c r="S926" s="6">
        <v>0</v>
      </c>
      <c r="T926" s="6">
        <v>305.660329178643</v>
      </c>
    </row>
    <row r="927" spans="1:20" ht="13" x14ac:dyDescent="0.15">
      <c r="A927" s="6">
        <v>925</v>
      </c>
      <c r="B927" s="7">
        <v>44501</v>
      </c>
      <c r="C927" s="6">
        <v>296.76079979847202</v>
      </c>
      <c r="D927" s="6">
        <v>274.78918314394201</v>
      </c>
      <c r="E927" s="6">
        <v>340.31480690891902</v>
      </c>
      <c r="F927" s="6">
        <v>296.76079979847202</v>
      </c>
      <c r="G927" s="6">
        <v>296.76079979847202</v>
      </c>
      <c r="H927" s="6">
        <v>12.6009685445991</v>
      </c>
      <c r="I927" s="6">
        <v>12.6009685445991</v>
      </c>
      <c r="J927" s="6">
        <v>12.6009685445991</v>
      </c>
      <c r="K927" s="6">
        <v>1.8228906089385499</v>
      </c>
      <c r="L927" s="6">
        <v>1.8228906089385499</v>
      </c>
      <c r="M927" s="6">
        <v>1.8228906089385499</v>
      </c>
      <c r="N927" s="6">
        <v>10.7780779356605</v>
      </c>
      <c r="O927" s="6">
        <v>10.7780779356605</v>
      </c>
      <c r="P927" s="6">
        <v>10.7780779356605</v>
      </c>
      <c r="Q927" s="6">
        <v>0</v>
      </c>
      <c r="R927" s="6">
        <v>0</v>
      </c>
      <c r="S927" s="6">
        <v>0</v>
      </c>
      <c r="T927" s="6">
        <v>309.36176834307201</v>
      </c>
    </row>
    <row r="928" spans="1:20" ht="13" x14ac:dyDescent="0.15">
      <c r="A928" s="6">
        <v>926</v>
      </c>
      <c r="B928" s="7">
        <v>44502</v>
      </c>
      <c r="C928" s="6">
        <v>297.16937068815702</v>
      </c>
      <c r="D928" s="6">
        <v>275.33182105730702</v>
      </c>
      <c r="E928" s="6">
        <v>339.30205238800301</v>
      </c>
      <c r="F928" s="6">
        <v>297.16937068815702</v>
      </c>
      <c r="G928" s="6">
        <v>297.16937068815702</v>
      </c>
      <c r="H928" s="6">
        <v>11.5810152563774</v>
      </c>
      <c r="I928" s="6">
        <v>11.5810152563774</v>
      </c>
      <c r="J928" s="6">
        <v>11.5810152563774</v>
      </c>
      <c r="K928" s="6">
        <v>0.84522403106641097</v>
      </c>
      <c r="L928" s="6">
        <v>0.84522403106641097</v>
      </c>
      <c r="M928" s="6">
        <v>0.84522403106641097</v>
      </c>
      <c r="N928" s="6">
        <v>10.735791225311001</v>
      </c>
      <c r="O928" s="6">
        <v>10.735791225311001</v>
      </c>
      <c r="P928" s="6">
        <v>10.735791225311001</v>
      </c>
      <c r="Q928" s="6">
        <v>0</v>
      </c>
      <c r="R928" s="6">
        <v>0</v>
      </c>
      <c r="S928" s="6">
        <v>0</v>
      </c>
      <c r="T928" s="6">
        <v>308.750385944534</v>
      </c>
    </row>
    <row r="929" spans="1:20" ht="13" x14ac:dyDescent="0.15">
      <c r="A929" s="6">
        <v>927</v>
      </c>
      <c r="B929" s="7">
        <v>44503</v>
      </c>
      <c r="C929" s="6">
        <v>297.57794157784099</v>
      </c>
      <c r="D929" s="6">
        <v>275.95704759859899</v>
      </c>
      <c r="E929" s="6">
        <v>340.39517492125299</v>
      </c>
      <c r="F929" s="6">
        <v>297.57794157784099</v>
      </c>
      <c r="G929" s="6">
        <v>297.57794157784099</v>
      </c>
      <c r="H929" s="6">
        <v>11.534890247439501</v>
      </c>
      <c r="I929" s="6">
        <v>11.534890247439501</v>
      </c>
      <c r="J929" s="6">
        <v>11.534890247439501</v>
      </c>
      <c r="K929" s="6">
        <v>0.94874688043739297</v>
      </c>
      <c r="L929" s="6">
        <v>0.94874688043739297</v>
      </c>
      <c r="M929" s="6">
        <v>0.94874688043739297</v>
      </c>
      <c r="N929" s="6">
        <v>10.5861433670021</v>
      </c>
      <c r="O929" s="6">
        <v>10.5861433670021</v>
      </c>
      <c r="P929" s="6">
        <v>10.5861433670021</v>
      </c>
      <c r="Q929" s="6">
        <v>0</v>
      </c>
      <c r="R929" s="6">
        <v>0</v>
      </c>
      <c r="S929" s="6">
        <v>0</v>
      </c>
      <c r="T929" s="6">
        <v>309.11283182528098</v>
      </c>
    </row>
    <row r="930" spans="1:20" ht="13" x14ac:dyDescent="0.15">
      <c r="A930" s="6">
        <v>928</v>
      </c>
      <c r="B930" s="7">
        <v>44504</v>
      </c>
      <c r="C930" s="6">
        <v>297.98651246752598</v>
      </c>
      <c r="D930" s="6">
        <v>277.16212504646501</v>
      </c>
      <c r="E930" s="6">
        <v>339.74521035338103</v>
      </c>
      <c r="F930" s="6">
        <v>297.98651246752598</v>
      </c>
      <c r="G930" s="6">
        <v>297.98651246752598</v>
      </c>
      <c r="H930" s="6">
        <v>10.8347029633834</v>
      </c>
      <c r="I930" s="6">
        <v>10.8347029633834</v>
      </c>
      <c r="J930" s="6">
        <v>10.8347029633834</v>
      </c>
      <c r="K930" s="6">
        <v>0.49015521355743502</v>
      </c>
      <c r="L930" s="6">
        <v>0.49015521355743502</v>
      </c>
      <c r="M930" s="6">
        <v>0.49015521355743502</v>
      </c>
      <c r="N930" s="6">
        <v>10.344547749826001</v>
      </c>
      <c r="O930" s="6">
        <v>10.344547749826001</v>
      </c>
      <c r="P930" s="6">
        <v>10.344547749826001</v>
      </c>
      <c r="Q930" s="6">
        <v>0</v>
      </c>
      <c r="R930" s="6">
        <v>0</v>
      </c>
      <c r="S930" s="6">
        <v>0</v>
      </c>
      <c r="T930" s="6">
        <v>308.82121543090898</v>
      </c>
    </row>
    <row r="931" spans="1:20" ht="13" x14ac:dyDescent="0.15">
      <c r="A931" s="6">
        <v>929</v>
      </c>
      <c r="B931" s="7">
        <v>44505</v>
      </c>
      <c r="C931" s="6">
        <v>298.39508335721001</v>
      </c>
      <c r="D931" s="6">
        <v>273.69967962118</v>
      </c>
      <c r="E931" s="6">
        <v>341.85516459609698</v>
      </c>
      <c r="F931" s="6">
        <v>298.39508335721001</v>
      </c>
      <c r="G931" s="6">
        <v>298.39508335721001</v>
      </c>
      <c r="H931" s="6">
        <v>10.0055353394878</v>
      </c>
      <c r="I931" s="6">
        <v>10.0055353394878</v>
      </c>
      <c r="J931" s="6">
        <v>10.0055353394878</v>
      </c>
      <c r="K931" s="6">
        <v>-2.29767650662124E-2</v>
      </c>
      <c r="L931" s="6">
        <v>-2.29767650662124E-2</v>
      </c>
      <c r="M931" s="6">
        <v>-2.29767650662124E-2</v>
      </c>
      <c r="N931" s="6">
        <v>10.0285121045541</v>
      </c>
      <c r="O931" s="6">
        <v>10.0285121045541</v>
      </c>
      <c r="P931" s="6">
        <v>10.0285121045541</v>
      </c>
      <c r="Q931" s="6">
        <v>0</v>
      </c>
      <c r="R931" s="6">
        <v>0</v>
      </c>
      <c r="S931" s="6">
        <v>0</v>
      </c>
      <c r="T931" s="6">
        <v>308.40061869669802</v>
      </c>
    </row>
    <row r="932" spans="1:20" ht="13" x14ac:dyDescent="0.15">
      <c r="A932" s="6">
        <v>930</v>
      </c>
      <c r="B932" s="7">
        <v>44508</v>
      </c>
      <c r="C932" s="6">
        <v>299.62079602626397</v>
      </c>
      <c r="D932" s="6">
        <v>277.01123340103101</v>
      </c>
      <c r="E932" s="6">
        <v>342.28588605737298</v>
      </c>
      <c r="F932" s="6">
        <v>299.62079602626397</v>
      </c>
      <c r="G932" s="6">
        <v>299.62079602626397</v>
      </c>
      <c r="H932" s="6">
        <v>10.651057884462899</v>
      </c>
      <c r="I932" s="6">
        <v>10.651057884462899</v>
      </c>
      <c r="J932" s="6">
        <v>10.651057884462899</v>
      </c>
      <c r="K932" s="6">
        <v>1.82289060893905</v>
      </c>
      <c r="L932" s="6">
        <v>1.82289060893905</v>
      </c>
      <c r="M932" s="6">
        <v>1.82289060893905</v>
      </c>
      <c r="N932" s="6">
        <v>8.8281672755239295</v>
      </c>
      <c r="O932" s="6">
        <v>8.8281672755239295</v>
      </c>
      <c r="P932" s="6">
        <v>8.8281672755239295</v>
      </c>
      <c r="Q932" s="6">
        <v>0</v>
      </c>
      <c r="R932" s="6">
        <v>0</v>
      </c>
      <c r="S932" s="6">
        <v>0</v>
      </c>
      <c r="T932" s="6">
        <v>310.27185391072697</v>
      </c>
    </row>
    <row r="933" spans="1:20" ht="13" x14ac:dyDescent="0.15">
      <c r="A933" s="6">
        <v>931</v>
      </c>
      <c r="B933" s="7">
        <v>44509</v>
      </c>
      <c r="C933" s="6">
        <v>300.029366915948</v>
      </c>
      <c r="D933" s="6">
        <v>275.18075960094302</v>
      </c>
      <c r="E933" s="6">
        <v>343.03484273161399</v>
      </c>
      <c r="F933" s="6">
        <v>300.029366915948</v>
      </c>
      <c r="G933" s="6">
        <v>300.029366915948</v>
      </c>
      <c r="H933" s="6">
        <v>9.2561414481482291</v>
      </c>
      <c r="I933" s="6">
        <v>9.2561414481482291</v>
      </c>
      <c r="J933" s="6">
        <v>9.2561414481482291</v>
      </c>
      <c r="K933" s="6">
        <v>0.84522403106576505</v>
      </c>
      <c r="L933" s="6">
        <v>0.84522403106576505</v>
      </c>
      <c r="M933" s="6">
        <v>0.84522403106576505</v>
      </c>
      <c r="N933" s="6">
        <v>8.4109174170824605</v>
      </c>
      <c r="O933" s="6">
        <v>8.4109174170824605</v>
      </c>
      <c r="P933" s="6">
        <v>8.4109174170824605</v>
      </c>
      <c r="Q933" s="6">
        <v>0</v>
      </c>
      <c r="R933" s="6">
        <v>0</v>
      </c>
      <c r="S933" s="6">
        <v>0</v>
      </c>
      <c r="T933" s="6">
        <v>309.28550836409602</v>
      </c>
    </row>
    <row r="934" spans="1:20" ht="13" x14ac:dyDescent="0.15">
      <c r="A934" s="6">
        <v>932</v>
      </c>
      <c r="B934" s="7">
        <v>44510</v>
      </c>
      <c r="C934" s="6">
        <v>300.43793780563198</v>
      </c>
      <c r="D934" s="6">
        <v>278.87246116275799</v>
      </c>
      <c r="E934" s="6">
        <v>342.38473641944302</v>
      </c>
      <c r="F934" s="6">
        <v>300.43793780563198</v>
      </c>
      <c r="G934" s="6">
        <v>300.43793780563198</v>
      </c>
      <c r="H934" s="6">
        <v>8.9662158543673502</v>
      </c>
      <c r="I934" s="6">
        <v>8.9662158543673502</v>
      </c>
      <c r="J934" s="6">
        <v>8.9662158543673502</v>
      </c>
      <c r="K934" s="6">
        <v>0.94874688044045596</v>
      </c>
      <c r="L934" s="6">
        <v>0.94874688044045596</v>
      </c>
      <c r="M934" s="6">
        <v>0.94874688044045596</v>
      </c>
      <c r="N934" s="6">
        <v>8.0174689739268903</v>
      </c>
      <c r="O934" s="6">
        <v>8.0174689739268903</v>
      </c>
      <c r="P934" s="6">
        <v>8.0174689739268903</v>
      </c>
      <c r="Q934" s="6">
        <v>0</v>
      </c>
      <c r="R934" s="6">
        <v>0</v>
      </c>
      <c r="S934" s="6">
        <v>0</v>
      </c>
      <c r="T934" s="6">
        <v>309.40415366000002</v>
      </c>
    </row>
    <row r="935" spans="1:20" ht="13" x14ac:dyDescent="0.15">
      <c r="A935" s="6">
        <v>933</v>
      </c>
      <c r="B935" s="7">
        <v>44511</v>
      </c>
      <c r="C935" s="6">
        <v>300.84650869531703</v>
      </c>
      <c r="D935" s="6">
        <v>276.12042825066197</v>
      </c>
      <c r="E935" s="6">
        <v>340.99486193348599</v>
      </c>
      <c r="F935" s="6">
        <v>300.84650869531703</v>
      </c>
      <c r="G935" s="6">
        <v>300.84650869531703</v>
      </c>
      <c r="H935" s="6">
        <v>8.1554809549812894</v>
      </c>
      <c r="I935" s="6">
        <v>8.1554809549812894</v>
      </c>
      <c r="J935" s="6">
        <v>8.1554809549812894</v>
      </c>
      <c r="K935" s="6">
        <v>0.49015521355459701</v>
      </c>
      <c r="L935" s="6">
        <v>0.49015521355459701</v>
      </c>
      <c r="M935" s="6">
        <v>0.49015521355459701</v>
      </c>
      <c r="N935" s="6">
        <v>7.6653257414266998</v>
      </c>
      <c r="O935" s="6">
        <v>7.6653257414266998</v>
      </c>
      <c r="P935" s="6">
        <v>7.6653257414266998</v>
      </c>
      <c r="Q935" s="6">
        <v>0</v>
      </c>
      <c r="R935" s="6">
        <v>0</v>
      </c>
      <c r="S935" s="6">
        <v>0</v>
      </c>
      <c r="T935" s="6">
        <v>309.00198965029801</v>
      </c>
    </row>
    <row r="936" spans="1:20" ht="13" x14ac:dyDescent="0.15">
      <c r="A936" s="6">
        <v>934</v>
      </c>
      <c r="B936" s="7">
        <v>44512</v>
      </c>
      <c r="C936" s="6">
        <v>301.255079585001</v>
      </c>
      <c r="D936" s="6">
        <v>274.74140888076801</v>
      </c>
      <c r="E936" s="6">
        <v>340.92424387583497</v>
      </c>
      <c r="F936" s="6">
        <v>301.255079585001</v>
      </c>
      <c r="G936" s="6">
        <v>301.255079585001</v>
      </c>
      <c r="H936" s="6">
        <v>7.3469742776822597</v>
      </c>
      <c r="I936" s="6">
        <v>7.3469742776822597</v>
      </c>
      <c r="J936" s="6">
        <v>7.3469742776822597</v>
      </c>
      <c r="K936" s="6">
        <v>-2.2976765068824598E-2</v>
      </c>
      <c r="L936" s="6">
        <v>-2.2976765068824598E-2</v>
      </c>
      <c r="M936" s="6">
        <v>-2.2976765068824598E-2</v>
      </c>
      <c r="N936" s="6">
        <v>7.3699510427510901</v>
      </c>
      <c r="O936" s="6">
        <v>7.3699510427510901</v>
      </c>
      <c r="P936" s="6">
        <v>7.3699510427510901</v>
      </c>
      <c r="Q936" s="6">
        <v>0</v>
      </c>
      <c r="R936" s="6">
        <v>0</v>
      </c>
      <c r="S936" s="6">
        <v>0</v>
      </c>
      <c r="T936" s="6">
        <v>308.60205386268399</v>
      </c>
    </row>
    <row r="937" spans="1:20" ht="13" x14ac:dyDescent="0.15">
      <c r="A937" s="6">
        <v>935</v>
      </c>
      <c r="B937" s="7">
        <v>44515</v>
      </c>
      <c r="C937" s="6">
        <v>302.48079225405502</v>
      </c>
      <c r="D937" s="6">
        <v>278.78225403673099</v>
      </c>
      <c r="E937" s="6">
        <v>343.44054827963799</v>
      </c>
      <c r="F937" s="6">
        <v>302.48079225405502</v>
      </c>
      <c r="G937" s="6">
        <v>302.48079225405502</v>
      </c>
      <c r="H937" s="6">
        <v>8.7621840552933392</v>
      </c>
      <c r="I937" s="6">
        <v>8.7621840552933392</v>
      </c>
      <c r="J937" s="6">
        <v>8.7621840552933392</v>
      </c>
      <c r="K937" s="6">
        <v>1.8228906089328401</v>
      </c>
      <c r="L937" s="6">
        <v>1.8228906089328401</v>
      </c>
      <c r="M937" s="6">
        <v>1.8228906089328401</v>
      </c>
      <c r="N937" s="6">
        <v>6.9392934463604998</v>
      </c>
      <c r="O937" s="6">
        <v>6.9392934463604998</v>
      </c>
      <c r="P937" s="6">
        <v>6.9392934463604998</v>
      </c>
      <c r="Q937" s="6">
        <v>0</v>
      </c>
      <c r="R937" s="6">
        <v>0</v>
      </c>
      <c r="S937" s="6">
        <v>0</v>
      </c>
      <c r="T937" s="6">
        <v>311.24297630934802</v>
      </c>
    </row>
    <row r="938" spans="1:20" ht="13" x14ac:dyDescent="0.15">
      <c r="A938" s="6">
        <v>936</v>
      </c>
      <c r="B938" s="7">
        <v>44516</v>
      </c>
      <c r="C938" s="6">
        <v>302.88936314373899</v>
      </c>
      <c r="D938" s="6">
        <v>277.81334470440601</v>
      </c>
      <c r="E938" s="6">
        <v>340.452204062254</v>
      </c>
      <c r="F938" s="6">
        <v>302.88936314373899</v>
      </c>
      <c r="G938" s="6">
        <v>302.88936314373899</v>
      </c>
      <c r="H938" s="6">
        <v>7.8155455456031504</v>
      </c>
      <c r="I938" s="6">
        <v>7.8155455456031504</v>
      </c>
      <c r="J938" s="6">
        <v>7.8155455456031504</v>
      </c>
      <c r="K938" s="6">
        <v>0.84522403106512001</v>
      </c>
      <c r="L938" s="6">
        <v>0.84522403106512001</v>
      </c>
      <c r="M938" s="6">
        <v>0.84522403106512001</v>
      </c>
      <c r="N938" s="6">
        <v>6.9703215145380302</v>
      </c>
      <c r="O938" s="6">
        <v>6.9703215145380302</v>
      </c>
      <c r="P938" s="6">
        <v>6.9703215145380302</v>
      </c>
      <c r="Q938" s="6">
        <v>0</v>
      </c>
      <c r="R938" s="6">
        <v>0</v>
      </c>
      <c r="S938" s="6">
        <v>0</v>
      </c>
      <c r="T938" s="6">
        <v>310.70490868934201</v>
      </c>
    </row>
    <row r="939" spans="1:20" ht="13" x14ac:dyDescent="0.15">
      <c r="A939" s="6">
        <v>937</v>
      </c>
      <c r="B939" s="7">
        <v>44517</v>
      </c>
      <c r="C939" s="6">
        <v>303.29793403342399</v>
      </c>
      <c r="D939" s="6">
        <v>280.87817693582002</v>
      </c>
      <c r="E939" s="6">
        <v>344.01224990583199</v>
      </c>
      <c r="F939" s="6">
        <v>303.29793403342399</v>
      </c>
      <c r="G939" s="6">
        <v>303.29793403342399</v>
      </c>
      <c r="H939" s="6">
        <v>8.0403182620061298</v>
      </c>
      <c r="I939" s="6">
        <v>8.0403182620061298</v>
      </c>
      <c r="J939" s="6">
        <v>8.0403182620061298</v>
      </c>
      <c r="K939" s="6">
        <v>0.94874688043694599</v>
      </c>
      <c r="L939" s="6">
        <v>0.94874688043694599</v>
      </c>
      <c r="M939" s="6">
        <v>0.94874688043694599</v>
      </c>
      <c r="N939" s="6">
        <v>7.0915713815691799</v>
      </c>
      <c r="O939" s="6">
        <v>7.0915713815691799</v>
      </c>
      <c r="P939" s="6">
        <v>7.0915713815691799</v>
      </c>
      <c r="Q939" s="6">
        <v>0</v>
      </c>
      <c r="R939" s="6">
        <v>0</v>
      </c>
      <c r="S939" s="6">
        <v>0</v>
      </c>
      <c r="T939" s="6">
        <v>311.33825229542998</v>
      </c>
    </row>
    <row r="940" spans="1:20" ht="13" x14ac:dyDescent="0.15">
      <c r="A940" s="6">
        <v>938</v>
      </c>
      <c r="B940" s="7">
        <v>44518</v>
      </c>
      <c r="C940" s="6">
        <v>303.70650492310801</v>
      </c>
      <c r="D940" s="6">
        <v>283.06636780119698</v>
      </c>
      <c r="E940" s="6">
        <v>343.50436269289202</v>
      </c>
      <c r="F940" s="6">
        <v>303.70650492310801</v>
      </c>
      <c r="G940" s="6">
        <v>303.70650492310801</v>
      </c>
      <c r="H940" s="6">
        <v>7.7897674558728101</v>
      </c>
      <c r="I940" s="6">
        <v>7.7897674558728101</v>
      </c>
      <c r="J940" s="6">
        <v>7.7897674558728101</v>
      </c>
      <c r="K940" s="6">
        <v>0.49015521355979302</v>
      </c>
      <c r="L940" s="6">
        <v>0.49015521355979302</v>
      </c>
      <c r="M940" s="6">
        <v>0.49015521355979302</v>
      </c>
      <c r="N940" s="6">
        <v>7.2996122423130201</v>
      </c>
      <c r="O940" s="6">
        <v>7.2996122423130201</v>
      </c>
      <c r="P940" s="6">
        <v>7.2996122423130201</v>
      </c>
      <c r="Q940" s="6">
        <v>0</v>
      </c>
      <c r="R940" s="6">
        <v>0</v>
      </c>
      <c r="S940" s="6">
        <v>0</v>
      </c>
      <c r="T940" s="6">
        <v>311.49627237898102</v>
      </c>
    </row>
    <row r="941" spans="1:20" ht="13" x14ac:dyDescent="0.15">
      <c r="A941" s="6">
        <v>939</v>
      </c>
      <c r="B941" s="7">
        <v>44519</v>
      </c>
      <c r="C941" s="6">
        <v>304.11507581279301</v>
      </c>
      <c r="D941" s="6">
        <v>281.62476666480501</v>
      </c>
      <c r="E941" s="6">
        <v>346.150364775561</v>
      </c>
      <c r="F941" s="6">
        <v>304.11507581279301</v>
      </c>
      <c r="G941" s="6">
        <v>304.11507581279301</v>
      </c>
      <c r="H941" s="6">
        <v>7.5646933059935098</v>
      </c>
      <c r="I941" s="6">
        <v>7.5646933059935098</v>
      </c>
      <c r="J941" s="6">
        <v>7.5646933059935098</v>
      </c>
      <c r="K941" s="6">
        <v>-2.2976765066878398E-2</v>
      </c>
      <c r="L941" s="6">
        <v>-2.2976765066878398E-2</v>
      </c>
      <c r="M941" s="6">
        <v>-2.2976765066878398E-2</v>
      </c>
      <c r="N941" s="6">
        <v>7.5876700710603897</v>
      </c>
      <c r="O941" s="6">
        <v>7.5876700710603897</v>
      </c>
      <c r="P941" s="6">
        <v>7.5876700710603897</v>
      </c>
      <c r="Q941" s="6">
        <v>0</v>
      </c>
      <c r="R941" s="6">
        <v>0</v>
      </c>
      <c r="S941" s="6">
        <v>0</v>
      </c>
      <c r="T941" s="6">
        <v>311.679769118786</v>
      </c>
    </row>
    <row r="942" spans="1:20" ht="13" x14ac:dyDescent="0.15">
      <c r="A942" s="6">
        <v>940</v>
      </c>
      <c r="B942" s="7">
        <v>44522</v>
      </c>
      <c r="C942" s="6">
        <v>305.340788481846</v>
      </c>
      <c r="D942" s="6">
        <v>284.36514196611603</v>
      </c>
      <c r="E942" s="6">
        <v>346.15062330574602</v>
      </c>
      <c r="F942" s="6">
        <v>305.340788481846</v>
      </c>
      <c r="G942" s="6">
        <v>305.340788481846</v>
      </c>
      <c r="H942" s="6">
        <v>10.642239382626499</v>
      </c>
      <c r="I942" s="6">
        <v>10.642239382626499</v>
      </c>
      <c r="J942" s="6">
        <v>10.642239382626499</v>
      </c>
      <c r="K942" s="6">
        <v>1.8228906089333401</v>
      </c>
      <c r="L942" s="6">
        <v>1.8228906089333401</v>
      </c>
      <c r="M942" s="6">
        <v>1.8228906089333401</v>
      </c>
      <c r="N942" s="6">
        <v>8.8193487736932497</v>
      </c>
      <c r="O942" s="6">
        <v>8.8193487736932497</v>
      </c>
      <c r="P942" s="6">
        <v>8.8193487736932497</v>
      </c>
      <c r="Q942" s="6">
        <v>0</v>
      </c>
      <c r="R942" s="6">
        <v>0</v>
      </c>
      <c r="S942" s="6">
        <v>0</v>
      </c>
      <c r="T942" s="6">
        <v>315.983027864473</v>
      </c>
    </row>
    <row r="943" spans="1:20" ht="13" x14ac:dyDescent="0.15">
      <c r="A943" s="6">
        <v>941</v>
      </c>
      <c r="B943" s="7">
        <v>44523</v>
      </c>
      <c r="C943" s="6">
        <v>305.74935937152998</v>
      </c>
      <c r="D943" s="6">
        <v>283.92639584992901</v>
      </c>
      <c r="E943" s="6">
        <v>346.35344815211602</v>
      </c>
      <c r="F943" s="6">
        <v>305.74935937152998</v>
      </c>
      <c r="G943" s="6">
        <v>305.74935937152998</v>
      </c>
      <c r="H943" s="6">
        <v>10.147752135475599</v>
      </c>
      <c r="I943" s="6">
        <v>10.147752135475599</v>
      </c>
      <c r="J943" s="6">
        <v>10.147752135475599</v>
      </c>
      <c r="K943" s="6">
        <v>0.84522403106447497</v>
      </c>
      <c r="L943" s="6">
        <v>0.84522403106447497</v>
      </c>
      <c r="M943" s="6">
        <v>0.84522403106447497</v>
      </c>
      <c r="N943" s="6">
        <v>9.3025281044111701</v>
      </c>
      <c r="O943" s="6">
        <v>9.3025281044111701</v>
      </c>
      <c r="P943" s="6">
        <v>9.3025281044111701</v>
      </c>
      <c r="Q943" s="6">
        <v>0</v>
      </c>
      <c r="R943" s="6">
        <v>0</v>
      </c>
      <c r="S943" s="6">
        <v>0</v>
      </c>
      <c r="T943" s="6">
        <v>315.897111507006</v>
      </c>
    </row>
    <row r="944" spans="1:20" ht="13" x14ac:dyDescent="0.15">
      <c r="A944" s="6">
        <v>942</v>
      </c>
      <c r="B944" s="7">
        <v>44524</v>
      </c>
      <c r="C944" s="6">
        <v>306.15793026121497</v>
      </c>
      <c r="D944" s="6">
        <v>285.614158038477</v>
      </c>
      <c r="E944" s="6">
        <v>349.77045837990403</v>
      </c>
      <c r="F944" s="6">
        <v>306.15793026121497</v>
      </c>
      <c r="G944" s="6">
        <v>306.15793026121497</v>
      </c>
      <c r="H944" s="6">
        <v>10.7413012163088</v>
      </c>
      <c r="I944" s="6">
        <v>10.7413012163088</v>
      </c>
      <c r="J944" s="6">
        <v>10.7413012163088</v>
      </c>
      <c r="K944" s="6">
        <v>0.94874688043879596</v>
      </c>
      <c r="L944" s="6">
        <v>0.94874688043879596</v>
      </c>
      <c r="M944" s="6">
        <v>0.94874688043879596</v>
      </c>
      <c r="N944" s="6">
        <v>9.7925543358700793</v>
      </c>
      <c r="O944" s="6">
        <v>9.7925543358700793</v>
      </c>
      <c r="P944" s="6">
        <v>9.7925543358700793</v>
      </c>
      <c r="Q944" s="6">
        <v>0</v>
      </c>
      <c r="R944" s="6">
        <v>0</v>
      </c>
      <c r="S944" s="6">
        <v>0</v>
      </c>
      <c r="T944" s="6">
        <v>316.89923147752398</v>
      </c>
    </row>
    <row r="945" spans="1:20" ht="13" x14ac:dyDescent="0.15">
      <c r="A945" s="6">
        <v>943</v>
      </c>
      <c r="B945" s="7">
        <v>44526</v>
      </c>
      <c r="C945" s="6">
        <v>306.975072040584</v>
      </c>
      <c r="D945" s="6">
        <v>286.070298971775</v>
      </c>
      <c r="E945" s="6">
        <v>349.72689763647298</v>
      </c>
      <c r="F945" s="6">
        <v>306.975072040584</v>
      </c>
      <c r="G945" s="6">
        <v>306.975072040584</v>
      </c>
      <c r="H945" s="6">
        <v>10.6930127318756</v>
      </c>
      <c r="I945" s="6">
        <v>10.6930127318756</v>
      </c>
      <c r="J945" s="6">
        <v>10.6930127318756</v>
      </c>
      <c r="K945" s="6">
        <v>-2.2976765060819498E-2</v>
      </c>
      <c r="L945" s="6">
        <v>-2.2976765060819498E-2</v>
      </c>
      <c r="M945" s="6">
        <v>-2.2976765060819498E-2</v>
      </c>
      <c r="N945" s="6">
        <v>10.7159894969364</v>
      </c>
      <c r="O945" s="6">
        <v>10.7159894969364</v>
      </c>
      <c r="P945" s="6">
        <v>10.7159894969364</v>
      </c>
      <c r="Q945" s="6">
        <v>0</v>
      </c>
      <c r="R945" s="6">
        <v>0</v>
      </c>
      <c r="S945" s="6">
        <v>0</v>
      </c>
      <c r="T945" s="6">
        <v>317.668084772459</v>
      </c>
    </row>
    <row r="946" spans="1:20" ht="13" x14ac:dyDescent="0.15">
      <c r="A946" s="6">
        <v>944</v>
      </c>
      <c r="B946" s="7">
        <v>44529</v>
      </c>
      <c r="C946" s="6">
        <v>308.20078470963699</v>
      </c>
      <c r="D946" s="6">
        <v>288.94135152018998</v>
      </c>
      <c r="E946" s="6">
        <v>353.42736571204802</v>
      </c>
      <c r="F946" s="6">
        <v>308.20078470963699</v>
      </c>
      <c r="G946" s="6">
        <v>308.20078470963699</v>
      </c>
      <c r="H946" s="6">
        <v>13.500662908632799</v>
      </c>
      <c r="I946" s="6">
        <v>13.500662908632799</v>
      </c>
      <c r="J946" s="6">
        <v>13.500662908632799</v>
      </c>
      <c r="K946" s="6">
        <v>1.82289060893627</v>
      </c>
      <c r="L946" s="6">
        <v>1.82289060893627</v>
      </c>
      <c r="M946" s="6">
        <v>1.82289060893627</v>
      </c>
      <c r="N946" s="6">
        <v>11.677772299696599</v>
      </c>
      <c r="O946" s="6">
        <v>11.677772299696599</v>
      </c>
      <c r="P946" s="6">
        <v>11.677772299696599</v>
      </c>
      <c r="Q946" s="6">
        <v>0</v>
      </c>
      <c r="R946" s="6">
        <v>0</v>
      </c>
      <c r="S946" s="6">
        <v>0</v>
      </c>
      <c r="T946" s="6">
        <v>321.70144761826998</v>
      </c>
    </row>
    <row r="947" spans="1:20" ht="13" x14ac:dyDescent="0.15">
      <c r="A947" s="6">
        <v>945</v>
      </c>
      <c r="B947" s="7">
        <v>44530</v>
      </c>
      <c r="C947" s="6">
        <v>308.60935559932199</v>
      </c>
      <c r="D947" s="6">
        <v>285.89275408957099</v>
      </c>
      <c r="E947" s="6">
        <v>350.15023757339497</v>
      </c>
      <c r="F947" s="6">
        <v>308.60935559932199</v>
      </c>
      <c r="G947" s="6">
        <v>308.60935559932199</v>
      </c>
      <c r="H947" s="6">
        <v>12.6642225122549</v>
      </c>
      <c r="I947" s="6">
        <v>12.6642225122549</v>
      </c>
      <c r="J947" s="6">
        <v>12.6642225122549</v>
      </c>
      <c r="K947" s="6">
        <v>0.84522403106301802</v>
      </c>
      <c r="L947" s="6">
        <v>0.84522403106301802</v>
      </c>
      <c r="M947" s="6">
        <v>0.84522403106301802</v>
      </c>
      <c r="N947" s="6">
        <v>11.818998481191899</v>
      </c>
      <c r="O947" s="6">
        <v>11.818998481191899</v>
      </c>
      <c r="P947" s="6">
        <v>11.818998481191899</v>
      </c>
      <c r="Q947" s="6">
        <v>0</v>
      </c>
      <c r="R947" s="6">
        <v>0</v>
      </c>
      <c r="S947" s="6">
        <v>0</v>
      </c>
      <c r="T947" s="6">
        <v>321.27357811157702</v>
      </c>
    </row>
    <row r="948" spans="1:20" ht="13" x14ac:dyDescent="0.15">
      <c r="A948" s="6">
        <v>946</v>
      </c>
      <c r="B948" s="7">
        <v>44531</v>
      </c>
      <c r="C948" s="6">
        <v>309.01792648900602</v>
      </c>
      <c r="D948" s="6">
        <v>290.02599633824099</v>
      </c>
      <c r="E948" s="6">
        <v>353.29234164905301</v>
      </c>
      <c r="F948" s="6">
        <v>309.01792648900602</v>
      </c>
      <c r="G948" s="6">
        <v>309.01792648900602</v>
      </c>
      <c r="H948" s="6">
        <v>12.7977539764503</v>
      </c>
      <c r="I948" s="6">
        <v>12.7977539764503</v>
      </c>
      <c r="J948" s="6">
        <v>12.7977539764503</v>
      </c>
      <c r="K948" s="6">
        <v>0.94874688043649902</v>
      </c>
      <c r="L948" s="6">
        <v>0.94874688043649902</v>
      </c>
      <c r="M948" s="6">
        <v>0.94874688043649902</v>
      </c>
      <c r="N948" s="6">
        <v>11.8490070960138</v>
      </c>
      <c r="O948" s="6">
        <v>11.8490070960138</v>
      </c>
      <c r="P948" s="6">
        <v>11.8490070960138</v>
      </c>
      <c r="Q948" s="6">
        <v>0</v>
      </c>
      <c r="R948" s="6">
        <v>0</v>
      </c>
      <c r="S948" s="6">
        <v>0</v>
      </c>
      <c r="T948" s="6">
        <v>321.81568046545601</v>
      </c>
    </row>
    <row r="949" spans="1:20" ht="13" x14ac:dyDescent="0.15">
      <c r="A949" s="6">
        <v>947</v>
      </c>
      <c r="B949" s="7">
        <v>44532</v>
      </c>
      <c r="C949" s="6">
        <v>309.42649737869101</v>
      </c>
      <c r="D949" s="6">
        <v>290.10301192524201</v>
      </c>
      <c r="E949" s="6">
        <v>354.75064339168199</v>
      </c>
      <c r="F949" s="6">
        <v>309.42649737869101</v>
      </c>
      <c r="G949" s="6">
        <v>309.42649737869101</v>
      </c>
      <c r="H949" s="6">
        <v>12.249303475483</v>
      </c>
      <c r="I949" s="6">
        <v>12.249303475483</v>
      </c>
      <c r="J949" s="6">
        <v>12.249303475483</v>
      </c>
      <c r="K949" s="6">
        <v>0.49015521355411801</v>
      </c>
      <c r="L949" s="6">
        <v>0.49015521355411801</v>
      </c>
      <c r="M949" s="6">
        <v>0.49015521355411801</v>
      </c>
      <c r="N949" s="6">
        <v>11.7591482619289</v>
      </c>
      <c r="O949" s="6">
        <v>11.7591482619289</v>
      </c>
      <c r="P949" s="6">
        <v>11.7591482619289</v>
      </c>
      <c r="Q949" s="6">
        <v>0</v>
      </c>
      <c r="R949" s="6">
        <v>0</v>
      </c>
      <c r="S949" s="6">
        <v>0</v>
      </c>
      <c r="T949" s="6">
        <v>321.67580085417399</v>
      </c>
    </row>
    <row r="950" spans="1:20" ht="13" x14ac:dyDescent="0.15">
      <c r="A950" s="6">
        <v>948</v>
      </c>
      <c r="B950" s="7">
        <v>44533</v>
      </c>
      <c r="C950" s="6">
        <v>309.83506826837498</v>
      </c>
      <c r="D950" s="6">
        <v>290.369324125346</v>
      </c>
      <c r="E950" s="6">
        <v>352.79440755005101</v>
      </c>
      <c r="F950" s="6">
        <v>309.83506826837498</v>
      </c>
      <c r="G950" s="6">
        <v>309.83506826837498</v>
      </c>
      <c r="H950" s="6">
        <v>11.5211216705711</v>
      </c>
      <c r="I950" s="6">
        <v>11.5211216705711</v>
      </c>
      <c r="J950" s="6">
        <v>11.5211216705711</v>
      </c>
      <c r="K950" s="6">
        <v>-2.2976765058873E-2</v>
      </c>
      <c r="L950" s="6">
        <v>-2.2976765058873E-2</v>
      </c>
      <c r="M950" s="6">
        <v>-2.2976765058873E-2</v>
      </c>
      <c r="N950" s="6">
        <v>11.54409843563</v>
      </c>
      <c r="O950" s="6">
        <v>11.54409843563</v>
      </c>
      <c r="P950" s="6">
        <v>11.54409843563</v>
      </c>
      <c r="Q950" s="6">
        <v>0</v>
      </c>
      <c r="R950" s="6">
        <v>0</v>
      </c>
      <c r="S950" s="6">
        <v>0</v>
      </c>
      <c r="T950" s="6">
        <v>321.35618993894599</v>
      </c>
    </row>
    <row r="951" spans="1:20" ht="13" x14ac:dyDescent="0.15">
      <c r="A951" s="6">
        <v>949</v>
      </c>
      <c r="B951" s="7">
        <v>44536</v>
      </c>
      <c r="C951" s="6">
        <v>311.06078093742798</v>
      </c>
      <c r="D951" s="6">
        <v>290.403993202489</v>
      </c>
      <c r="E951" s="6">
        <v>353.92823219886498</v>
      </c>
      <c r="F951" s="6">
        <v>311.06078093742798</v>
      </c>
      <c r="G951" s="6">
        <v>311.06078093742798</v>
      </c>
      <c r="H951" s="6">
        <v>11.971209803093</v>
      </c>
      <c r="I951" s="6">
        <v>11.971209803093</v>
      </c>
      <c r="J951" s="6">
        <v>11.971209803093</v>
      </c>
      <c r="K951" s="6">
        <v>1.82289060893677</v>
      </c>
      <c r="L951" s="6">
        <v>1.82289060893677</v>
      </c>
      <c r="M951" s="6">
        <v>1.82289060893677</v>
      </c>
      <c r="N951" s="6">
        <v>10.148319194156199</v>
      </c>
      <c r="O951" s="6">
        <v>10.148319194156199</v>
      </c>
      <c r="P951" s="6">
        <v>10.148319194156199</v>
      </c>
      <c r="Q951" s="6">
        <v>0</v>
      </c>
      <c r="R951" s="6">
        <v>0</v>
      </c>
      <c r="S951" s="6">
        <v>0</v>
      </c>
      <c r="T951" s="6">
        <v>323.031990740521</v>
      </c>
    </row>
    <row r="952" spans="1:20" ht="13" x14ac:dyDescent="0.15">
      <c r="A952" s="6">
        <v>950</v>
      </c>
      <c r="B952" s="7">
        <v>44537</v>
      </c>
      <c r="C952" s="6">
        <v>311.46935182711297</v>
      </c>
      <c r="D952" s="6">
        <v>287.78273436398098</v>
      </c>
      <c r="E952" s="6">
        <v>354.20124573158</v>
      </c>
      <c r="F952" s="6">
        <v>311.46935182711297</v>
      </c>
      <c r="G952" s="6">
        <v>311.46935182711297</v>
      </c>
      <c r="H952" s="6">
        <v>10.296471505594001</v>
      </c>
      <c r="I952" s="6">
        <v>10.296471505594001</v>
      </c>
      <c r="J952" s="6">
        <v>10.296471505594001</v>
      </c>
      <c r="K952" s="6">
        <v>0.84522403106694399</v>
      </c>
      <c r="L952" s="6">
        <v>0.84522403106694399</v>
      </c>
      <c r="M952" s="6">
        <v>0.84522403106694399</v>
      </c>
      <c r="N952" s="6">
        <v>9.4512474745271309</v>
      </c>
      <c r="O952" s="6">
        <v>9.4512474745271309</v>
      </c>
      <c r="P952" s="6">
        <v>9.4512474745271309</v>
      </c>
      <c r="Q952" s="6">
        <v>0</v>
      </c>
      <c r="R952" s="6">
        <v>0</v>
      </c>
      <c r="S952" s="6">
        <v>0</v>
      </c>
      <c r="T952" s="6">
        <v>321.76582333270699</v>
      </c>
    </row>
    <row r="953" spans="1:20" ht="13" x14ac:dyDescent="0.15">
      <c r="A953" s="6">
        <v>951</v>
      </c>
      <c r="B953" s="7">
        <v>44538</v>
      </c>
      <c r="C953" s="6">
        <v>311.877922716797</v>
      </c>
      <c r="D953" s="6">
        <v>291.77618150470602</v>
      </c>
      <c r="E953" s="6">
        <v>354.385999214967</v>
      </c>
      <c r="F953" s="6">
        <v>311.877922716797</v>
      </c>
      <c r="G953" s="6">
        <v>311.877922716797</v>
      </c>
      <c r="H953" s="6">
        <v>9.6049859853256194</v>
      </c>
      <c r="I953" s="6">
        <v>9.6049859853256194</v>
      </c>
      <c r="J953" s="6">
        <v>9.6049859853256194</v>
      </c>
      <c r="K953" s="6">
        <v>0.94874688043834898</v>
      </c>
      <c r="L953" s="6">
        <v>0.94874688043834898</v>
      </c>
      <c r="M953" s="6">
        <v>0.94874688043834898</v>
      </c>
      <c r="N953" s="6">
        <v>8.6562391048872698</v>
      </c>
      <c r="O953" s="6">
        <v>8.6562391048872698</v>
      </c>
      <c r="P953" s="6">
        <v>8.6562391048872698</v>
      </c>
      <c r="Q953" s="6">
        <v>0</v>
      </c>
      <c r="R953" s="6">
        <v>0</v>
      </c>
      <c r="S953" s="6">
        <v>0</v>
      </c>
      <c r="T953" s="6">
        <v>321.48290870212298</v>
      </c>
    </row>
    <row r="954" spans="1:20" ht="13" x14ac:dyDescent="0.15">
      <c r="A954" s="6">
        <v>952</v>
      </c>
      <c r="B954" s="7">
        <v>44539</v>
      </c>
      <c r="C954" s="6">
        <v>312.286493606482</v>
      </c>
      <c r="D954" s="6">
        <v>290.13571232115299</v>
      </c>
      <c r="E954" s="6">
        <v>351.86379363241502</v>
      </c>
      <c r="F954" s="6">
        <v>312.286493606482</v>
      </c>
      <c r="G954" s="6">
        <v>312.286493606482</v>
      </c>
      <c r="H954" s="6">
        <v>8.2689982749593405</v>
      </c>
      <c r="I954" s="6">
        <v>8.2689982749593405</v>
      </c>
      <c r="J954" s="6">
        <v>8.2689982749593405</v>
      </c>
      <c r="K954" s="6">
        <v>0.49015521355931402</v>
      </c>
      <c r="L954" s="6">
        <v>0.49015521355931402</v>
      </c>
      <c r="M954" s="6">
        <v>0.49015521355931402</v>
      </c>
      <c r="N954" s="6">
        <v>7.7788430614000204</v>
      </c>
      <c r="O954" s="6">
        <v>7.7788430614000204</v>
      </c>
      <c r="P954" s="6">
        <v>7.7788430614000204</v>
      </c>
      <c r="Q954" s="6">
        <v>0</v>
      </c>
      <c r="R954" s="6">
        <v>0</v>
      </c>
      <c r="S954" s="6">
        <v>0</v>
      </c>
      <c r="T954" s="6">
        <v>320.55549188144101</v>
      </c>
    </row>
    <row r="955" spans="1:20" ht="13" x14ac:dyDescent="0.15">
      <c r="A955" s="6">
        <v>953</v>
      </c>
      <c r="B955" s="7">
        <v>44540</v>
      </c>
      <c r="C955" s="6">
        <v>312.69506449616603</v>
      </c>
      <c r="D955" s="6">
        <v>287.98817151383901</v>
      </c>
      <c r="E955" s="6">
        <v>352.674764208439</v>
      </c>
      <c r="F955" s="6">
        <v>312.69506449616603</v>
      </c>
      <c r="G955" s="6">
        <v>312.69506449616603</v>
      </c>
      <c r="H955" s="6">
        <v>6.8143020068165203</v>
      </c>
      <c r="I955" s="6">
        <v>6.8143020068165203</v>
      </c>
      <c r="J955" s="6">
        <v>6.8143020068165203</v>
      </c>
      <c r="K955" s="6">
        <v>-2.2976765066043701E-2</v>
      </c>
      <c r="L955" s="6">
        <v>-2.2976765066043701E-2</v>
      </c>
      <c r="M955" s="6">
        <v>-2.2976765066043701E-2</v>
      </c>
      <c r="N955" s="6">
        <v>6.8372787718825601</v>
      </c>
      <c r="O955" s="6">
        <v>6.8372787718825601</v>
      </c>
      <c r="P955" s="6">
        <v>6.8372787718825601</v>
      </c>
      <c r="Q955" s="6">
        <v>0</v>
      </c>
      <c r="R955" s="6">
        <v>0</v>
      </c>
      <c r="S955" s="6">
        <v>0</v>
      </c>
      <c r="T955" s="6">
        <v>319.50936650298303</v>
      </c>
    </row>
    <row r="956" spans="1:20" ht="13" x14ac:dyDescent="0.15">
      <c r="A956" s="6">
        <v>954</v>
      </c>
      <c r="B956" s="7">
        <v>44543</v>
      </c>
      <c r="C956" s="6">
        <v>313.92077716521902</v>
      </c>
      <c r="D956" s="6">
        <v>285.769625302821</v>
      </c>
      <c r="E956" s="6">
        <v>352.75572143238298</v>
      </c>
      <c r="F956" s="6">
        <v>313.92077716521902</v>
      </c>
      <c r="G956" s="6">
        <v>313.92077716521902</v>
      </c>
      <c r="H956" s="6">
        <v>5.6623347143193099</v>
      </c>
      <c r="I956" s="6">
        <v>5.6623347143193099</v>
      </c>
      <c r="J956" s="6">
        <v>5.6623347143193099</v>
      </c>
      <c r="K956" s="6">
        <v>1.8228906089372701</v>
      </c>
      <c r="L956" s="6">
        <v>1.8228906089372701</v>
      </c>
      <c r="M956" s="6">
        <v>1.8228906089372701</v>
      </c>
      <c r="N956" s="6">
        <v>3.8394441053820398</v>
      </c>
      <c r="O956" s="6">
        <v>3.8394441053820398</v>
      </c>
      <c r="P956" s="6">
        <v>3.8394441053820398</v>
      </c>
      <c r="Q956" s="6">
        <v>0</v>
      </c>
      <c r="R956" s="6">
        <v>0</v>
      </c>
      <c r="S956" s="6">
        <v>0</v>
      </c>
      <c r="T956" s="6">
        <v>319.58311187953899</v>
      </c>
    </row>
    <row r="957" spans="1:20" ht="13" x14ac:dyDescent="0.15">
      <c r="A957" s="6">
        <v>955</v>
      </c>
      <c r="B957" s="7">
        <v>44544</v>
      </c>
      <c r="C957" s="6">
        <v>314.32934805490402</v>
      </c>
      <c r="D957" s="6">
        <v>283.641476586534</v>
      </c>
      <c r="E957" s="6">
        <v>349.68969125163699</v>
      </c>
      <c r="F957" s="6">
        <v>314.32934805490402</v>
      </c>
      <c r="G957" s="6">
        <v>314.32934805490402</v>
      </c>
      <c r="H957" s="6">
        <v>3.7041934820690501</v>
      </c>
      <c r="I957" s="6">
        <v>3.7041934820690501</v>
      </c>
      <c r="J957" s="6">
        <v>3.7041934820690501</v>
      </c>
      <c r="K957" s="6">
        <v>0.84522403106548705</v>
      </c>
      <c r="L957" s="6">
        <v>0.84522403106548705</v>
      </c>
      <c r="M957" s="6">
        <v>0.84522403106548705</v>
      </c>
      <c r="N957" s="6">
        <v>2.8589694510035599</v>
      </c>
      <c r="O957" s="6">
        <v>2.8589694510035599</v>
      </c>
      <c r="P957" s="6">
        <v>2.8589694510035599</v>
      </c>
      <c r="Q957" s="6">
        <v>0</v>
      </c>
      <c r="R957" s="6">
        <v>0</v>
      </c>
      <c r="S957" s="6">
        <v>0</v>
      </c>
      <c r="T957" s="6">
        <v>318.03354153697302</v>
      </c>
    </row>
    <row r="958" spans="1:20" ht="13" x14ac:dyDescent="0.15">
      <c r="A958" s="6">
        <v>956</v>
      </c>
      <c r="B958" s="7">
        <v>44545</v>
      </c>
      <c r="C958" s="6">
        <v>314.73791894458799</v>
      </c>
      <c r="D958" s="6">
        <v>285.99594107066503</v>
      </c>
      <c r="E958" s="6">
        <v>348.82016578596603</v>
      </c>
      <c r="F958" s="6">
        <v>314.73791894458799</v>
      </c>
      <c r="G958" s="6">
        <v>314.73791894458799</v>
      </c>
      <c r="H958" s="6">
        <v>2.8756826145686398</v>
      </c>
      <c r="I958" s="6">
        <v>2.8756826145686398</v>
      </c>
      <c r="J958" s="6">
        <v>2.8756826145686398</v>
      </c>
      <c r="K958" s="6">
        <v>0.94874688043751798</v>
      </c>
      <c r="L958" s="6">
        <v>0.94874688043751798</v>
      </c>
      <c r="M958" s="6">
        <v>0.94874688043751798</v>
      </c>
      <c r="N958" s="6">
        <v>1.92693573413112</v>
      </c>
      <c r="O958" s="6">
        <v>1.92693573413112</v>
      </c>
      <c r="P958" s="6">
        <v>1.92693573413112</v>
      </c>
      <c r="Q958" s="6">
        <v>0</v>
      </c>
      <c r="R958" s="6">
        <v>0</v>
      </c>
      <c r="S958" s="6">
        <v>0</v>
      </c>
      <c r="T958" s="6">
        <v>317.61360155915702</v>
      </c>
    </row>
    <row r="959" spans="1:20" ht="13" x14ac:dyDescent="0.15">
      <c r="A959" s="6">
        <v>957</v>
      </c>
      <c r="B959" s="7">
        <v>44546</v>
      </c>
      <c r="C959" s="6">
        <v>315.14648983427298</v>
      </c>
      <c r="D959" s="6">
        <v>284.715371022748</v>
      </c>
      <c r="E959" s="6">
        <v>351.32597196407301</v>
      </c>
      <c r="F959" s="6">
        <v>315.14648983427298</v>
      </c>
      <c r="G959" s="6">
        <v>315.14648983427298</v>
      </c>
      <c r="H959" s="6">
        <v>1.5560522121883</v>
      </c>
      <c r="I959" s="6">
        <v>1.5560522121883</v>
      </c>
      <c r="J959" s="6">
        <v>1.5560522121883</v>
      </c>
      <c r="K959" s="6">
        <v>0.49015521355647601</v>
      </c>
      <c r="L959" s="6">
        <v>0.49015521355647601</v>
      </c>
      <c r="M959" s="6">
        <v>0.49015521355647601</v>
      </c>
      <c r="N959" s="6">
        <v>1.0658969986318201</v>
      </c>
      <c r="O959" s="6">
        <v>1.0658969986318201</v>
      </c>
      <c r="P959" s="6">
        <v>1.0658969986318201</v>
      </c>
      <c r="Q959" s="6">
        <v>0</v>
      </c>
      <c r="R959" s="6">
        <v>0</v>
      </c>
      <c r="S959" s="6">
        <v>0</v>
      </c>
      <c r="T959" s="6">
        <v>316.70254204646102</v>
      </c>
    </row>
    <row r="960" spans="1:20" ht="13" x14ac:dyDescent="0.15">
      <c r="A960" s="6">
        <v>958</v>
      </c>
      <c r="B960" s="7">
        <v>44547</v>
      </c>
      <c r="C960" s="6">
        <v>315.55506072395701</v>
      </c>
      <c r="D960" s="6">
        <v>283.407369064926</v>
      </c>
      <c r="E960" s="6">
        <v>350.26175119007399</v>
      </c>
      <c r="F960" s="6">
        <v>315.55506072395701</v>
      </c>
      <c r="G960" s="6">
        <v>315.55506072395701</v>
      </c>
      <c r="H960" s="6">
        <v>0.27397806304483702</v>
      </c>
      <c r="I960" s="6">
        <v>0.27397806304483702</v>
      </c>
      <c r="J960" s="6">
        <v>0.27397806304483702</v>
      </c>
      <c r="K960" s="6">
        <v>-2.2976765064097501E-2</v>
      </c>
      <c r="L960" s="6">
        <v>-2.2976765064097501E-2</v>
      </c>
      <c r="M960" s="6">
        <v>-2.2976765064097501E-2</v>
      </c>
      <c r="N960" s="6">
        <v>0.29695482810893398</v>
      </c>
      <c r="O960" s="6">
        <v>0.29695482810893398</v>
      </c>
      <c r="P960" s="6">
        <v>0.29695482810893398</v>
      </c>
      <c r="Q960" s="6">
        <v>0</v>
      </c>
      <c r="R960" s="6">
        <v>0</v>
      </c>
      <c r="S960" s="6">
        <v>0</v>
      </c>
      <c r="T960" s="6">
        <v>315.82903878700199</v>
      </c>
    </row>
    <row r="961" spans="1:20" ht="13" x14ac:dyDescent="0.15">
      <c r="A961" s="6">
        <v>959</v>
      </c>
      <c r="B961" s="7">
        <v>44550</v>
      </c>
      <c r="C961" s="6">
        <v>316.78077339301097</v>
      </c>
      <c r="D961" s="6">
        <v>283.75880327861699</v>
      </c>
      <c r="E961" s="6">
        <v>348.59685907958698</v>
      </c>
      <c r="F961" s="6">
        <v>316.78077339301097</v>
      </c>
      <c r="G961" s="6">
        <v>316.78077339301097</v>
      </c>
      <c r="H961" s="6">
        <v>0.54307016216458703</v>
      </c>
      <c r="I961" s="6">
        <v>0.54307016216458703</v>
      </c>
      <c r="J961" s="6">
        <v>0.54307016216458703</v>
      </c>
      <c r="K961" s="6">
        <v>1.8228906089401999</v>
      </c>
      <c r="L961" s="6">
        <v>1.8228906089401999</v>
      </c>
      <c r="M961" s="6">
        <v>1.8228906089401999</v>
      </c>
      <c r="N961" s="6">
        <v>-1.27982044677561</v>
      </c>
      <c r="O961" s="6">
        <v>-1.27982044677561</v>
      </c>
      <c r="P961" s="6">
        <v>-1.27982044677561</v>
      </c>
      <c r="Q961" s="6">
        <v>0</v>
      </c>
      <c r="R961" s="6">
        <v>0</v>
      </c>
      <c r="S961" s="6">
        <v>0</v>
      </c>
      <c r="T961" s="6">
        <v>317.32384355517502</v>
      </c>
    </row>
    <row r="962" spans="1:20" ht="13" x14ac:dyDescent="0.15">
      <c r="A962" s="6">
        <v>960</v>
      </c>
      <c r="B962" s="7">
        <v>44551</v>
      </c>
      <c r="C962" s="6">
        <v>317.189344282695</v>
      </c>
      <c r="D962" s="6">
        <v>281.311994738485</v>
      </c>
      <c r="E962" s="6">
        <v>344.089449580539</v>
      </c>
      <c r="F962" s="6">
        <v>317.189344282695</v>
      </c>
      <c r="G962" s="6">
        <v>317.189344282695</v>
      </c>
      <c r="H962" s="6">
        <v>-0.67218706713995602</v>
      </c>
      <c r="I962" s="6">
        <v>-0.67218706713995602</v>
      </c>
      <c r="J962" s="6">
        <v>-0.67218706713995602</v>
      </c>
      <c r="K962" s="6">
        <v>0.84522403106565402</v>
      </c>
      <c r="L962" s="6">
        <v>0.84522403106565402</v>
      </c>
      <c r="M962" s="6">
        <v>0.84522403106565402</v>
      </c>
      <c r="N962" s="6">
        <v>-1.5174110982056099</v>
      </c>
      <c r="O962" s="6">
        <v>-1.5174110982056099</v>
      </c>
      <c r="P962" s="6">
        <v>-1.5174110982056099</v>
      </c>
      <c r="Q962" s="6">
        <v>0</v>
      </c>
      <c r="R962" s="6">
        <v>0</v>
      </c>
      <c r="S962" s="6">
        <v>0</v>
      </c>
      <c r="T962" s="6">
        <v>316.51715721555502</v>
      </c>
    </row>
    <row r="963" spans="1:20" ht="13" x14ac:dyDescent="0.15">
      <c r="A963" s="6">
        <v>961</v>
      </c>
      <c r="B963" s="7">
        <v>44552</v>
      </c>
      <c r="C963" s="6">
        <v>317.59791517238</v>
      </c>
      <c r="D963" s="6">
        <v>284.920202850267</v>
      </c>
      <c r="E963" s="6">
        <v>348.85283829384099</v>
      </c>
      <c r="F963" s="6">
        <v>317.59791517238</v>
      </c>
      <c r="G963" s="6">
        <v>317.59791517238</v>
      </c>
      <c r="H963" s="6">
        <v>-0.64846656078009302</v>
      </c>
      <c r="I963" s="6">
        <v>-0.64846656078009302</v>
      </c>
      <c r="J963" s="6">
        <v>-0.64846656078009302</v>
      </c>
      <c r="K963" s="6">
        <v>0.94874688043668798</v>
      </c>
      <c r="L963" s="6">
        <v>0.94874688043668798</v>
      </c>
      <c r="M963" s="6">
        <v>0.94874688043668798</v>
      </c>
      <c r="N963" s="6">
        <v>-1.59721344121678</v>
      </c>
      <c r="O963" s="6">
        <v>-1.59721344121678</v>
      </c>
      <c r="P963" s="6">
        <v>-1.59721344121678</v>
      </c>
      <c r="Q963" s="6">
        <v>0</v>
      </c>
      <c r="R963" s="6">
        <v>0</v>
      </c>
      <c r="S963" s="6">
        <v>0</v>
      </c>
      <c r="T963" s="6">
        <v>316.94944861160002</v>
      </c>
    </row>
    <row r="964" spans="1:20" ht="13" x14ac:dyDescent="0.15">
      <c r="A964" s="6">
        <v>962</v>
      </c>
      <c r="B964" s="7">
        <v>44553</v>
      </c>
      <c r="C964" s="6">
        <v>318.00648606206403</v>
      </c>
      <c r="D964" s="6">
        <v>284.32273821671498</v>
      </c>
      <c r="E964" s="6">
        <v>349.16089541419598</v>
      </c>
      <c r="F964" s="6">
        <v>318.00648606206403</v>
      </c>
      <c r="G964" s="6">
        <v>318.00648606206403</v>
      </c>
      <c r="H964" s="6">
        <v>-1.0264273944525699</v>
      </c>
      <c r="I964" s="6">
        <v>-1.0264273944525699</v>
      </c>
      <c r="J964" s="6">
        <v>-1.0264273944525699</v>
      </c>
      <c r="K964" s="6">
        <v>0.49015521355619701</v>
      </c>
      <c r="L964" s="6">
        <v>0.49015521355619701</v>
      </c>
      <c r="M964" s="6">
        <v>0.49015521355619701</v>
      </c>
      <c r="N964" s="6">
        <v>-1.5165826080087701</v>
      </c>
      <c r="O964" s="6">
        <v>-1.5165826080087701</v>
      </c>
      <c r="P964" s="6">
        <v>-1.5165826080087701</v>
      </c>
      <c r="Q964" s="6">
        <v>0</v>
      </c>
      <c r="R964" s="6">
        <v>0</v>
      </c>
      <c r="S964" s="6">
        <v>0</v>
      </c>
      <c r="T964" s="6">
        <v>316.98005866761099</v>
      </c>
    </row>
    <row r="965" spans="1:20" ht="13" x14ac:dyDescent="0.15">
      <c r="A965" s="6">
        <v>963</v>
      </c>
      <c r="B965" s="7">
        <v>44557</v>
      </c>
      <c r="C965" s="6">
        <v>319.64076962080202</v>
      </c>
      <c r="D965" s="6">
        <v>290.546956454422</v>
      </c>
      <c r="E965" s="6">
        <v>355.335946923096</v>
      </c>
      <c r="F965" s="6">
        <v>319.64076962080202</v>
      </c>
      <c r="G965" s="6">
        <v>319.64076962080202</v>
      </c>
      <c r="H965" s="6">
        <v>2.1514144734493899</v>
      </c>
      <c r="I965" s="6">
        <v>2.1514144734493899</v>
      </c>
      <c r="J965" s="6">
        <v>2.1514144734493899</v>
      </c>
      <c r="K965" s="6">
        <v>1.8228906089407</v>
      </c>
      <c r="L965" s="6">
        <v>1.8228906089407</v>
      </c>
      <c r="M965" s="6">
        <v>1.8228906089407</v>
      </c>
      <c r="N965" s="6">
        <v>0.32852386450868798</v>
      </c>
      <c r="O965" s="6">
        <v>0.32852386450868798</v>
      </c>
      <c r="P965" s="6">
        <v>0.32852386450868798</v>
      </c>
      <c r="Q965" s="6">
        <v>0</v>
      </c>
      <c r="R965" s="6">
        <v>0</v>
      </c>
      <c r="S965" s="6">
        <v>0</v>
      </c>
      <c r="T965" s="6">
        <v>321.79218409425101</v>
      </c>
    </row>
    <row r="966" spans="1:20" ht="13" x14ac:dyDescent="0.15">
      <c r="A966" s="6">
        <v>964</v>
      </c>
      <c r="B966" s="7">
        <v>44558</v>
      </c>
      <c r="C966" s="6">
        <v>320.04934051048599</v>
      </c>
      <c r="D966" s="6">
        <v>288.04680762846903</v>
      </c>
      <c r="E966" s="6">
        <v>354.550552153826</v>
      </c>
      <c r="F966" s="6">
        <v>320.04934051048599</v>
      </c>
      <c r="G966" s="6">
        <v>320.04934051048599</v>
      </c>
      <c r="H966" s="6">
        <v>1.96365956239493</v>
      </c>
      <c r="I966" s="6">
        <v>1.96365956239493</v>
      </c>
      <c r="J966" s="6">
        <v>1.96365956239493</v>
      </c>
      <c r="K966" s="6">
        <v>0.84522403106958</v>
      </c>
      <c r="L966" s="6">
        <v>0.84522403106958</v>
      </c>
      <c r="M966" s="6">
        <v>0.84522403106958</v>
      </c>
      <c r="N966" s="6">
        <v>1.11843553132535</v>
      </c>
      <c r="O966" s="6">
        <v>1.11843553132535</v>
      </c>
      <c r="P966" s="6">
        <v>1.11843553132535</v>
      </c>
      <c r="Q966" s="6">
        <v>0</v>
      </c>
      <c r="R966" s="6">
        <v>0</v>
      </c>
      <c r="S966" s="6">
        <v>0</v>
      </c>
      <c r="T966" s="6">
        <v>322.01300007288103</v>
      </c>
    </row>
    <row r="967" spans="1:20" ht="13" x14ac:dyDescent="0.15">
      <c r="A967" s="6">
        <v>965</v>
      </c>
      <c r="B967" s="7">
        <v>44559</v>
      </c>
      <c r="C967" s="6">
        <v>320.45791140017099</v>
      </c>
      <c r="D967" s="6">
        <v>290.42072623092997</v>
      </c>
      <c r="E967" s="6">
        <v>357.216574153127</v>
      </c>
      <c r="F967" s="6">
        <v>320.45791140017099</v>
      </c>
      <c r="G967" s="6">
        <v>320.45791140017099</v>
      </c>
      <c r="H967" s="6">
        <v>2.95679553688315</v>
      </c>
      <c r="I967" s="6">
        <v>2.95679553688315</v>
      </c>
      <c r="J967" s="6">
        <v>2.95679553688315</v>
      </c>
      <c r="K967" s="6">
        <v>0.94874688043585698</v>
      </c>
      <c r="L967" s="6">
        <v>0.94874688043585698</v>
      </c>
      <c r="M967" s="6">
        <v>0.94874688043585698</v>
      </c>
      <c r="N967" s="6">
        <v>2.0080486564472899</v>
      </c>
      <c r="O967" s="6">
        <v>2.0080486564472899</v>
      </c>
      <c r="P967" s="6">
        <v>2.0080486564472899</v>
      </c>
      <c r="Q967" s="6">
        <v>0</v>
      </c>
      <c r="R967" s="6">
        <v>0</v>
      </c>
      <c r="S967" s="6">
        <v>0</v>
      </c>
      <c r="T967" s="6">
        <v>323.41470693705401</v>
      </c>
    </row>
    <row r="968" spans="1:20" ht="13" x14ac:dyDescent="0.15">
      <c r="A968" s="6">
        <v>966</v>
      </c>
      <c r="B968" s="7">
        <v>44560</v>
      </c>
      <c r="C968" s="6">
        <v>320.461258955223</v>
      </c>
      <c r="D968" s="6">
        <v>289.53086117894702</v>
      </c>
      <c r="E968" s="6">
        <v>354.006064899438</v>
      </c>
      <c r="F968" s="6">
        <v>320.461258955223</v>
      </c>
      <c r="G968" s="6">
        <v>320.461258955223</v>
      </c>
      <c r="H968" s="6">
        <v>3.4673799270280901</v>
      </c>
      <c r="I968" s="6">
        <v>3.4673799270280901</v>
      </c>
      <c r="J968" s="6">
        <v>3.4673799270280901</v>
      </c>
      <c r="K968" s="6">
        <v>0.490155213553359</v>
      </c>
      <c r="L968" s="6">
        <v>0.490155213553359</v>
      </c>
      <c r="M968" s="6">
        <v>0.490155213553359</v>
      </c>
      <c r="N968" s="6">
        <v>2.9772247134747301</v>
      </c>
      <c r="O968" s="6">
        <v>2.9772247134747301</v>
      </c>
      <c r="P968" s="6">
        <v>2.9772247134747301</v>
      </c>
      <c r="Q968" s="6">
        <v>0</v>
      </c>
      <c r="R968" s="6">
        <v>0</v>
      </c>
      <c r="S968" s="6">
        <v>0</v>
      </c>
      <c r="T968" s="6">
        <v>323.92863888225099</v>
      </c>
    </row>
    <row r="969" spans="1:20" ht="13" x14ac:dyDescent="0.15">
      <c r="A969" s="6">
        <v>967</v>
      </c>
      <c r="B969" s="7">
        <v>44561</v>
      </c>
      <c r="C969" s="6">
        <v>320.46460651027502</v>
      </c>
      <c r="D969" s="6">
        <v>292.77511272093602</v>
      </c>
      <c r="E969" s="6">
        <v>357.10976041702401</v>
      </c>
      <c r="F969" s="6">
        <v>320.46460651027502</v>
      </c>
      <c r="G969" s="6">
        <v>320.46460651027502</v>
      </c>
      <c r="H969" s="6">
        <v>3.98127582051456</v>
      </c>
      <c r="I969" s="6">
        <v>3.98127582051456</v>
      </c>
      <c r="J969" s="6">
        <v>3.98127582051456</v>
      </c>
      <c r="K969" s="6">
        <v>-2.29767650693216E-2</v>
      </c>
      <c r="L969" s="6">
        <v>-2.29767650693216E-2</v>
      </c>
      <c r="M969" s="6">
        <v>-2.29767650693216E-2</v>
      </c>
      <c r="N969" s="6">
        <v>4.0042525855838802</v>
      </c>
      <c r="O969" s="6">
        <v>4.0042525855838802</v>
      </c>
      <c r="P969" s="6">
        <v>4.0042525855838802</v>
      </c>
      <c r="Q969" s="6">
        <v>0</v>
      </c>
      <c r="R969" s="6">
        <v>0</v>
      </c>
      <c r="S969" s="6">
        <v>0</v>
      </c>
      <c r="T969" s="6">
        <v>324.44588233079003</v>
      </c>
    </row>
    <row r="970" spans="1:20" ht="13" x14ac:dyDescent="0.15">
      <c r="A970" s="6">
        <v>968</v>
      </c>
      <c r="B970" s="7">
        <v>44564</v>
      </c>
      <c r="C970" s="6">
        <v>320.47464917543198</v>
      </c>
      <c r="D970" s="6">
        <v>297.72624304223399</v>
      </c>
      <c r="E970" s="6">
        <v>358.32241139003798</v>
      </c>
      <c r="F970" s="6">
        <v>320.47464917543198</v>
      </c>
      <c r="G970" s="6">
        <v>320.47464917543198</v>
      </c>
      <c r="H970" s="6">
        <v>9.0276789341215302</v>
      </c>
      <c r="I970" s="6">
        <v>9.0276789341215302</v>
      </c>
      <c r="J970" s="6">
        <v>9.0276789341215302</v>
      </c>
      <c r="K970" s="6">
        <v>1.8228906089344901</v>
      </c>
      <c r="L970" s="6">
        <v>1.8228906089344901</v>
      </c>
      <c r="M970" s="6">
        <v>1.8228906089344901</v>
      </c>
      <c r="N970" s="6">
        <v>7.2047883251870397</v>
      </c>
      <c r="O970" s="6">
        <v>7.2047883251870397</v>
      </c>
      <c r="P970" s="6">
        <v>7.2047883251870397</v>
      </c>
      <c r="Q970" s="6">
        <v>0</v>
      </c>
      <c r="R970" s="6">
        <v>0</v>
      </c>
      <c r="S970" s="6">
        <v>0</v>
      </c>
      <c r="T970" s="6">
        <v>329.50232810955299</v>
      </c>
    </row>
    <row r="971" spans="1:20" ht="13" x14ac:dyDescent="0.15">
      <c r="A971" s="6">
        <v>969</v>
      </c>
      <c r="B971" s="7">
        <v>44565</v>
      </c>
      <c r="C971" s="6">
        <v>320.47799673048399</v>
      </c>
      <c r="D971" s="6">
        <v>294.73245524451602</v>
      </c>
      <c r="E971" s="6">
        <v>362.52188985023997</v>
      </c>
      <c r="F971" s="6">
        <v>320.47799673048399</v>
      </c>
      <c r="G971" s="6">
        <v>320.47799673048399</v>
      </c>
      <c r="H971" s="6">
        <v>9.0817536520963706</v>
      </c>
      <c r="I971" s="6">
        <v>9.0817536520963706</v>
      </c>
      <c r="J971" s="6">
        <v>9.0817536520963706</v>
      </c>
      <c r="K971" s="6">
        <v>0.84522403106893396</v>
      </c>
      <c r="L971" s="6">
        <v>0.84522403106893396</v>
      </c>
      <c r="M971" s="6">
        <v>0.84522403106893396</v>
      </c>
      <c r="N971" s="6">
        <v>8.2365296210274295</v>
      </c>
      <c r="O971" s="6">
        <v>8.2365296210274295</v>
      </c>
      <c r="P971" s="6">
        <v>8.2365296210274295</v>
      </c>
      <c r="Q971" s="6">
        <v>0</v>
      </c>
      <c r="R971" s="6">
        <v>0</v>
      </c>
      <c r="S971" s="6">
        <v>0</v>
      </c>
      <c r="T971" s="6">
        <v>329.55975038257998</v>
      </c>
    </row>
    <row r="972" spans="1:20" ht="13" x14ac:dyDescent="0.15">
      <c r="A972" s="6">
        <v>970</v>
      </c>
      <c r="B972" s="7">
        <v>44566</v>
      </c>
      <c r="C972" s="6">
        <v>320.48134428553601</v>
      </c>
      <c r="D972" s="6">
        <v>299.26286606091702</v>
      </c>
      <c r="E972" s="6">
        <v>361.61315686532299</v>
      </c>
      <c r="F972" s="6">
        <v>320.48134428553601</v>
      </c>
      <c r="G972" s="6">
        <v>320.48134428553601</v>
      </c>
      <c r="H972" s="6">
        <v>10.1646837700843</v>
      </c>
      <c r="I972" s="6">
        <v>10.1646837700843</v>
      </c>
      <c r="J972" s="6">
        <v>10.1646837700843</v>
      </c>
      <c r="K972" s="6">
        <v>0.94874688043770705</v>
      </c>
      <c r="L972" s="6">
        <v>0.94874688043770705</v>
      </c>
      <c r="M972" s="6">
        <v>0.94874688043770705</v>
      </c>
      <c r="N972" s="6">
        <v>9.2159368896466898</v>
      </c>
      <c r="O972" s="6">
        <v>9.2159368896466898</v>
      </c>
      <c r="P972" s="6">
        <v>9.2159368896466898</v>
      </c>
      <c r="Q972" s="6">
        <v>0</v>
      </c>
      <c r="R972" s="6">
        <v>0</v>
      </c>
      <c r="S972" s="6">
        <v>0</v>
      </c>
      <c r="T972" s="6">
        <v>330.646028055621</v>
      </c>
    </row>
    <row r="973" spans="1:20" ht="13" x14ac:dyDescent="0.15">
      <c r="A973" s="6">
        <v>971</v>
      </c>
      <c r="B973" s="7">
        <v>44567</v>
      </c>
      <c r="C973" s="6">
        <v>320.48469184058803</v>
      </c>
      <c r="D973" s="6">
        <v>297.32213379220298</v>
      </c>
      <c r="E973" s="6">
        <v>361.255614815473</v>
      </c>
      <c r="F973" s="6">
        <v>320.48469184058803</v>
      </c>
      <c r="G973" s="6">
        <v>320.48469184058803</v>
      </c>
      <c r="H973" s="6">
        <v>10.615128992867501</v>
      </c>
      <c r="I973" s="6">
        <v>10.615128992867501</v>
      </c>
      <c r="J973" s="6">
        <v>10.615128992867501</v>
      </c>
      <c r="K973" s="6">
        <v>0.490155213554539</v>
      </c>
      <c r="L973" s="6">
        <v>0.490155213554539</v>
      </c>
      <c r="M973" s="6">
        <v>0.490155213554539</v>
      </c>
      <c r="N973" s="6">
        <v>10.124973779312899</v>
      </c>
      <c r="O973" s="6">
        <v>10.124973779312899</v>
      </c>
      <c r="P973" s="6">
        <v>10.124973779312899</v>
      </c>
      <c r="Q973" s="6">
        <v>0</v>
      </c>
      <c r="R973" s="6">
        <v>0</v>
      </c>
      <c r="S973" s="6">
        <v>0</v>
      </c>
      <c r="T973" s="6">
        <v>331.09982083345602</v>
      </c>
    </row>
    <row r="974" spans="1:20" ht="13" x14ac:dyDescent="0.15">
      <c r="A974" s="6">
        <v>972</v>
      </c>
      <c r="B974" s="7">
        <v>44568</v>
      </c>
      <c r="C974" s="6">
        <v>320.48803939564101</v>
      </c>
      <c r="D974" s="6">
        <v>298.18676949325697</v>
      </c>
      <c r="E974" s="6">
        <v>362.80808003692101</v>
      </c>
      <c r="F974" s="6">
        <v>320.48803939564101</v>
      </c>
      <c r="G974" s="6">
        <v>320.48803939564101</v>
      </c>
      <c r="H974" s="6">
        <v>10.9252307292784</v>
      </c>
      <c r="I974" s="6">
        <v>10.9252307292784</v>
      </c>
      <c r="J974" s="6">
        <v>10.9252307292784</v>
      </c>
      <c r="K974" s="6">
        <v>-2.2976765067375102E-2</v>
      </c>
      <c r="L974" s="6">
        <v>-2.2976765067375102E-2</v>
      </c>
      <c r="M974" s="6">
        <v>-2.2976765067375102E-2</v>
      </c>
      <c r="N974" s="6">
        <v>10.9482074943457</v>
      </c>
      <c r="O974" s="6">
        <v>10.9482074943457</v>
      </c>
      <c r="P974" s="6">
        <v>10.9482074943457</v>
      </c>
      <c r="Q974" s="6">
        <v>0</v>
      </c>
      <c r="R974" s="6">
        <v>0</v>
      </c>
      <c r="S974" s="6">
        <v>0</v>
      </c>
      <c r="T974" s="6">
        <v>331.41327012491899</v>
      </c>
    </row>
    <row r="975" spans="1:20" ht="13" x14ac:dyDescent="0.15">
      <c r="A975" s="6">
        <v>973</v>
      </c>
      <c r="B975" s="7">
        <v>44571</v>
      </c>
      <c r="C975" s="6">
        <v>320.498082060797</v>
      </c>
      <c r="D975" s="6">
        <v>303.22963627119401</v>
      </c>
      <c r="E975" s="6">
        <v>367.99126055811502</v>
      </c>
      <c r="F975" s="6">
        <v>320.498082060797</v>
      </c>
      <c r="G975" s="6">
        <v>320.498082060797</v>
      </c>
      <c r="H975" s="6">
        <v>14.618711997375801</v>
      </c>
      <c r="I975" s="6">
        <v>14.618711997375801</v>
      </c>
      <c r="J975" s="6">
        <v>14.618711997375801</v>
      </c>
      <c r="K975" s="6">
        <v>1.8228906089349901</v>
      </c>
      <c r="L975" s="6">
        <v>1.8228906089349901</v>
      </c>
      <c r="M975" s="6">
        <v>1.8228906089349901</v>
      </c>
      <c r="N975" s="6">
        <v>12.7958213884408</v>
      </c>
      <c r="O975" s="6">
        <v>12.7958213884408</v>
      </c>
      <c r="P975" s="6">
        <v>12.7958213884408</v>
      </c>
      <c r="Q975" s="6">
        <v>0</v>
      </c>
      <c r="R975" s="6">
        <v>0</v>
      </c>
      <c r="S975" s="6">
        <v>0</v>
      </c>
      <c r="T975" s="6">
        <v>335.11679405817301</v>
      </c>
    </row>
    <row r="976" spans="1:20" ht="13" x14ac:dyDescent="0.15">
      <c r="A976" s="6">
        <v>974</v>
      </c>
      <c r="B976" s="7">
        <v>44572</v>
      </c>
      <c r="C976" s="6">
        <v>320.50142961584902</v>
      </c>
      <c r="D976" s="6">
        <v>302.33609065515901</v>
      </c>
      <c r="E976" s="6">
        <v>368.790911763368</v>
      </c>
      <c r="F976" s="6">
        <v>320.50142961584902</v>
      </c>
      <c r="G976" s="6">
        <v>320.50142961584902</v>
      </c>
      <c r="H976" s="6">
        <v>14.031263874563701</v>
      </c>
      <c r="I976" s="6">
        <v>14.031263874563701</v>
      </c>
      <c r="J976" s="6">
        <v>14.031263874563701</v>
      </c>
      <c r="K976" s="6">
        <v>0.84522403106747801</v>
      </c>
      <c r="L976" s="6">
        <v>0.84522403106747801</v>
      </c>
      <c r="M976" s="6">
        <v>0.84522403106747801</v>
      </c>
      <c r="N976" s="6">
        <v>13.1860398434962</v>
      </c>
      <c r="O976" s="6">
        <v>13.1860398434962</v>
      </c>
      <c r="P976" s="6">
        <v>13.1860398434962</v>
      </c>
      <c r="Q976" s="6">
        <v>0</v>
      </c>
      <c r="R976" s="6">
        <v>0</v>
      </c>
      <c r="S976" s="6">
        <v>0</v>
      </c>
      <c r="T976" s="6">
        <v>334.53269349041301</v>
      </c>
    </row>
    <row r="977" spans="1:20" ht="13" x14ac:dyDescent="0.15">
      <c r="A977" s="6">
        <v>975</v>
      </c>
      <c r="B977" s="7">
        <v>44573</v>
      </c>
      <c r="C977" s="6">
        <v>320.504777170902</v>
      </c>
      <c r="D977" s="6">
        <v>303.79206635635001</v>
      </c>
      <c r="E977" s="6">
        <v>366.36121975270601</v>
      </c>
      <c r="F977" s="6">
        <v>320.504777170902</v>
      </c>
      <c r="G977" s="6">
        <v>320.504777170902</v>
      </c>
      <c r="H977" s="6">
        <v>14.4121679316493</v>
      </c>
      <c r="I977" s="6">
        <v>14.4121679316493</v>
      </c>
      <c r="J977" s="6">
        <v>14.4121679316493</v>
      </c>
      <c r="K977" s="6">
        <v>0.94874688043419697</v>
      </c>
      <c r="L977" s="6">
        <v>0.94874688043419697</v>
      </c>
      <c r="M977" s="6">
        <v>0.94874688043419697</v>
      </c>
      <c r="N977" s="6">
        <v>13.4634210512151</v>
      </c>
      <c r="O977" s="6">
        <v>13.4634210512151</v>
      </c>
      <c r="P977" s="6">
        <v>13.4634210512151</v>
      </c>
      <c r="Q977" s="6">
        <v>0</v>
      </c>
      <c r="R977" s="6">
        <v>0</v>
      </c>
      <c r="S977" s="6">
        <v>0</v>
      </c>
      <c r="T977" s="6">
        <v>334.91694510255098</v>
      </c>
    </row>
    <row r="978" spans="1:20" ht="13" x14ac:dyDescent="0.15">
      <c r="A978" s="6">
        <v>976</v>
      </c>
      <c r="B978" s="7">
        <v>44574</v>
      </c>
      <c r="C978" s="6">
        <v>320.50812472595402</v>
      </c>
      <c r="D978" s="6">
        <v>303.70504241718902</v>
      </c>
      <c r="E978" s="6">
        <v>368.10690306351398</v>
      </c>
      <c r="F978" s="6">
        <v>320.50812472595402</v>
      </c>
      <c r="G978" s="6">
        <v>320.50812472595402</v>
      </c>
      <c r="H978" s="6">
        <v>14.123530308993599</v>
      </c>
      <c r="I978" s="6">
        <v>14.123530308993599</v>
      </c>
      <c r="J978" s="6">
        <v>14.123530308993599</v>
      </c>
      <c r="K978" s="6">
        <v>0.49015521355571801</v>
      </c>
      <c r="L978" s="6">
        <v>0.49015521355571801</v>
      </c>
      <c r="M978" s="6">
        <v>0.49015521355571801</v>
      </c>
      <c r="N978" s="6">
        <v>13.633375095437801</v>
      </c>
      <c r="O978" s="6">
        <v>13.633375095437801</v>
      </c>
      <c r="P978" s="6">
        <v>13.633375095437801</v>
      </c>
      <c r="Q978" s="6">
        <v>0</v>
      </c>
      <c r="R978" s="6">
        <v>0</v>
      </c>
      <c r="S978" s="6">
        <v>0</v>
      </c>
      <c r="T978" s="6">
        <v>334.63165503494702</v>
      </c>
    </row>
    <row r="979" spans="1:20" ht="13" x14ac:dyDescent="0.15">
      <c r="A979" s="6">
        <v>977</v>
      </c>
      <c r="B979" s="7">
        <v>44575</v>
      </c>
      <c r="C979" s="6">
        <v>320.51147228100598</v>
      </c>
      <c r="D979" s="6">
        <v>301.70235653638201</v>
      </c>
      <c r="E979" s="6">
        <v>364.74124399106199</v>
      </c>
      <c r="F979" s="6">
        <v>320.51147228100598</v>
      </c>
      <c r="G979" s="6">
        <v>320.51147228100598</v>
      </c>
      <c r="H979" s="6">
        <v>13.6817016414607</v>
      </c>
      <c r="I979" s="6">
        <v>13.6817016414607</v>
      </c>
      <c r="J979" s="6">
        <v>13.6817016414607</v>
      </c>
      <c r="K979" s="6">
        <v>-2.2976765065874798E-2</v>
      </c>
      <c r="L979" s="6">
        <v>-2.2976765065874798E-2</v>
      </c>
      <c r="M979" s="6">
        <v>-2.2976765065874798E-2</v>
      </c>
      <c r="N979" s="6">
        <v>13.7046784065266</v>
      </c>
      <c r="O979" s="6">
        <v>13.7046784065266</v>
      </c>
      <c r="P979" s="6">
        <v>13.7046784065266</v>
      </c>
      <c r="Q979" s="6">
        <v>0</v>
      </c>
      <c r="R979" s="6">
        <v>0</v>
      </c>
      <c r="S979" s="6">
        <v>0</v>
      </c>
      <c r="T979" s="6">
        <v>334.193173922467</v>
      </c>
    </row>
    <row r="980" spans="1:20" ht="13" x14ac:dyDescent="0.15">
      <c r="A980" s="6">
        <v>978</v>
      </c>
      <c r="B980" s="7">
        <v>44579</v>
      </c>
      <c r="C980" s="6">
        <v>320.52486250121501</v>
      </c>
      <c r="D980" s="6">
        <v>302.49633285974102</v>
      </c>
      <c r="E980" s="6">
        <v>366.90530880953401</v>
      </c>
      <c r="F980" s="6">
        <v>320.52486250121501</v>
      </c>
      <c r="G980" s="6">
        <v>320.52486250121501</v>
      </c>
      <c r="H980" s="6">
        <v>14.122045237873101</v>
      </c>
      <c r="I980" s="6">
        <v>14.122045237873101</v>
      </c>
      <c r="J980" s="6">
        <v>14.122045237873101</v>
      </c>
      <c r="K980" s="6">
        <v>0.84522403106602095</v>
      </c>
      <c r="L980" s="6">
        <v>0.84522403106602095</v>
      </c>
      <c r="M980" s="6">
        <v>0.84522403106602095</v>
      </c>
      <c r="N980" s="6">
        <v>13.276821206807099</v>
      </c>
      <c r="O980" s="6">
        <v>13.276821206807099</v>
      </c>
      <c r="P980" s="6">
        <v>13.276821206807099</v>
      </c>
      <c r="Q980" s="6">
        <v>0</v>
      </c>
      <c r="R980" s="6">
        <v>0</v>
      </c>
      <c r="S980" s="6">
        <v>0</v>
      </c>
      <c r="T980" s="6">
        <v>334.64690773908802</v>
      </c>
    </row>
    <row r="981" spans="1:20" ht="13" x14ac:dyDescent="0.15">
      <c r="A981" s="6">
        <v>979</v>
      </c>
      <c r="B981" s="7">
        <v>44580</v>
      </c>
      <c r="C981" s="6">
        <v>320.52821005626703</v>
      </c>
      <c r="D981" s="6">
        <v>301.77754872561201</v>
      </c>
      <c r="E981" s="6">
        <v>364.86041254690002</v>
      </c>
      <c r="F981" s="6">
        <v>320.52821005626703</v>
      </c>
      <c r="G981" s="6">
        <v>320.52821005626703</v>
      </c>
      <c r="H981" s="6">
        <v>14.026490616199199</v>
      </c>
      <c r="I981" s="6">
        <v>14.026490616199199</v>
      </c>
      <c r="J981" s="6">
        <v>14.026490616199199</v>
      </c>
      <c r="K981" s="6">
        <v>0.94874688043725997</v>
      </c>
      <c r="L981" s="6">
        <v>0.94874688043725997</v>
      </c>
      <c r="M981" s="6">
        <v>0.94874688043725997</v>
      </c>
      <c r="N981" s="6">
        <v>13.077743735761899</v>
      </c>
      <c r="O981" s="6">
        <v>13.077743735761899</v>
      </c>
      <c r="P981" s="6">
        <v>13.077743735761899</v>
      </c>
      <c r="Q981" s="6">
        <v>0</v>
      </c>
      <c r="R981" s="6">
        <v>0</v>
      </c>
      <c r="S981" s="6">
        <v>0</v>
      </c>
      <c r="T981" s="6">
        <v>334.55470067246603</v>
      </c>
    </row>
    <row r="982" spans="1:20" ht="13" x14ac:dyDescent="0.15">
      <c r="A982" s="6">
        <v>980</v>
      </c>
      <c r="B982" s="7">
        <v>44581</v>
      </c>
      <c r="C982" s="6">
        <v>320.53155761131899</v>
      </c>
      <c r="D982" s="6">
        <v>302.95101080472301</v>
      </c>
      <c r="E982" s="6">
        <v>365.28982705078801</v>
      </c>
      <c r="F982" s="6">
        <v>320.53155761131899</v>
      </c>
      <c r="G982" s="6">
        <v>320.53155761131899</v>
      </c>
      <c r="H982" s="6">
        <v>13.370371230360799</v>
      </c>
      <c r="I982" s="6">
        <v>13.370371230360799</v>
      </c>
      <c r="J982" s="6">
        <v>13.370371230360799</v>
      </c>
      <c r="K982" s="6">
        <v>0.49015521355689701</v>
      </c>
      <c r="L982" s="6">
        <v>0.49015521355689701</v>
      </c>
      <c r="M982" s="6">
        <v>0.49015521355689701</v>
      </c>
      <c r="N982" s="6">
        <v>12.880216016803899</v>
      </c>
      <c r="O982" s="6">
        <v>12.880216016803899</v>
      </c>
      <c r="P982" s="6">
        <v>12.880216016803899</v>
      </c>
      <c r="Q982" s="6">
        <v>0</v>
      </c>
      <c r="R982" s="6">
        <v>0</v>
      </c>
      <c r="S982" s="6">
        <v>0</v>
      </c>
      <c r="T982" s="6">
        <v>333.90192884167999</v>
      </c>
    </row>
    <row r="983" spans="1:20" ht="13" x14ac:dyDescent="0.15">
      <c r="A983" s="6">
        <v>981</v>
      </c>
      <c r="B983" s="7">
        <v>44582</v>
      </c>
      <c r="C983" s="6">
        <v>320.534905166371</v>
      </c>
      <c r="D983" s="6">
        <v>301.00191477700201</v>
      </c>
      <c r="E983" s="6">
        <v>366.24569773260498</v>
      </c>
      <c r="F983" s="6">
        <v>320.534905166371</v>
      </c>
      <c r="G983" s="6">
        <v>320.534905166371</v>
      </c>
      <c r="H983" s="6">
        <v>12.680676262848401</v>
      </c>
      <c r="I983" s="6">
        <v>12.680676262848401</v>
      </c>
      <c r="J983" s="6">
        <v>12.680676262848401</v>
      </c>
      <c r="K983" s="6">
        <v>-2.29767650639284E-2</v>
      </c>
      <c r="L983" s="6">
        <v>-2.29767650639284E-2</v>
      </c>
      <c r="M983" s="6">
        <v>-2.29767650639284E-2</v>
      </c>
      <c r="N983" s="6">
        <v>12.7036530279124</v>
      </c>
      <c r="O983" s="6">
        <v>12.7036530279124</v>
      </c>
      <c r="P983" s="6">
        <v>12.7036530279124</v>
      </c>
      <c r="Q983" s="6">
        <v>0</v>
      </c>
      <c r="R983" s="6">
        <v>0</v>
      </c>
      <c r="S983" s="6">
        <v>0</v>
      </c>
      <c r="T983" s="6">
        <v>333.21558142921998</v>
      </c>
    </row>
    <row r="984" spans="1:20" ht="13" x14ac:dyDescent="0.15">
      <c r="A984" s="6">
        <v>982</v>
      </c>
      <c r="B984" s="7">
        <v>44585</v>
      </c>
      <c r="C984" s="6">
        <v>320.54494783152802</v>
      </c>
      <c r="D984" s="6">
        <v>304.35559229103501</v>
      </c>
      <c r="E984" s="6">
        <v>365.98351585934103</v>
      </c>
      <c r="F984" s="6">
        <v>320.54494783152802</v>
      </c>
      <c r="G984" s="6">
        <v>320.54494783152802</v>
      </c>
      <c r="H984" s="6">
        <v>14.2995824654217</v>
      </c>
      <c r="I984" s="6">
        <v>14.2995824654217</v>
      </c>
      <c r="J984" s="6">
        <v>14.2995824654217</v>
      </c>
      <c r="K984" s="6">
        <v>1.8228906089317101</v>
      </c>
      <c r="L984" s="6">
        <v>1.8228906089317101</v>
      </c>
      <c r="M984" s="6">
        <v>1.8228906089317101</v>
      </c>
      <c r="N984" s="6">
        <v>12.47669185649</v>
      </c>
      <c r="O984" s="6">
        <v>12.47669185649</v>
      </c>
      <c r="P984" s="6">
        <v>12.47669185649</v>
      </c>
      <c r="Q984" s="6">
        <v>0</v>
      </c>
      <c r="R984" s="6">
        <v>0</v>
      </c>
      <c r="S984" s="6">
        <v>0</v>
      </c>
      <c r="T984" s="6">
        <v>334.84453029694998</v>
      </c>
    </row>
    <row r="985" spans="1:20" ht="13" x14ac:dyDescent="0.15">
      <c r="A985" s="6">
        <v>983</v>
      </c>
      <c r="B985" s="7">
        <v>44586</v>
      </c>
      <c r="C985" s="6">
        <v>320.54829538657998</v>
      </c>
      <c r="D985" s="6">
        <v>301.99670476440798</v>
      </c>
      <c r="E985" s="6">
        <v>367.28345211347801</v>
      </c>
      <c r="F985" s="6">
        <v>320.54829538657998</v>
      </c>
      <c r="G985" s="6">
        <v>320.54829538657998</v>
      </c>
      <c r="H985" s="6">
        <v>13.396294905606799</v>
      </c>
      <c r="I985" s="6">
        <v>13.396294905606799</v>
      </c>
      <c r="J985" s="6">
        <v>13.396294905606799</v>
      </c>
      <c r="K985" s="6">
        <v>0.84522403106618704</v>
      </c>
      <c r="L985" s="6">
        <v>0.84522403106618704</v>
      </c>
      <c r="M985" s="6">
        <v>0.84522403106618704</v>
      </c>
      <c r="N985" s="6">
        <v>12.551070874540599</v>
      </c>
      <c r="O985" s="6">
        <v>12.551070874540599</v>
      </c>
      <c r="P985" s="6">
        <v>12.551070874540599</v>
      </c>
      <c r="Q985" s="6">
        <v>0</v>
      </c>
      <c r="R985" s="6">
        <v>0</v>
      </c>
      <c r="S985" s="6">
        <v>0</v>
      </c>
      <c r="T985" s="6">
        <v>333.944590292187</v>
      </c>
    </row>
    <row r="986" spans="1:20" ht="13" x14ac:dyDescent="0.15">
      <c r="A986" s="6">
        <v>984</v>
      </c>
      <c r="B986" s="7">
        <v>44587</v>
      </c>
      <c r="C986" s="6">
        <v>320.551642941632</v>
      </c>
      <c r="D986" s="6">
        <v>303.65510879035901</v>
      </c>
      <c r="E986" s="6">
        <v>364.80586988245898</v>
      </c>
      <c r="F986" s="6">
        <v>320.551642941632</v>
      </c>
      <c r="G986" s="6">
        <v>320.551642941632</v>
      </c>
      <c r="H986" s="6">
        <v>13.6670481417022</v>
      </c>
      <c r="I986" s="6">
        <v>13.6670481417022</v>
      </c>
      <c r="J986" s="6">
        <v>13.6670481417022</v>
      </c>
      <c r="K986" s="6">
        <v>0.94874688043642896</v>
      </c>
      <c r="L986" s="6">
        <v>0.94874688043642896</v>
      </c>
      <c r="M986" s="6">
        <v>0.94874688043642896</v>
      </c>
      <c r="N986" s="6">
        <v>12.718301261265699</v>
      </c>
      <c r="O986" s="6">
        <v>12.718301261265699</v>
      </c>
      <c r="P986" s="6">
        <v>12.718301261265699</v>
      </c>
      <c r="Q986" s="6">
        <v>0</v>
      </c>
      <c r="R986" s="6">
        <v>0</v>
      </c>
      <c r="S986" s="6">
        <v>0</v>
      </c>
      <c r="T986" s="6">
        <v>334.21869108333499</v>
      </c>
    </row>
    <row r="987" spans="1:20" ht="13" x14ac:dyDescent="0.15">
      <c r="A987" s="6">
        <v>985</v>
      </c>
      <c r="B987" s="7">
        <v>44588</v>
      </c>
      <c r="C987" s="6">
        <v>320.55499049668498</v>
      </c>
      <c r="D987" s="6">
        <v>302.682684297268</v>
      </c>
      <c r="E987" s="6">
        <v>367.54641124627398</v>
      </c>
      <c r="F987" s="6">
        <v>320.55499049668498</v>
      </c>
      <c r="G987" s="6">
        <v>320.55499049668498</v>
      </c>
      <c r="H987" s="6">
        <v>13.474335894305799</v>
      </c>
      <c r="I987" s="6">
        <v>13.474335894305799</v>
      </c>
      <c r="J987" s="6">
        <v>13.474335894305799</v>
      </c>
      <c r="K987" s="6">
        <v>0.490155213554059</v>
      </c>
      <c r="L987" s="6">
        <v>0.490155213554059</v>
      </c>
      <c r="M987" s="6">
        <v>0.490155213554059</v>
      </c>
      <c r="N987" s="6">
        <v>12.984180680751701</v>
      </c>
      <c r="O987" s="6">
        <v>12.984180680751701</v>
      </c>
      <c r="P987" s="6">
        <v>12.984180680751701</v>
      </c>
      <c r="Q987" s="6">
        <v>0</v>
      </c>
      <c r="R987" s="6">
        <v>0</v>
      </c>
      <c r="S987" s="6">
        <v>0</v>
      </c>
      <c r="T987" s="6">
        <v>334.02932639098998</v>
      </c>
    </row>
    <row r="988" spans="1:20" ht="13" x14ac:dyDescent="0.15">
      <c r="A988" s="6">
        <v>986</v>
      </c>
      <c r="B988" s="7">
        <v>44589</v>
      </c>
      <c r="C988" s="6">
        <v>320.558338051737</v>
      </c>
      <c r="D988" s="6">
        <v>300.01789755985698</v>
      </c>
      <c r="E988" s="6">
        <v>366.75659990382798</v>
      </c>
      <c r="F988" s="6">
        <v>320.558338051737</v>
      </c>
      <c r="G988" s="6">
        <v>320.558338051737</v>
      </c>
      <c r="H988" s="6">
        <v>13.327854615205901</v>
      </c>
      <c r="I988" s="6">
        <v>13.327854615205901</v>
      </c>
      <c r="J988" s="6">
        <v>13.327854615205901</v>
      </c>
      <c r="K988" s="6">
        <v>-2.2976765066540599E-2</v>
      </c>
      <c r="L988" s="6">
        <v>-2.2976765066540599E-2</v>
      </c>
      <c r="M988" s="6">
        <v>-2.2976765066540599E-2</v>
      </c>
      <c r="N988" s="6">
        <v>13.350831380272499</v>
      </c>
      <c r="O988" s="6">
        <v>13.350831380272499</v>
      </c>
      <c r="P988" s="6">
        <v>13.350831380272499</v>
      </c>
      <c r="Q988" s="6">
        <v>0</v>
      </c>
      <c r="R988" s="6">
        <v>0</v>
      </c>
      <c r="S988" s="6">
        <v>0</v>
      </c>
      <c r="T988" s="6">
        <v>333.88619266694297</v>
      </c>
    </row>
    <row r="989" spans="1:20" ht="13" x14ac:dyDescent="0.15">
      <c r="A989" s="6">
        <v>987</v>
      </c>
      <c r="B989" s="7">
        <v>44592</v>
      </c>
      <c r="C989" s="6">
        <v>320.56838071689299</v>
      </c>
      <c r="D989" s="6">
        <v>304.95478111251998</v>
      </c>
      <c r="E989" s="6">
        <v>370.08480351468899</v>
      </c>
      <c r="F989" s="6">
        <v>320.56838071689299</v>
      </c>
      <c r="G989" s="6">
        <v>320.56838071689299</v>
      </c>
      <c r="H989" s="6">
        <v>16.841994721503401</v>
      </c>
      <c r="I989" s="6">
        <v>16.841994721503401</v>
      </c>
      <c r="J989" s="6">
        <v>16.841994721503401</v>
      </c>
      <c r="K989" s="6">
        <v>1.82289060893343</v>
      </c>
      <c r="L989" s="6">
        <v>1.82289060893343</v>
      </c>
      <c r="M989" s="6">
        <v>1.82289060893343</v>
      </c>
      <c r="N989" s="6">
        <v>15.019104112569901</v>
      </c>
      <c r="O989" s="6">
        <v>15.019104112569901</v>
      </c>
      <c r="P989" s="6">
        <v>15.019104112569901</v>
      </c>
      <c r="Q989" s="6">
        <v>0</v>
      </c>
      <c r="R989" s="6">
        <v>0</v>
      </c>
      <c r="S989" s="6">
        <v>0</v>
      </c>
      <c r="T989" s="6">
        <v>337.41037543839701</v>
      </c>
    </row>
    <row r="990" spans="1:20" ht="13" x14ac:dyDescent="0.15">
      <c r="A990" s="6">
        <v>988</v>
      </c>
      <c r="B990" s="7">
        <v>44593</v>
      </c>
      <c r="C990" s="6">
        <v>320.57172827194597</v>
      </c>
      <c r="D990" s="6">
        <v>304.56036173524899</v>
      </c>
      <c r="E990" s="6">
        <v>369.44059492790097</v>
      </c>
      <c r="F990" s="6">
        <v>320.57172827194597</v>
      </c>
      <c r="G990" s="6">
        <v>320.57172827194597</v>
      </c>
      <c r="H990" s="6">
        <v>16.578830136782901</v>
      </c>
      <c r="I990" s="6">
        <v>16.578830136782901</v>
      </c>
      <c r="J990" s="6">
        <v>16.578830136782901</v>
      </c>
      <c r="K990" s="6">
        <v>0.84522403106472999</v>
      </c>
      <c r="L990" s="6">
        <v>0.84522403106472999</v>
      </c>
      <c r="M990" s="6">
        <v>0.84522403106472999</v>
      </c>
      <c r="N990" s="6">
        <v>15.733606105718099</v>
      </c>
      <c r="O990" s="6">
        <v>15.733606105718099</v>
      </c>
      <c r="P990" s="6">
        <v>15.733606105718099</v>
      </c>
      <c r="Q990" s="6">
        <v>0</v>
      </c>
      <c r="R990" s="6">
        <v>0</v>
      </c>
      <c r="S990" s="6">
        <v>0</v>
      </c>
      <c r="T990" s="6">
        <v>337.15055840872799</v>
      </c>
    </row>
    <row r="991" spans="1:20" ht="13" x14ac:dyDescent="0.15">
      <c r="A991" s="6">
        <v>989</v>
      </c>
      <c r="B991" s="7">
        <v>44594</v>
      </c>
      <c r="C991" s="6">
        <v>320.57507582699799</v>
      </c>
      <c r="D991" s="6">
        <v>306.78287613288097</v>
      </c>
      <c r="E991" s="6">
        <v>368.43925658808899</v>
      </c>
      <c r="F991" s="6">
        <v>320.57507582699799</v>
      </c>
      <c r="G991" s="6">
        <v>320.57507582699799</v>
      </c>
      <c r="H991" s="6">
        <v>17.4517290389824</v>
      </c>
      <c r="I991" s="6">
        <v>17.4517290389824</v>
      </c>
      <c r="J991" s="6">
        <v>17.4517290389824</v>
      </c>
      <c r="K991" s="6">
        <v>0.94874688043827904</v>
      </c>
      <c r="L991" s="6">
        <v>0.94874688043827904</v>
      </c>
      <c r="M991" s="6">
        <v>0.94874688043827904</v>
      </c>
      <c r="N991" s="6">
        <v>16.502982158544199</v>
      </c>
      <c r="O991" s="6">
        <v>16.502982158544199</v>
      </c>
      <c r="P991" s="6">
        <v>16.502982158544199</v>
      </c>
      <c r="Q991" s="6">
        <v>0</v>
      </c>
      <c r="R991" s="6">
        <v>0</v>
      </c>
      <c r="S991" s="6">
        <v>0</v>
      </c>
      <c r="T991" s="6">
        <v>338.02680486598001</v>
      </c>
    </row>
    <row r="992" spans="1:20" ht="13" x14ac:dyDescent="0.15">
      <c r="A992" s="6">
        <v>990</v>
      </c>
      <c r="B992" s="7">
        <v>44595</v>
      </c>
      <c r="C992" s="6">
        <v>320.57842338205</v>
      </c>
      <c r="D992" s="6">
        <v>306.66036558489401</v>
      </c>
      <c r="E992" s="6">
        <v>369.60647726687398</v>
      </c>
      <c r="F992" s="6">
        <v>320.57842338205</v>
      </c>
      <c r="G992" s="6">
        <v>320.57842338205</v>
      </c>
      <c r="H992" s="6">
        <v>17.798183201985101</v>
      </c>
      <c r="I992" s="6">
        <v>17.798183201985101</v>
      </c>
      <c r="J992" s="6">
        <v>17.798183201985101</v>
      </c>
      <c r="K992" s="6">
        <v>0.49015521355925501</v>
      </c>
      <c r="L992" s="6">
        <v>0.49015521355925501</v>
      </c>
      <c r="M992" s="6">
        <v>0.49015521355925501</v>
      </c>
      <c r="N992" s="6">
        <v>17.308027988425799</v>
      </c>
      <c r="O992" s="6">
        <v>17.308027988425799</v>
      </c>
      <c r="P992" s="6">
        <v>17.308027988425799</v>
      </c>
      <c r="Q992" s="6">
        <v>0</v>
      </c>
      <c r="R992" s="6">
        <v>0</v>
      </c>
      <c r="S992" s="6">
        <v>0</v>
      </c>
      <c r="T992" s="6">
        <v>338.37660658403502</v>
      </c>
    </row>
    <row r="993" spans="1:20" ht="13" x14ac:dyDescent="0.15">
      <c r="A993" s="6">
        <v>991</v>
      </c>
      <c r="B993" s="7">
        <v>44596</v>
      </c>
      <c r="C993" s="6">
        <v>320.58177093710202</v>
      </c>
      <c r="D993" s="6">
        <v>309.00059628173898</v>
      </c>
      <c r="E993" s="6">
        <v>370.07976068286899</v>
      </c>
      <c r="F993" s="6">
        <v>320.58177093710202</v>
      </c>
      <c r="G993" s="6">
        <v>320.58177093710202</v>
      </c>
      <c r="H993" s="6">
        <v>18.1041268804269</v>
      </c>
      <c r="I993" s="6">
        <v>18.1041268804269</v>
      </c>
      <c r="J993" s="6">
        <v>18.1041268804269</v>
      </c>
      <c r="K993" s="6">
        <v>-2.2976765060481699E-2</v>
      </c>
      <c r="L993" s="6">
        <v>-2.2976765060481699E-2</v>
      </c>
      <c r="M993" s="6">
        <v>-2.2976765060481699E-2</v>
      </c>
      <c r="N993" s="6">
        <v>18.127103645487399</v>
      </c>
      <c r="O993" s="6">
        <v>18.127103645487399</v>
      </c>
      <c r="P993" s="6">
        <v>18.127103645487399</v>
      </c>
      <c r="Q993" s="6">
        <v>0</v>
      </c>
      <c r="R993" s="6">
        <v>0</v>
      </c>
      <c r="S993" s="6">
        <v>0</v>
      </c>
      <c r="T993" s="6">
        <v>338.685897817529</v>
      </c>
    </row>
    <row r="994" spans="1:20" ht="13" x14ac:dyDescent="0.15">
      <c r="A994" s="6">
        <v>992</v>
      </c>
      <c r="B994" s="7">
        <v>44599</v>
      </c>
      <c r="C994" s="6">
        <v>320.59181360225898</v>
      </c>
      <c r="D994" s="6">
        <v>311.93233220303699</v>
      </c>
      <c r="E994" s="6">
        <v>375.75905492465898</v>
      </c>
      <c r="F994" s="6">
        <v>320.59181360225898</v>
      </c>
      <c r="G994" s="6">
        <v>320.59181360225898</v>
      </c>
      <c r="H994" s="6">
        <v>22.250648125691701</v>
      </c>
      <c r="I994" s="6">
        <v>22.250648125691701</v>
      </c>
      <c r="J994" s="6">
        <v>22.250648125691701</v>
      </c>
      <c r="K994" s="6">
        <v>1.8228906089339301</v>
      </c>
      <c r="L994" s="6">
        <v>1.8228906089339301</v>
      </c>
      <c r="M994" s="6">
        <v>1.8228906089339301</v>
      </c>
      <c r="N994" s="6">
        <v>20.427757516757801</v>
      </c>
      <c r="O994" s="6">
        <v>20.427757516757801</v>
      </c>
      <c r="P994" s="6">
        <v>20.427757516757801</v>
      </c>
      <c r="Q994" s="6">
        <v>0</v>
      </c>
      <c r="R994" s="6">
        <v>0</v>
      </c>
      <c r="S994" s="6">
        <v>0</v>
      </c>
      <c r="T994" s="6">
        <v>342.84246172795002</v>
      </c>
    </row>
    <row r="995" spans="1:20" ht="13" x14ac:dyDescent="0.15">
      <c r="A995" s="6">
        <v>993</v>
      </c>
      <c r="B995" s="7">
        <v>44600</v>
      </c>
      <c r="C995" s="6">
        <v>320.595161157311</v>
      </c>
      <c r="D995" s="6">
        <v>308.875754925438</v>
      </c>
      <c r="E995" s="6">
        <v>372.41457765421501</v>
      </c>
      <c r="F995" s="6">
        <v>320.595161157311</v>
      </c>
      <c r="G995" s="6">
        <v>320.595161157311</v>
      </c>
      <c r="H995" s="6">
        <v>21.9038498192308</v>
      </c>
      <c r="I995" s="6">
        <v>21.9038498192308</v>
      </c>
      <c r="J995" s="6">
        <v>21.9038498192308</v>
      </c>
      <c r="K995" s="6">
        <v>0.84522403106408495</v>
      </c>
      <c r="L995" s="6">
        <v>0.84522403106408495</v>
      </c>
      <c r="M995" s="6">
        <v>0.84522403106408495</v>
      </c>
      <c r="N995" s="6">
        <v>21.058625788166701</v>
      </c>
      <c r="O995" s="6">
        <v>21.058625788166701</v>
      </c>
      <c r="P995" s="6">
        <v>21.058625788166701</v>
      </c>
      <c r="Q995" s="6">
        <v>0</v>
      </c>
      <c r="R995" s="6">
        <v>0</v>
      </c>
      <c r="S995" s="6">
        <v>0</v>
      </c>
      <c r="T995" s="6">
        <v>342.49901097654202</v>
      </c>
    </row>
    <row r="996" spans="1:20" ht="13" x14ac:dyDescent="0.15">
      <c r="A996" s="6">
        <v>994</v>
      </c>
      <c r="B996" s="7">
        <v>44601</v>
      </c>
      <c r="C996" s="6">
        <v>320.59850871236301</v>
      </c>
      <c r="D996" s="6">
        <v>310.08243571777098</v>
      </c>
      <c r="E996" s="6">
        <v>375.12434406236702</v>
      </c>
      <c r="F996" s="6">
        <v>320.59850871236301</v>
      </c>
      <c r="G996" s="6">
        <v>320.59850871236301</v>
      </c>
      <c r="H996" s="6">
        <v>22.5289379108488</v>
      </c>
      <c r="I996" s="6">
        <v>22.5289379108488</v>
      </c>
      <c r="J996" s="6">
        <v>22.5289379108488</v>
      </c>
      <c r="K996" s="6">
        <v>0.948746880440128</v>
      </c>
      <c r="L996" s="6">
        <v>0.948746880440128</v>
      </c>
      <c r="M996" s="6">
        <v>0.948746880440128</v>
      </c>
      <c r="N996" s="6">
        <v>21.580191030408699</v>
      </c>
      <c r="O996" s="6">
        <v>21.580191030408699</v>
      </c>
      <c r="P996" s="6">
        <v>21.580191030408699</v>
      </c>
      <c r="Q996" s="6">
        <v>0</v>
      </c>
      <c r="R996" s="6">
        <v>0</v>
      </c>
      <c r="S996" s="6">
        <v>0</v>
      </c>
      <c r="T996" s="6">
        <v>343.12744662321199</v>
      </c>
    </row>
    <row r="997" spans="1:20" ht="13" x14ac:dyDescent="0.15">
      <c r="A997" s="6">
        <v>995</v>
      </c>
      <c r="B997" s="7">
        <v>44602</v>
      </c>
      <c r="C997" s="6">
        <v>320.60185626741497</v>
      </c>
      <c r="D997" s="6">
        <v>309.847490952388</v>
      </c>
      <c r="E997" s="6">
        <v>376.37342898590299</v>
      </c>
      <c r="F997" s="6">
        <v>320.60185626741497</v>
      </c>
      <c r="G997" s="6">
        <v>320.60185626741497</v>
      </c>
      <c r="H997" s="6">
        <v>22.4596573147521</v>
      </c>
      <c r="I997" s="6">
        <v>22.4596573147521</v>
      </c>
      <c r="J997" s="6">
        <v>22.4596573147521</v>
      </c>
      <c r="K997" s="6">
        <v>0.490155213554959</v>
      </c>
      <c r="L997" s="6">
        <v>0.490155213554959</v>
      </c>
      <c r="M997" s="6">
        <v>0.490155213554959</v>
      </c>
      <c r="N997" s="6">
        <v>21.969502101197101</v>
      </c>
      <c r="O997" s="6">
        <v>21.969502101197101</v>
      </c>
      <c r="P997" s="6">
        <v>21.969502101197101</v>
      </c>
      <c r="Q997" s="6">
        <v>0</v>
      </c>
      <c r="R997" s="6">
        <v>0</v>
      </c>
      <c r="S997" s="6">
        <v>0</v>
      </c>
      <c r="T997" s="6">
        <v>343.06151358216698</v>
      </c>
    </row>
    <row r="998" spans="1:20" ht="13" x14ac:dyDescent="0.15">
      <c r="A998" s="6">
        <v>996</v>
      </c>
      <c r="B998" s="7">
        <v>44603</v>
      </c>
      <c r="C998" s="6">
        <v>320.60520382246699</v>
      </c>
      <c r="D998" s="6">
        <v>309.43269052191198</v>
      </c>
      <c r="E998" s="6">
        <v>373.735319566138</v>
      </c>
      <c r="F998" s="6">
        <v>320.60520382246699</v>
      </c>
      <c r="G998" s="6">
        <v>320.60520382246699</v>
      </c>
      <c r="H998" s="6">
        <v>22.182780308968699</v>
      </c>
      <c r="I998" s="6">
        <v>22.182780308968699</v>
      </c>
      <c r="J998" s="6">
        <v>22.182780308968699</v>
      </c>
      <c r="K998" s="6">
        <v>-2.2976765063093901E-2</v>
      </c>
      <c r="L998" s="6">
        <v>-2.2976765063093901E-2</v>
      </c>
      <c r="M998" s="6">
        <v>-2.2976765063093901E-2</v>
      </c>
      <c r="N998" s="6">
        <v>22.205757074031801</v>
      </c>
      <c r="O998" s="6">
        <v>22.205757074031801</v>
      </c>
      <c r="P998" s="6">
        <v>22.205757074031801</v>
      </c>
      <c r="Q998" s="6">
        <v>0</v>
      </c>
      <c r="R998" s="6">
        <v>0</v>
      </c>
      <c r="S998" s="6">
        <v>0</v>
      </c>
      <c r="T998" s="6">
        <v>342.78798413143602</v>
      </c>
    </row>
    <row r="999" spans="1:20" ht="13" x14ac:dyDescent="0.15">
      <c r="A999" s="6">
        <v>997</v>
      </c>
      <c r="B999" s="7">
        <v>44606</v>
      </c>
      <c r="C999" s="6">
        <v>320.61524648762401</v>
      </c>
      <c r="D999" s="6">
        <v>311.200577567962</v>
      </c>
      <c r="E999" s="6">
        <v>376.95059168614</v>
      </c>
      <c r="F999" s="6">
        <v>320.61524648762401</v>
      </c>
      <c r="G999" s="6">
        <v>320.61524648762401</v>
      </c>
      <c r="H999" s="6">
        <v>23.6555560779993</v>
      </c>
      <c r="I999" s="6">
        <v>23.6555560779993</v>
      </c>
      <c r="J999" s="6">
        <v>23.6555560779993</v>
      </c>
      <c r="K999" s="6">
        <v>1.82289060893564</v>
      </c>
      <c r="L999" s="6">
        <v>1.82289060893564</v>
      </c>
      <c r="M999" s="6">
        <v>1.82289060893564</v>
      </c>
      <c r="N999" s="6">
        <v>21.832665469063699</v>
      </c>
      <c r="O999" s="6">
        <v>21.832665469063699</v>
      </c>
      <c r="P999" s="6">
        <v>21.832665469063699</v>
      </c>
      <c r="Q999" s="6">
        <v>0</v>
      </c>
      <c r="R999" s="6">
        <v>0</v>
      </c>
      <c r="S999" s="6">
        <v>0</v>
      </c>
      <c r="T999" s="6">
        <v>344.270802565623</v>
      </c>
    </row>
    <row r="1000" spans="1:20" ht="13" x14ac:dyDescent="0.15">
      <c r="A1000" s="6">
        <v>998</v>
      </c>
      <c r="B1000" s="7">
        <v>44607</v>
      </c>
      <c r="C1000" s="6">
        <v>320.61859404267602</v>
      </c>
      <c r="D1000" s="6">
        <v>311.91377703804199</v>
      </c>
      <c r="E1000" s="6">
        <v>375.44627812646098</v>
      </c>
      <c r="F1000" s="6">
        <v>320.61859404267602</v>
      </c>
      <c r="G1000" s="6">
        <v>320.61859404267602</v>
      </c>
      <c r="H1000" s="6">
        <v>22.156622438929599</v>
      </c>
      <c r="I1000" s="6">
        <v>22.156622438929599</v>
      </c>
      <c r="J1000" s="6">
        <v>22.156622438929599</v>
      </c>
      <c r="K1000" s="6">
        <v>0.84522403106801103</v>
      </c>
      <c r="L1000" s="6">
        <v>0.84522403106801103</v>
      </c>
      <c r="M1000" s="6">
        <v>0.84522403106801103</v>
      </c>
      <c r="N1000" s="6">
        <v>21.311398407861599</v>
      </c>
      <c r="O1000" s="6">
        <v>21.311398407861599</v>
      </c>
      <c r="P1000" s="6">
        <v>21.311398407861599</v>
      </c>
      <c r="Q1000" s="6">
        <v>0</v>
      </c>
      <c r="R1000" s="6">
        <v>0</v>
      </c>
      <c r="S1000" s="6">
        <v>0</v>
      </c>
      <c r="T1000" s="6">
        <v>342.77521648160598</v>
      </c>
    </row>
    <row r="1001" spans="1:20" ht="13" x14ac:dyDescent="0.15">
      <c r="A1001" s="6">
        <v>999</v>
      </c>
      <c r="B1001" s="7">
        <v>44608</v>
      </c>
      <c r="C1001" s="6">
        <v>320.62194159772798</v>
      </c>
      <c r="D1001" s="6">
        <v>310.805945337862</v>
      </c>
      <c r="E1001" s="6">
        <v>370.92534409457198</v>
      </c>
      <c r="F1001" s="6">
        <v>320.62194159772798</v>
      </c>
      <c r="G1001" s="6">
        <v>320.62194159772798</v>
      </c>
      <c r="H1001" s="6">
        <v>21.532661205515701</v>
      </c>
      <c r="I1001" s="6">
        <v>21.532661205515701</v>
      </c>
      <c r="J1001" s="6">
        <v>21.532661205515701</v>
      </c>
      <c r="K1001" s="6">
        <v>0.94874688043661803</v>
      </c>
      <c r="L1001" s="6">
        <v>0.94874688043661803</v>
      </c>
      <c r="M1001" s="6">
        <v>0.94874688043661803</v>
      </c>
      <c r="N1001" s="6">
        <v>20.5839143250791</v>
      </c>
      <c r="O1001" s="6">
        <v>20.5839143250791</v>
      </c>
      <c r="P1001" s="6">
        <v>20.5839143250791</v>
      </c>
      <c r="Q1001" s="6">
        <v>0</v>
      </c>
      <c r="R1001" s="6">
        <v>0</v>
      </c>
      <c r="S1001" s="6">
        <v>0</v>
      </c>
      <c r="T1001" s="6">
        <v>342.15460280324402</v>
      </c>
    </row>
    <row r="1002" spans="1:20" ht="13" x14ac:dyDescent="0.15">
      <c r="A1002" s="6">
        <v>1000</v>
      </c>
      <c r="B1002" s="7">
        <v>44609</v>
      </c>
      <c r="C1002" s="6">
        <v>320.62528915278102</v>
      </c>
      <c r="D1002" s="6">
        <v>308.49881336812302</v>
      </c>
      <c r="E1002" s="6">
        <v>372.74806731363498</v>
      </c>
      <c r="F1002" s="6">
        <v>320.62528915278102</v>
      </c>
      <c r="G1002" s="6">
        <v>320.62528915278102</v>
      </c>
      <c r="H1002" s="6">
        <v>20.1424005470864</v>
      </c>
      <c r="I1002" s="6">
        <v>20.1424005470864</v>
      </c>
      <c r="J1002" s="6">
        <v>20.1424005470864</v>
      </c>
      <c r="K1002" s="6">
        <v>0.49015521356015501</v>
      </c>
      <c r="L1002" s="6">
        <v>0.49015521356015501</v>
      </c>
      <c r="M1002" s="6">
        <v>0.49015521356015501</v>
      </c>
      <c r="N1002" s="6">
        <v>19.652245333526199</v>
      </c>
      <c r="O1002" s="6">
        <v>19.652245333526199</v>
      </c>
      <c r="P1002" s="6">
        <v>19.652245333526199</v>
      </c>
      <c r="Q1002" s="6">
        <v>0</v>
      </c>
      <c r="R1002" s="6">
        <v>0</v>
      </c>
      <c r="S1002" s="6">
        <v>0</v>
      </c>
      <c r="T1002" s="6">
        <v>340.76768969986699</v>
      </c>
    </row>
    <row r="1003" spans="1:20" ht="13" x14ac:dyDescent="0.15">
      <c r="A1003" s="6">
        <v>1001</v>
      </c>
      <c r="B1003" s="7">
        <v>44610</v>
      </c>
      <c r="C1003" s="6">
        <v>320.62863670783298</v>
      </c>
      <c r="D1003" s="6">
        <v>306.17649449116698</v>
      </c>
      <c r="E1003" s="6">
        <v>369.28228896900299</v>
      </c>
      <c r="F1003" s="6">
        <v>320.62863670783298</v>
      </c>
      <c r="G1003" s="6">
        <v>320.62863670783298</v>
      </c>
      <c r="H1003" s="6">
        <v>18.500006060574801</v>
      </c>
      <c r="I1003" s="6">
        <v>18.500006060574801</v>
      </c>
      <c r="J1003" s="6">
        <v>18.500006060574801</v>
      </c>
      <c r="K1003" s="6">
        <v>-2.2976765061147399E-2</v>
      </c>
      <c r="L1003" s="6">
        <v>-2.2976765061147399E-2</v>
      </c>
      <c r="M1003" s="6">
        <v>-2.2976765061147399E-2</v>
      </c>
      <c r="N1003" s="6">
        <v>18.5229828256359</v>
      </c>
      <c r="O1003" s="6">
        <v>18.5229828256359</v>
      </c>
      <c r="P1003" s="6">
        <v>18.5229828256359</v>
      </c>
      <c r="Q1003" s="6">
        <v>0</v>
      </c>
      <c r="R1003" s="6">
        <v>0</v>
      </c>
      <c r="S1003" s="6">
        <v>0</v>
      </c>
      <c r="T1003" s="6">
        <v>339.12864276840799</v>
      </c>
    </row>
    <row r="1004" spans="1:20" ht="13" x14ac:dyDescent="0.15">
      <c r="A1004" s="6">
        <v>1002</v>
      </c>
      <c r="B1004" s="7">
        <v>44614</v>
      </c>
      <c r="C1004" s="6">
        <v>320.64202692804201</v>
      </c>
      <c r="D1004" s="6">
        <v>302.009192715018</v>
      </c>
      <c r="E1004" s="6">
        <v>366.70197674967199</v>
      </c>
      <c r="F1004" s="6">
        <v>320.64202692804201</v>
      </c>
      <c r="G1004" s="6">
        <v>320.64202692804201</v>
      </c>
      <c r="H1004" s="6">
        <v>13.158639511218601</v>
      </c>
      <c r="I1004" s="6">
        <v>13.158639511218601</v>
      </c>
      <c r="J1004" s="6">
        <v>13.158639511218601</v>
      </c>
      <c r="K1004" s="6">
        <v>0.84522403106736499</v>
      </c>
      <c r="L1004" s="6">
        <v>0.84522403106736499</v>
      </c>
      <c r="M1004" s="6">
        <v>0.84522403106736499</v>
      </c>
      <c r="N1004" s="6">
        <v>12.3134154801512</v>
      </c>
      <c r="O1004" s="6">
        <v>12.3134154801512</v>
      </c>
      <c r="P1004" s="6">
        <v>12.3134154801512</v>
      </c>
      <c r="Q1004" s="6">
        <v>0</v>
      </c>
      <c r="R1004" s="6">
        <v>0</v>
      </c>
      <c r="S1004" s="6">
        <v>0</v>
      </c>
      <c r="T1004" s="6">
        <v>333.80066643926</v>
      </c>
    </row>
    <row r="1005" spans="1:20" ht="13" x14ac:dyDescent="0.15">
      <c r="A1005" s="6">
        <v>1003</v>
      </c>
      <c r="B1005" s="7">
        <v>44615</v>
      </c>
      <c r="C1005" s="6">
        <v>320.64537448309397</v>
      </c>
      <c r="D1005" s="6">
        <v>299.58044443077398</v>
      </c>
      <c r="E1005" s="6">
        <v>366.43232301174999</v>
      </c>
      <c r="F1005" s="6">
        <v>320.64537448309397</v>
      </c>
      <c r="G1005" s="6">
        <v>320.64537448309397</v>
      </c>
      <c r="H1005" s="6">
        <v>11.391088656367099</v>
      </c>
      <c r="I1005" s="6">
        <v>11.391088656367099</v>
      </c>
      <c r="J1005" s="6">
        <v>11.391088656367099</v>
      </c>
      <c r="K1005" s="6">
        <v>0.948746880438467</v>
      </c>
      <c r="L1005" s="6">
        <v>0.948746880438467</v>
      </c>
      <c r="M1005" s="6">
        <v>0.948746880438467</v>
      </c>
      <c r="N1005" s="6">
        <v>10.4423417759287</v>
      </c>
      <c r="O1005" s="6">
        <v>10.4423417759287</v>
      </c>
      <c r="P1005" s="6">
        <v>10.4423417759287</v>
      </c>
      <c r="Q1005" s="6">
        <v>0</v>
      </c>
      <c r="R1005" s="6">
        <v>0</v>
      </c>
      <c r="S1005" s="6">
        <v>0</v>
      </c>
      <c r="T1005" s="6">
        <v>332.03646313946098</v>
      </c>
    </row>
    <row r="1006" spans="1:20" ht="13" x14ac:dyDescent="0.15">
      <c r="A1006" s="6">
        <v>1004</v>
      </c>
      <c r="B1006" s="7">
        <v>44616</v>
      </c>
      <c r="C1006" s="6">
        <v>320.64872203814599</v>
      </c>
      <c r="D1006" s="6">
        <v>298.42678402423797</v>
      </c>
      <c r="E1006" s="6">
        <v>363.27158980249698</v>
      </c>
      <c r="F1006" s="6">
        <v>320.64872203814599</v>
      </c>
      <c r="G1006" s="6">
        <v>320.64872203814599</v>
      </c>
      <c r="H1006" s="6">
        <v>8.9866231094567297</v>
      </c>
      <c r="I1006" s="6">
        <v>8.9866231094567297</v>
      </c>
      <c r="J1006" s="6">
        <v>8.9866231094567297</v>
      </c>
      <c r="K1006" s="6">
        <v>0.490155213557318</v>
      </c>
      <c r="L1006" s="6">
        <v>0.490155213557318</v>
      </c>
      <c r="M1006" s="6">
        <v>0.490155213557318</v>
      </c>
      <c r="N1006" s="6">
        <v>8.4964678958994195</v>
      </c>
      <c r="O1006" s="6">
        <v>8.4964678958994195</v>
      </c>
      <c r="P1006" s="6">
        <v>8.4964678958994195</v>
      </c>
      <c r="Q1006" s="6">
        <v>0</v>
      </c>
      <c r="R1006" s="6">
        <v>0</v>
      </c>
      <c r="S1006" s="6">
        <v>0</v>
      </c>
      <c r="T1006" s="6">
        <v>329.635345147603</v>
      </c>
    </row>
    <row r="1007" spans="1:20" ht="13" x14ac:dyDescent="0.15">
      <c r="A1007" s="6">
        <v>1005</v>
      </c>
      <c r="B1007" s="7">
        <v>44617</v>
      </c>
      <c r="C1007" s="6">
        <v>320.65206959319801</v>
      </c>
      <c r="D1007" s="6">
        <v>293.107067978489</v>
      </c>
      <c r="E1007" s="6">
        <v>359.73228844509498</v>
      </c>
      <c r="F1007" s="6">
        <v>320.65206959319801</v>
      </c>
      <c r="G1007" s="6">
        <v>320.65206959319801</v>
      </c>
      <c r="H1007" s="6">
        <v>6.4829898446615104</v>
      </c>
      <c r="I1007" s="6">
        <v>6.4829898446615104</v>
      </c>
      <c r="J1007" s="6">
        <v>6.4829898446615104</v>
      </c>
      <c r="K1007" s="6">
        <v>-2.2976765063759699E-2</v>
      </c>
      <c r="L1007" s="6">
        <v>-2.2976765063759699E-2</v>
      </c>
      <c r="M1007" s="6">
        <v>-2.2976765063759699E-2</v>
      </c>
      <c r="N1007" s="6">
        <v>6.5059666097252702</v>
      </c>
      <c r="O1007" s="6">
        <v>6.5059666097252702</v>
      </c>
      <c r="P1007" s="6">
        <v>6.5059666097252702</v>
      </c>
      <c r="Q1007" s="6">
        <v>0</v>
      </c>
      <c r="R1007" s="6">
        <v>0</v>
      </c>
      <c r="S1007" s="6">
        <v>0</v>
      </c>
      <c r="T1007" s="6">
        <v>327.13505943785998</v>
      </c>
    </row>
    <row r="1008" spans="1:20" ht="13" x14ac:dyDescent="0.15">
      <c r="A1008" s="6">
        <v>1006</v>
      </c>
      <c r="B1008" s="7">
        <v>44620</v>
      </c>
      <c r="C1008" s="6">
        <v>319.283642605458</v>
      </c>
      <c r="D1008" s="6">
        <v>287.55227879947398</v>
      </c>
      <c r="E1008" s="6">
        <v>353.88537704753202</v>
      </c>
      <c r="F1008" s="6">
        <v>319.283642605458</v>
      </c>
      <c r="G1008" s="6">
        <v>319.283642605458</v>
      </c>
      <c r="H1008" s="6">
        <v>2.40396957665559</v>
      </c>
      <c r="I1008" s="6">
        <v>2.40396957665559</v>
      </c>
      <c r="J1008" s="6">
        <v>2.40396957665559</v>
      </c>
      <c r="K1008" s="6">
        <v>1.8228906089390799</v>
      </c>
      <c r="L1008" s="6">
        <v>1.8228906089390799</v>
      </c>
      <c r="M1008" s="6">
        <v>1.8228906089390799</v>
      </c>
      <c r="N1008" s="6">
        <v>0.58107896771651002</v>
      </c>
      <c r="O1008" s="6">
        <v>0.58107896771651002</v>
      </c>
      <c r="P1008" s="6">
        <v>0.58107896771651002</v>
      </c>
      <c r="Q1008" s="6">
        <v>0</v>
      </c>
      <c r="R1008" s="6">
        <v>0</v>
      </c>
      <c r="S1008" s="6">
        <v>0</v>
      </c>
      <c r="T1008" s="6">
        <v>321.68761218211398</v>
      </c>
    </row>
    <row r="1009" spans="1:20" ht="13" x14ac:dyDescent="0.15">
      <c r="A1009" s="6">
        <v>1007</v>
      </c>
      <c r="B1009" s="7">
        <v>44621</v>
      </c>
      <c r="C1009" s="6">
        <v>318.82750027621199</v>
      </c>
      <c r="D1009" s="6">
        <v>285.27338149342103</v>
      </c>
      <c r="E1009" s="6">
        <v>353.74130581918399</v>
      </c>
      <c r="F1009" s="6">
        <v>318.82750027621199</v>
      </c>
      <c r="G1009" s="6">
        <v>318.82750027621199</v>
      </c>
      <c r="H1009" s="6">
        <v>-0.42913597872334303</v>
      </c>
      <c r="I1009" s="6">
        <v>-0.42913597872334303</v>
      </c>
      <c r="J1009" s="6">
        <v>-0.42913597872334303</v>
      </c>
      <c r="K1009" s="6">
        <v>0.84522403106590804</v>
      </c>
      <c r="L1009" s="6">
        <v>0.84522403106590804</v>
      </c>
      <c r="M1009" s="6">
        <v>0.84522403106590804</v>
      </c>
      <c r="N1009" s="6">
        <v>-1.27436000978925</v>
      </c>
      <c r="O1009" s="6">
        <v>-1.27436000978925</v>
      </c>
      <c r="P1009" s="6">
        <v>-1.27436000978925</v>
      </c>
      <c r="Q1009" s="6">
        <v>0</v>
      </c>
      <c r="R1009" s="6">
        <v>0</v>
      </c>
      <c r="S1009" s="6">
        <v>0</v>
      </c>
      <c r="T1009" s="6">
        <v>318.398364297488</v>
      </c>
    </row>
    <row r="1010" spans="1:20" ht="13" x14ac:dyDescent="0.15">
      <c r="A1010" s="6">
        <v>1008</v>
      </c>
      <c r="B1010" s="7">
        <v>44622</v>
      </c>
      <c r="C1010" s="6">
        <v>318.37135794696502</v>
      </c>
      <c r="D1010" s="6">
        <v>286.57752314509003</v>
      </c>
      <c r="E1010" s="6">
        <v>347.29463801734602</v>
      </c>
      <c r="F1010" s="6">
        <v>318.37135794696502</v>
      </c>
      <c r="G1010" s="6">
        <v>318.37135794696502</v>
      </c>
      <c r="H1010" s="6">
        <v>-2.0721771066644901</v>
      </c>
      <c r="I1010" s="6">
        <v>-2.0721771066644901</v>
      </c>
      <c r="J1010" s="6">
        <v>-2.0721771066644901</v>
      </c>
      <c r="K1010" s="6">
        <v>0.948746880437637</v>
      </c>
      <c r="L1010" s="6">
        <v>0.948746880437637</v>
      </c>
      <c r="M1010" s="6">
        <v>0.948746880437637</v>
      </c>
      <c r="N1010" s="6">
        <v>-3.0209239871021301</v>
      </c>
      <c r="O1010" s="6">
        <v>-3.0209239871021301</v>
      </c>
      <c r="P1010" s="6">
        <v>-3.0209239871021301</v>
      </c>
      <c r="Q1010" s="6">
        <v>0</v>
      </c>
      <c r="R1010" s="6">
        <v>0</v>
      </c>
      <c r="S1010" s="6">
        <v>0</v>
      </c>
      <c r="T1010" s="6">
        <v>316.29918084029998</v>
      </c>
    </row>
    <row r="1011" spans="1:20" ht="13" x14ac:dyDescent="0.15">
      <c r="A1011" s="6">
        <v>1009</v>
      </c>
      <c r="B1011" s="7">
        <v>44623</v>
      </c>
      <c r="C1011" s="6">
        <v>317.91521561771799</v>
      </c>
      <c r="D1011" s="6">
        <v>283.985983831922</v>
      </c>
      <c r="E1011" s="6">
        <v>345.19628821872601</v>
      </c>
      <c r="F1011" s="6">
        <v>317.91521561771799</v>
      </c>
      <c r="G1011" s="6">
        <v>317.91521561771799</v>
      </c>
      <c r="H1011" s="6">
        <v>-4.1421130400367003</v>
      </c>
      <c r="I1011" s="6">
        <v>-4.1421130400367003</v>
      </c>
      <c r="J1011" s="6">
        <v>-4.1421130400367003</v>
      </c>
      <c r="K1011" s="6">
        <v>0.490155213557039</v>
      </c>
      <c r="L1011" s="6">
        <v>0.490155213557039</v>
      </c>
      <c r="M1011" s="6">
        <v>0.490155213557039</v>
      </c>
      <c r="N1011" s="6">
        <v>-4.6322682535937396</v>
      </c>
      <c r="O1011" s="6">
        <v>-4.6322682535937396</v>
      </c>
      <c r="P1011" s="6">
        <v>-4.6322682535937396</v>
      </c>
      <c r="Q1011" s="6">
        <v>0</v>
      </c>
      <c r="R1011" s="6">
        <v>0</v>
      </c>
      <c r="S1011" s="6">
        <v>0</v>
      </c>
      <c r="T1011" s="6">
        <v>313.77310257768102</v>
      </c>
    </row>
    <row r="1012" spans="1:20" ht="13" x14ac:dyDescent="0.15">
      <c r="A1012" s="6">
        <v>1010</v>
      </c>
      <c r="B1012" s="7">
        <v>44624</v>
      </c>
      <c r="C1012" s="6">
        <v>317.45907328847198</v>
      </c>
      <c r="D1012" s="6">
        <v>279.59091831800998</v>
      </c>
      <c r="E1012" s="6">
        <v>343.12744026227398</v>
      </c>
      <c r="F1012" s="6">
        <v>317.45907328847198</v>
      </c>
      <c r="G1012" s="6">
        <v>317.45907328847198</v>
      </c>
      <c r="H1012" s="6">
        <v>-6.1079368117078703</v>
      </c>
      <c r="I1012" s="6">
        <v>-6.1079368117078703</v>
      </c>
      <c r="J1012" s="6">
        <v>-6.1079368117078703</v>
      </c>
      <c r="K1012" s="6">
        <v>-2.2976765061813401E-2</v>
      </c>
      <c r="L1012" s="6">
        <v>-2.2976765061813401E-2</v>
      </c>
      <c r="M1012" s="6">
        <v>-2.2976765061813401E-2</v>
      </c>
      <c r="N1012" s="6">
        <v>-6.0849600466460601</v>
      </c>
      <c r="O1012" s="6">
        <v>-6.0849600466460601</v>
      </c>
      <c r="P1012" s="6">
        <v>-6.0849600466460601</v>
      </c>
      <c r="Q1012" s="6">
        <v>0</v>
      </c>
      <c r="R1012" s="6">
        <v>0</v>
      </c>
      <c r="S1012" s="6">
        <v>0</v>
      </c>
      <c r="T1012" s="6">
        <v>311.351136476764</v>
      </c>
    </row>
    <row r="1013" spans="1:20" ht="13" x14ac:dyDescent="0.15">
      <c r="A1013" s="6">
        <v>1011</v>
      </c>
      <c r="B1013" s="7">
        <v>44627</v>
      </c>
      <c r="C1013" s="6">
        <v>316.09064630073101</v>
      </c>
      <c r="D1013" s="6">
        <v>275.57973377931899</v>
      </c>
      <c r="E1013" s="6">
        <v>342.41396384526303</v>
      </c>
      <c r="F1013" s="6">
        <v>316.09064630073101</v>
      </c>
      <c r="G1013" s="6">
        <v>316.09064630073101</v>
      </c>
      <c r="H1013" s="6">
        <v>-7.4873329033349201</v>
      </c>
      <c r="I1013" s="6">
        <v>-7.4873329033349201</v>
      </c>
      <c r="J1013" s="6">
        <v>-7.4873329033349201</v>
      </c>
      <c r="K1013" s="6">
        <v>1.82289060893958</v>
      </c>
      <c r="L1013" s="6">
        <v>1.82289060893958</v>
      </c>
      <c r="M1013" s="6">
        <v>1.82289060893958</v>
      </c>
      <c r="N1013" s="6">
        <v>-9.3102235122745007</v>
      </c>
      <c r="O1013" s="6">
        <v>-9.3102235122745007</v>
      </c>
      <c r="P1013" s="6">
        <v>-9.3102235122745007</v>
      </c>
      <c r="Q1013" s="6">
        <v>0</v>
      </c>
      <c r="R1013" s="6">
        <v>0</v>
      </c>
      <c r="S1013" s="6">
        <v>0</v>
      </c>
      <c r="T1013" s="6">
        <v>308.60331339739702</v>
      </c>
    </row>
    <row r="1014" spans="1:20" ht="13" x14ac:dyDescent="0.15">
      <c r="A1014" s="6">
        <v>1012</v>
      </c>
      <c r="B1014" s="7">
        <v>44628</v>
      </c>
      <c r="C1014" s="6">
        <v>315.634503971485</v>
      </c>
      <c r="D1014" s="6">
        <v>272.82942616308702</v>
      </c>
      <c r="E1014" s="6">
        <v>339.21409901183102</v>
      </c>
      <c r="F1014" s="6">
        <v>315.634503971485</v>
      </c>
      <c r="G1014" s="6">
        <v>315.634503971485</v>
      </c>
      <c r="H1014" s="6">
        <v>-9.1223591529006001</v>
      </c>
      <c r="I1014" s="6">
        <v>-9.1223591529006001</v>
      </c>
      <c r="J1014" s="6">
        <v>-9.1223591529006001</v>
      </c>
      <c r="K1014" s="6">
        <v>0.845224031065263</v>
      </c>
      <c r="L1014" s="6">
        <v>0.845224031065263</v>
      </c>
      <c r="M1014" s="6">
        <v>0.845224031065263</v>
      </c>
      <c r="N1014" s="6">
        <v>-9.9675831839658606</v>
      </c>
      <c r="O1014" s="6">
        <v>-9.9675831839658606</v>
      </c>
      <c r="P1014" s="6">
        <v>-9.9675831839658606</v>
      </c>
      <c r="Q1014" s="6">
        <v>0</v>
      </c>
      <c r="R1014" s="6">
        <v>0</v>
      </c>
      <c r="S1014" s="6">
        <v>0</v>
      </c>
      <c r="T1014" s="6">
        <v>306.51214481858398</v>
      </c>
    </row>
    <row r="1015" spans="1:20" ht="13" x14ac:dyDescent="0.15">
      <c r="A1015" s="6">
        <v>1013</v>
      </c>
      <c r="B1015" s="7">
        <v>44629</v>
      </c>
      <c r="C1015" s="6">
        <v>315.17836164223797</v>
      </c>
      <c r="D1015" s="6">
        <v>273.59862482031701</v>
      </c>
      <c r="E1015" s="6">
        <v>337.38006519730999</v>
      </c>
      <c r="F1015" s="6">
        <v>315.17836164223797</v>
      </c>
      <c r="G1015" s="6">
        <v>315.17836164223797</v>
      </c>
      <c r="H1015" s="6">
        <v>-9.4580521635514092</v>
      </c>
      <c r="I1015" s="6">
        <v>-9.4580521635514092</v>
      </c>
      <c r="J1015" s="6">
        <v>-9.4580521635514092</v>
      </c>
      <c r="K1015" s="6">
        <v>0.94874688043802002</v>
      </c>
      <c r="L1015" s="6">
        <v>0.94874688043802002</v>
      </c>
      <c r="M1015" s="6">
        <v>0.94874688043802002</v>
      </c>
      <c r="N1015" s="6">
        <v>-10.4067990439894</v>
      </c>
      <c r="O1015" s="6">
        <v>-10.4067990439894</v>
      </c>
      <c r="P1015" s="6">
        <v>-10.4067990439894</v>
      </c>
      <c r="Q1015" s="6">
        <v>0</v>
      </c>
      <c r="R1015" s="6">
        <v>0</v>
      </c>
      <c r="S1015" s="6">
        <v>0</v>
      </c>
      <c r="T1015" s="6">
        <v>305.720309478687</v>
      </c>
    </row>
    <row r="1016" spans="1:20" ht="13" x14ac:dyDescent="0.15">
      <c r="A1016" s="6">
        <v>1014</v>
      </c>
      <c r="B1016" s="7">
        <v>44630</v>
      </c>
      <c r="C1016" s="6">
        <v>314.722219312991</v>
      </c>
      <c r="D1016" s="6">
        <v>273.73896453739201</v>
      </c>
      <c r="E1016" s="6">
        <v>336.10678334107598</v>
      </c>
      <c r="F1016" s="6">
        <v>314.722219312991</v>
      </c>
      <c r="G1016" s="6">
        <v>314.722219312991</v>
      </c>
      <c r="H1016" s="6">
        <v>-10.1387284092188</v>
      </c>
      <c r="I1016" s="6">
        <v>-10.1387284092188</v>
      </c>
      <c r="J1016" s="6">
        <v>-10.1387284092188</v>
      </c>
      <c r="K1016" s="6">
        <v>0.49015521355821801</v>
      </c>
      <c r="L1016" s="6">
        <v>0.49015521355821801</v>
      </c>
      <c r="M1016" s="6">
        <v>0.49015521355821801</v>
      </c>
      <c r="N1016" s="6">
        <v>-10.628883622777</v>
      </c>
      <c r="O1016" s="6">
        <v>-10.628883622777</v>
      </c>
      <c r="P1016" s="6">
        <v>-10.628883622777</v>
      </c>
      <c r="Q1016" s="6">
        <v>0</v>
      </c>
      <c r="R1016" s="6">
        <v>0</v>
      </c>
      <c r="S1016" s="6">
        <v>0</v>
      </c>
      <c r="T1016" s="6">
        <v>304.583490903773</v>
      </c>
    </row>
    <row r="1017" spans="1:20" ht="13" x14ac:dyDescent="0.15">
      <c r="A1017" s="6">
        <v>1015</v>
      </c>
      <c r="B1017" s="7">
        <v>44631</v>
      </c>
      <c r="C1017" s="6">
        <v>314.26607698374499</v>
      </c>
      <c r="D1017" s="6">
        <v>271.58418052947201</v>
      </c>
      <c r="E1017" s="6">
        <v>337.16221682562701</v>
      </c>
      <c r="F1017" s="6">
        <v>314.26607698374499</v>
      </c>
      <c r="G1017" s="6">
        <v>314.26607698374499</v>
      </c>
      <c r="H1017" s="6">
        <v>-10.662083114916101</v>
      </c>
      <c r="I1017" s="6">
        <v>-10.662083114916101</v>
      </c>
      <c r="J1017" s="6">
        <v>-10.662083114916101</v>
      </c>
      <c r="K1017" s="6">
        <v>-2.29767650689837E-2</v>
      </c>
      <c r="L1017" s="6">
        <v>-2.29767650689837E-2</v>
      </c>
      <c r="M1017" s="6">
        <v>-2.29767650689837E-2</v>
      </c>
      <c r="N1017" s="6">
        <v>-10.639106349847101</v>
      </c>
      <c r="O1017" s="6">
        <v>-10.639106349847101</v>
      </c>
      <c r="P1017" s="6">
        <v>-10.639106349847101</v>
      </c>
      <c r="Q1017" s="6">
        <v>0</v>
      </c>
      <c r="R1017" s="6">
        <v>0</v>
      </c>
      <c r="S1017" s="6">
        <v>0</v>
      </c>
      <c r="T1017" s="6">
        <v>303.60399386882898</v>
      </c>
    </row>
    <row r="1018" spans="1:20" ht="13" x14ac:dyDescent="0.15">
      <c r="A1018" s="6">
        <v>1016</v>
      </c>
      <c r="B1018" s="7">
        <v>44634</v>
      </c>
      <c r="C1018" s="6">
        <v>312.89764999600499</v>
      </c>
      <c r="D1018" s="6">
        <v>275.58580724183201</v>
      </c>
      <c r="E1018" s="6">
        <v>337.05838822083399</v>
      </c>
      <c r="F1018" s="6">
        <v>312.89764999600499</v>
      </c>
      <c r="G1018" s="6">
        <v>312.89764999600499</v>
      </c>
      <c r="H1018" s="6">
        <v>-7.6867294317488204</v>
      </c>
      <c r="I1018" s="6">
        <v>-7.6867294317488204</v>
      </c>
      <c r="J1018" s="6">
        <v>-7.6867294317488204</v>
      </c>
      <c r="K1018" s="6">
        <v>1.8228906089333701</v>
      </c>
      <c r="L1018" s="6">
        <v>1.8228906089333701</v>
      </c>
      <c r="M1018" s="6">
        <v>1.8228906089333701</v>
      </c>
      <c r="N1018" s="6">
        <v>-9.50962004068219</v>
      </c>
      <c r="O1018" s="6">
        <v>-9.50962004068219</v>
      </c>
      <c r="P1018" s="6">
        <v>-9.50962004068219</v>
      </c>
      <c r="Q1018" s="6">
        <v>0</v>
      </c>
      <c r="R1018" s="6">
        <v>0</v>
      </c>
      <c r="S1018" s="6">
        <v>0</v>
      </c>
      <c r="T1018" s="6">
        <v>305.21092056425601</v>
      </c>
    </row>
    <row r="1019" spans="1:20" ht="13" x14ac:dyDescent="0.15">
      <c r="A1019" s="6">
        <v>1017</v>
      </c>
      <c r="B1019" s="7">
        <v>44635</v>
      </c>
      <c r="C1019" s="6">
        <v>312.44150766675801</v>
      </c>
      <c r="D1019" s="6">
        <v>272.02847452584803</v>
      </c>
      <c r="E1019" s="6">
        <v>336.987052466384</v>
      </c>
      <c r="F1019" s="6">
        <v>312.44150766675801</v>
      </c>
      <c r="G1019" s="6">
        <v>312.44150766675801</v>
      </c>
      <c r="H1019" s="6">
        <v>-7.9549550580361199</v>
      </c>
      <c r="I1019" s="6">
        <v>-7.9549550580361199</v>
      </c>
      <c r="J1019" s="6">
        <v>-7.9549550580361199</v>
      </c>
      <c r="K1019" s="6">
        <v>0.84522403106380595</v>
      </c>
      <c r="L1019" s="6">
        <v>0.84522403106380595</v>
      </c>
      <c r="M1019" s="6">
        <v>0.84522403106380595</v>
      </c>
      <c r="N1019" s="6">
        <v>-8.8001790890999292</v>
      </c>
      <c r="O1019" s="6">
        <v>-8.8001790890999292</v>
      </c>
      <c r="P1019" s="6">
        <v>-8.8001790890999292</v>
      </c>
      <c r="Q1019" s="6">
        <v>0</v>
      </c>
      <c r="R1019" s="6">
        <v>0</v>
      </c>
      <c r="S1019" s="6">
        <v>0</v>
      </c>
      <c r="T1019" s="6">
        <v>304.48655260872198</v>
      </c>
    </row>
    <row r="1020" spans="1:20" ht="13" x14ac:dyDescent="0.15">
      <c r="A1020" s="6">
        <v>1018</v>
      </c>
      <c r="B1020" s="7">
        <v>44636</v>
      </c>
      <c r="C1020" s="6">
        <v>311.98536533751098</v>
      </c>
      <c r="D1020" s="6">
        <v>273.843886378614</v>
      </c>
      <c r="E1020" s="6">
        <v>337.47522066624902</v>
      </c>
      <c r="F1020" s="6">
        <v>311.98536533751098</v>
      </c>
      <c r="G1020" s="6">
        <v>311.98536533751098</v>
      </c>
      <c r="H1020" s="6">
        <v>-7.0091087686400897</v>
      </c>
      <c r="I1020" s="6">
        <v>-7.0091087686400897</v>
      </c>
      <c r="J1020" s="6">
        <v>-7.0091087686400897</v>
      </c>
      <c r="K1020" s="6">
        <v>0.94874688043719002</v>
      </c>
      <c r="L1020" s="6">
        <v>0.94874688043719002</v>
      </c>
      <c r="M1020" s="6">
        <v>0.94874688043719002</v>
      </c>
      <c r="N1020" s="6">
        <v>-7.9578556490772696</v>
      </c>
      <c r="O1020" s="6">
        <v>-7.9578556490772696</v>
      </c>
      <c r="P1020" s="6">
        <v>-7.9578556490772696</v>
      </c>
      <c r="Q1020" s="6">
        <v>0</v>
      </c>
      <c r="R1020" s="6">
        <v>0</v>
      </c>
      <c r="S1020" s="6">
        <v>0</v>
      </c>
      <c r="T1020" s="6">
        <v>304.97625656887101</v>
      </c>
    </row>
    <row r="1021" spans="1:20" ht="13" x14ac:dyDescent="0.15">
      <c r="A1021" s="6">
        <v>1019</v>
      </c>
      <c r="B1021" s="7">
        <v>44637</v>
      </c>
      <c r="C1021" s="6">
        <v>311.52922300826498</v>
      </c>
      <c r="D1021" s="6">
        <v>272.80939542601698</v>
      </c>
      <c r="E1021" s="6">
        <v>337.63963908382698</v>
      </c>
      <c r="F1021" s="6">
        <v>311.52922300826498</v>
      </c>
      <c r="G1021" s="6">
        <v>311.52922300826498</v>
      </c>
      <c r="H1021" s="6">
        <v>-6.5155091501311899</v>
      </c>
      <c r="I1021" s="6">
        <v>-6.5155091501311899</v>
      </c>
      <c r="J1021" s="6">
        <v>-6.5155091501311899</v>
      </c>
      <c r="K1021" s="6">
        <v>0.49015521355939701</v>
      </c>
      <c r="L1021" s="6">
        <v>0.49015521355939701</v>
      </c>
      <c r="M1021" s="6">
        <v>0.49015521355939701</v>
      </c>
      <c r="N1021" s="6">
        <v>-7.00566436369059</v>
      </c>
      <c r="O1021" s="6">
        <v>-7.00566436369059</v>
      </c>
      <c r="P1021" s="6">
        <v>-7.00566436369059</v>
      </c>
      <c r="Q1021" s="6">
        <v>0</v>
      </c>
      <c r="R1021" s="6">
        <v>0</v>
      </c>
      <c r="S1021" s="6">
        <v>0</v>
      </c>
      <c r="T1021" s="6">
        <v>305.013713858134</v>
      </c>
    </row>
    <row r="1022" spans="1:20" ht="13" x14ac:dyDescent="0.15">
      <c r="A1022" s="6">
        <v>1020</v>
      </c>
      <c r="B1022" s="7">
        <v>44638</v>
      </c>
      <c r="C1022" s="6">
        <v>311.07308067901801</v>
      </c>
      <c r="D1022" s="6">
        <v>272.83823649726497</v>
      </c>
      <c r="E1022" s="6">
        <v>337.47267998050501</v>
      </c>
      <c r="F1022" s="6">
        <v>311.07308067901801</v>
      </c>
      <c r="G1022" s="6">
        <v>311.07308067901801</v>
      </c>
      <c r="H1022" s="6">
        <v>-5.9906645787642603</v>
      </c>
      <c r="I1022" s="6">
        <v>-5.9906645787642603</v>
      </c>
      <c r="J1022" s="6">
        <v>-5.9906645787642603</v>
      </c>
      <c r="K1022" s="6">
        <v>-2.29767650670375E-2</v>
      </c>
      <c r="L1022" s="6">
        <v>-2.29767650670375E-2</v>
      </c>
      <c r="M1022" s="6">
        <v>-2.29767650670375E-2</v>
      </c>
      <c r="N1022" s="6">
        <v>-5.9676878136972196</v>
      </c>
      <c r="O1022" s="6">
        <v>-5.9676878136972196</v>
      </c>
      <c r="P1022" s="6">
        <v>-5.9676878136972196</v>
      </c>
      <c r="Q1022" s="6">
        <v>0</v>
      </c>
      <c r="R1022" s="6">
        <v>0</v>
      </c>
      <c r="S1022" s="6">
        <v>0</v>
      </c>
      <c r="T1022" s="6">
        <v>305.08241610025402</v>
      </c>
    </row>
    <row r="1023" spans="1:20" ht="13" x14ac:dyDescent="0.15">
      <c r="A1023" s="6">
        <v>1021</v>
      </c>
      <c r="B1023" s="7">
        <v>44641</v>
      </c>
      <c r="C1023" s="6">
        <v>309.704653691278</v>
      </c>
      <c r="D1023" s="6">
        <v>277.48515009688799</v>
      </c>
      <c r="E1023" s="6">
        <v>341.25909223912799</v>
      </c>
      <c r="F1023" s="6">
        <v>309.704653691278</v>
      </c>
      <c r="G1023" s="6">
        <v>309.704653691278</v>
      </c>
      <c r="H1023" s="6">
        <v>-0.76013585639647996</v>
      </c>
      <c r="I1023" s="6">
        <v>-0.76013585639647996</v>
      </c>
      <c r="J1023" s="6">
        <v>-0.76013585639647996</v>
      </c>
      <c r="K1023" s="6">
        <v>1.82289060893508</v>
      </c>
      <c r="L1023" s="6">
        <v>1.82289060893508</v>
      </c>
      <c r="M1023" s="6">
        <v>1.82289060893508</v>
      </c>
      <c r="N1023" s="6">
        <v>-2.5830264653315602</v>
      </c>
      <c r="O1023" s="6">
        <v>-2.5830264653315602</v>
      </c>
      <c r="P1023" s="6">
        <v>-2.5830264653315602</v>
      </c>
      <c r="Q1023" s="6">
        <v>0</v>
      </c>
      <c r="R1023" s="6">
        <v>0</v>
      </c>
      <c r="S1023" s="6">
        <v>0</v>
      </c>
      <c r="T1023" s="6">
        <v>308.94451783488199</v>
      </c>
    </row>
    <row r="1024" spans="1:20" ht="13" x14ac:dyDescent="0.15">
      <c r="A1024" s="6">
        <v>1022</v>
      </c>
      <c r="B1024" s="7">
        <v>44642</v>
      </c>
      <c r="C1024" s="6">
        <v>309.24851136203102</v>
      </c>
      <c r="D1024" s="6">
        <v>275.34316636549897</v>
      </c>
      <c r="E1024" s="6">
        <v>340.16794528530301</v>
      </c>
      <c r="F1024" s="6">
        <v>309.24851136203102</v>
      </c>
      <c r="G1024" s="6">
        <v>309.24851136203102</v>
      </c>
      <c r="H1024" s="6">
        <v>-0.597599536228823</v>
      </c>
      <c r="I1024" s="6">
        <v>-0.597599536228823</v>
      </c>
      <c r="J1024" s="6">
        <v>-0.597599536228823</v>
      </c>
      <c r="K1024" s="6">
        <v>0.84522403106397304</v>
      </c>
      <c r="L1024" s="6">
        <v>0.84522403106397304</v>
      </c>
      <c r="M1024" s="6">
        <v>0.84522403106397304</v>
      </c>
      <c r="N1024" s="6">
        <v>-1.44282356729279</v>
      </c>
      <c r="O1024" s="6">
        <v>-1.44282356729279</v>
      </c>
      <c r="P1024" s="6">
        <v>-1.44282356729279</v>
      </c>
      <c r="Q1024" s="6">
        <v>0</v>
      </c>
      <c r="R1024" s="6">
        <v>0</v>
      </c>
      <c r="S1024" s="6">
        <v>0</v>
      </c>
      <c r="T1024" s="6">
        <v>308.65091182580301</v>
      </c>
    </row>
    <row r="1025" spans="1:20" ht="13" x14ac:dyDescent="0.15">
      <c r="A1025" s="6">
        <v>1023</v>
      </c>
      <c r="B1025" s="7">
        <v>44643</v>
      </c>
      <c r="C1025" s="6">
        <v>308.79236903278502</v>
      </c>
      <c r="D1025" s="6">
        <v>276.68627728342602</v>
      </c>
      <c r="E1025" s="6">
        <v>341.05186692362003</v>
      </c>
      <c r="F1025" s="6">
        <v>308.79236903278502</v>
      </c>
      <c r="G1025" s="6">
        <v>308.79236903278502</v>
      </c>
      <c r="H1025" s="6">
        <v>0.61639777487798098</v>
      </c>
      <c r="I1025" s="6">
        <v>0.61639777487798098</v>
      </c>
      <c r="J1025" s="6">
        <v>0.61639777487798098</v>
      </c>
      <c r="K1025" s="6">
        <v>0.94874688043635902</v>
      </c>
      <c r="L1025" s="6">
        <v>0.94874688043635902</v>
      </c>
      <c r="M1025" s="6">
        <v>0.94874688043635902</v>
      </c>
      <c r="N1025" s="6">
        <v>-0.33234910555837799</v>
      </c>
      <c r="O1025" s="6">
        <v>-0.33234910555837799</v>
      </c>
      <c r="P1025" s="6">
        <v>-0.33234910555837799</v>
      </c>
      <c r="Q1025" s="6">
        <v>0</v>
      </c>
      <c r="R1025" s="6">
        <v>0</v>
      </c>
      <c r="S1025" s="6">
        <v>0</v>
      </c>
      <c r="T1025" s="6">
        <v>309.40876680766303</v>
      </c>
    </row>
    <row r="1026" spans="1:20" ht="13" x14ac:dyDescent="0.15">
      <c r="A1026" s="6">
        <v>1024</v>
      </c>
      <c r="B1026" s="7">
        <v>44644</v>
      </c>
      <c r="C1026" s="6">
        <v>308.33622670353799</v>
      </c>
      <c r="D1026" s="6">
        <v>275.86732817769803</v>
      </c>
      <c r="E1026" s="6">
        <v>342.29256023212599</v>
      </c>
      <c r="F1026" s="6">
        <v>308.33622670353799</v>
      </c>
      <c r="G1026" s="6">
        <v>308.33622670353799</v>
      </c>
      <c r="H1026" s="6">
        <v>1.2201361241230599</v>
      </c>
      <c r="I1026" s="6">
        <v>1.2201361241230599</v>
      </c>
      <c r="J1026" s="6">
        <v>1.2201361241230599</v>
      </c>
      <c r="K1026" s="6">
        <v>0.490155213556559</v>
      </c>
      <c r="L1026" s="6">
        <v>0.490155213556559</v>
      </c>
      <c r="M1026" s="6">
        <v>0.490155213556559</v>
      </c>
      <c r="N1026" s="6">
        <v>0.72998091056650005</v>
      </c>
      <c r="O1026" s="6">
        <v>0.72998091056650005</v>
      </c>
      <c r="P1026" s="6">
        <v>0.72998091056650005</v>
      </c>
      <c r="Q1026" s="6">
        <v>0</v>
      </c>
      <c r="R1026" s="6">
        <v>0</v>
      </c>
      <c r="S1026" s="6">
        <v>0</v>
      </c>
      <c r="T1026" s="6">
        <v>309.55636282766102</v>
      </c>
    </row>
    <row r="1027" spans="1:20" ht="13" x14ac:dyDescent="0.15">
      <c r="A1027" s="6">
        <v>1025</v>
      </c>
      <c r="B1027" s="7">
        <v>44645</v>
      </c>
      <c r="C1027" s="6">
        <v>307.88008437429102</v>
      </c>
      <c r="D1027" s="6">
        <v>277.31737342473201</v>
      </c>
      <c r="E1027" s="6">
        <v>342.81343311333097</v>
      </c>
      <c r="F1027" s="6">
        <v>307.88008437429102</v>
      </c>
      <c r="G1027" s="6">
        <v>307.88008437429102</v>
      </c>
      <c r="H1027" s="6">
        <v>1.70529724418252</v>
      </c>
      <c r="I1027" s="6">
        <v>1.70529724418252</v>
      </c>
      <c r="J1027" s="6">
        <v>1.70529724418252</v>
      </c>
      <c r="K1027" s="6">
        <v>-2.2976765060978399E-2</v>
      </c>
      <c r="L1027" s="6">
        <v>-2.2976765060978399E-2</v>
      </c>
      <c r="M1027" s="6">
        <v>-2.2976765060978399E-2</v>
      </c>
      <c r="N1027" s="6">
        <v>1.7282740092435001</v>
      </c>
      <c r="O1027" s="6">
        <v>1.7282740092435001</v>
      </c>
      <c r="P1027" s="6">
        <v>1.7282740092435001</v>
      </c>
      <c r="Q1027" s="6">
        <v>0</v>
      </c>
      <c r="R1027" s="6">
        <v>0</v>
      </c>
      <c r="S1027" s="6">
        <v>0</v>
      </c>
      <c r="T1027" s="6">
        <v>309.585381618474</v>
      </c>
    </row>
    <row r="1028" spans="1:20" ht="13" x14ac:dyDescent="0.15">
      <c r="A1028" s="6">
        <v>1026</v>
      </c>
      <c r="B1028" s="7">
        <v>44648</v>
      </c>
      <c r="C1028" s="6">
        <v>306.51165738655101</v>
      </c>
      <c r="D1028" s="6">
        <v>279.94546265879802</v>
      </c>
      <c r="E1028" s="6">
        <v>345.64212835049301</v>
      </c>
      <c r="F1028" s="6">
        <v>306.51165738655101</v>
      </c>
      <c r="G1028" s="6">
        <v>306.51165738655101</v>
      </c>
      <c r="H1028" s="6">
        <v>6.0455024176973398</v>
      </c>
      <c r="I1028" s="6">
        <v>6.0455024176973398</v>
      </c>
      <c r="J1028" s="6">
        <v>6.0455024176973398</v>
      </c>
      <c r="K1028" s="6">
        <v>1.8228906089368</v>
      </c>
      <c r="L1028" s="6">
        <v>1.8228906089368</v>
      </c>
      <c r="M1028" s="6">
        <v>1.8228906089368</v>
      </c>
      <c r="N1028" s="6">
        <v>4.22261180876054</v>
      </c>
      <c r="O1028" s="6">
        <v>4.22261180876054</v>
      </c>
      <c r="P1028" s="6">
        <v>4.22261180876054</v>
      </c>
      <c r="Q1028" s="6">
        <v>0</v>
      </c>
      <c r="R1028" s="6">
        <v>0</v>
      </c>
      <c r="S1028" s="6">
        <v>0</v>
      </c>
      <c r="T1028" s="6">
        <v>312.55715980424901</v>
      </c>
    </row>
    <row r="1029" spans="1:20" ht="13" x14ac:dyDescent="0.15">
      <c r="A1029" s="6">
        <v>1027</v>
      </c>
      <c r="B1029" s="7">
        <v>44649</v>
      </c>
      <c r="C1029" s="6">
        <v>306.055515057305</v>
      </c>
      <c r="D1029" s="6">
        <v>280.06473616500102</v>
      </c>
      <c r="E1029" s="6">
        <v>343.55735453721297</v>
      </c>
      <c r="F1029" s="6">
        <v>306.055515057305</v>
      </c>
      <c r="G1029" s="6">
        <v>306.055515057305</v>
      </c>
      <c r="H1029" s="6">
        <v>5.7085989473938898</v>
      </c>
      <c r="I1029" s="6">
        <v>5.7085989473938898</v>
      </c>
      <c r="J1029" s="6">
        <v>5.7085989473938898</v>
      </c>
      <c r="K1029" s="6">
        <v>0.84522403106251598</v>
      </c>
      <c r="L1029" s="6">
        <v>0.84522403106251598</v>
      </c>
      <c r="M1029" s="6">
        <v>0.84522403106251598</v>
      </c>
      <c r="N1029" s="6">
        <v>4.8633749163313702</v>
      </c>
      <c r="O1029" s="6">
        <v>4.8633749163313702</v>
      </c>
      <c r="P1029" s="6">
        <v>4.8633749163313702</v>
      </c>
      <c r="Q1029" s="6">
        <v>0</v>
      </c>
      <c r="R1029" s="6">
        <v>0</v>
      </c>
      <c r="S1029" s="6">
        <v>0</v>
      </c>
      <c r="T1029" s="6">
        <v>311.76411400469902</v>
      </c>
    </row>
    <row r="1030" spans="1:20" ht="13" x14ac:dyDescent="0.15">
      <c r="A1030" s="6">
        <v>1028</v>
      </c>
      <c r="B1030" s="7">
        <v>44650</v>
      </c>
      <c r="C1030" s="6">
        <v>305.59937272805797</v>
      </c>
      <c r="D1030" s="6">
        <v>280.331087563594</v>
      </c>
      <c r="E1030" s="6">
        <v>343.40082729388399</v>
      </c>
      <c r="F1030" s="6">
        <v>305.59937272805797</v>
      </c>
      <c r="G1030" s="6">
        <v>305.59937272805797</v>
      </c>
      <c r="H1030" s="6">
        <v>6.3530372942484199</v>
      </c>
      <c r="I1030" s="6">
        <v>6.3530372942484199</v>
      </c>
      <c r="J1030" s="6">
        <v>6.3530372942484199</v>
      </c>
      <c r="K1030" s="6">
        <v>0.94874688043674305</v>
      </c>
      <c r="L1030" s="6">
        <v>0.94874688043674305</v>
      </c>
      <c r="M1030" s="6">
        <v>0.94874688043674305</v>
      </c>
      <c r="N1030" s="6">
        <v>5.4042904138116699</v>
      </c>
      <c r="O1030" s="6">
        <v>5.4042904138116699</v>
      </c>
      <c r="P1030" s="6">
        <v>5.4042904138116699</v>
      </c>
      <c r="Q1030" s="6">
        <v>0</v>
      </c>
      <c r="R1030" s="6">
        <v>0</v>
      </c>
      <c r="S1030" s="6">
        <v>0</v>
      </c>
      <c r="T1030" s="6">
        <v>311.95241002230603</v>
      </c>
    </row>
    <row r="1031" spans="1:20" ht="13" x14ac:dyDescent="0.15">
      <c r="A1031" s="6">
        <v>1029</v>
      </c>
      <c r="B1031" s="7">
        <v>44651</v>
      </c>
      <c r="C1031" s="6">
        <v>305.143230398811</v>
      </c>
      <c r="D1031" s="6">
        <v>279.58349335009399</v>
      </c>
      <c r="E1031" s="6">
        <v>342.73096479280798</v>
      </c>
      <c r="F1031" s="6">
        <v>305.143230398811</v>
      </c>
      <c r="G1031" s="6">
        <v>305.143230398811</v>
      </c>
      <c r="H1031" s="6">
        <v>6.3369785362036097</v>
      </c>
      <c r="I1031" s="6">
        <v>6.3369785362036097</v>
      </c>
      <c r="J1031" s="6">
        <v>6.3369785362036097</v>
      </c>
      <c r="K1031" s="6">
        <v>0.49015521355372199</v>
      </c>
      <c r="L1031" s="6">
        <v>0.49015521355372199</v>
      </c>
      <c r="M1031" s="6">
        <v>0.49015521355372199</v>
      </c>
      <c r="N1031" s="6">
        <v>5.8468233226498896</v>
      </c>
      <c r="O1031" s="6">
        <v>5.8468233226498896</v>
      </c>
      <c r="P1031" s="6">
        <v>5.8468233226498896</v>
      </c>
      <c r="Q1031" s="6">
        <v>0</v>
      </c>
      <c r="R1031" s="6">
        <v>0</v>
      </c>
      <c r="S1031" s="6">
        <v>0</v>
      </c>
      <c r="T1031" s="6">
        <v>311.48020893501501</v>
      </c>
    </row>
    <row r="1032" spans="1:20" ht="13" x14ac:dyDescent="0.15">
      <c r="A1032" s="6">
        <v>1030</v>
      </c>
      <c r="B1032" s="7">
        <v>44652</v>
      </c>
      <c r="C1032" s="6">
        <v>304.68708806956499</v>
      </c>
      <c r="D1032" s="6">
        <v>277.79863348995002</v>
      </c>
      <c r="E1032" s="6">
        <v>346.17866602689003</v>
      </c>
      <c r="F1032" s="6">
        <v>304.68708806956499</v>
      </c>
      <c r="G1032" s="6">
        <v>304.68708806956499</v>
      </c>
      <c r="H1032" s="6">
        <v>6.1719079919137796</v>
      </c>
      <c r="I1032" s="6">
        <v>6.1719079919137796</v>
      </c>
      <c r="J1032" s="6">
        <v>6.1719079919137796</v>
      </c>
      <c r="K1032" s="6">
        <v>-2.2976765063590601E-2</v>
      </c>
      <c r="L1032" s="6">
        <v>-2.2976765063590601E-2</v>
      </c>
      <c r="M1032" s="6">
        <v>-2.2976765063590601E-2</v>
      </c>
      <c r="N1032" s="6">
        <v>6.1948847569773697</v>
      </c>
      <c r="O1032" s="6">
        <v>6.1948847569773697</v>
      </c>
      <c r="P1032" s="6">
        <v>6.1948847569773697</v>
      </c>
      <c r="Q1032" s="6">
        <v>0</v>
      </c>
      <c r="R1032" s="6">
        <v>0</v>
      </c>
      <c r="S1032" s="6">
        <v>0</v>
      </c>
      <c r="T1032" s="6">
        <v>310.85899606147802</v>
      </c>
    </row>
    <row r="1033" spans="1:20" ht="13" x14ac:dyDescent="0.15">
      <c r="A1033" s="6">
        <v>1031</v>
      </c>
      <c r="B1033" s="7">
        <v>44655</v>
      </c>
      <c r="C1033" s="6">
        <v>303.31866108182498</v>
      </c>
      <c r="D1033" s="6">
        <v>278.87610173588502</v>
      </c>
      <c r="E1033" s="6">
        <v>342.492392662106</v>
      </c>
      <c r="F1033" s="6">
        <v>303.31866108182498</v>
      </c>
      <c r="G1033" s="6">
        <v>303.31866108182498</v>
      </c>
      <c r="H1033" s="6">
        <v>8.5636951402826007</v>
      </c>
      <c r="I1033" s="6">
        <v>8.5636951402826007</v>
      </c>
      <c r="J1033" s="6">
        <v>8.5636951402826007</v>
      </c>
      <c r="K1033" s="6">
        <v>1.8228906089373</v>
      </c>
      <c r="L1033" s="6">
        <v>1.8228906089373</v>
      </c>
      <c r="M1033" s="6">
        <v>1.8228906089373</v>
      </c>
      <c r="N1033" s="6">
        <v>6.7408045313453</v>
      </c>
      <c r="O1033" s="6">
        <v>6.7408045313453</v>
      </c>
      <c r="P1033" s="6">
        <v>6.7408045313453</v>
      </c>
      <c r="Q1033" s="6">
        <v>0</v>
      </c>
      <c r="R1033" s="6">
        <v>0</v>
      </c>
      <c r="S1033" s="6">
        <v>0</v>
      </c>
      <c r="T1033" s="6">
        <v>311.88235622210698</v>
      </c>
    </row>
    <row r="1034" spans="1:20" ht="13" x14ac:dyDescent="0.15">
      <c r="A1034" s="6">
        <v>1032</v>
      </c>
      <c r="B1034" s="7">
        <v>44656</v>
      </c>
      <c r="C1034" s="6">
        <v>302.86251875257801</v>
      </c>
      <c r="D1034" s="6">
        <v>276.85305802198297</v>
      </c>
      <c r="E1034" s="6">
        <v>342.78947959649003</v>
      </c>
      <c r="F1034" s="6">
        <v>302.86251875257801</v>
      </c>
      <c r="G1034" s="6">
        <v>302.86251875257801</v>
      </c>
      <c r="H1034" s="6">
        <v>7.6317534438951604</v>
      </c>
      <c r="I1034" s="6">
        <v>7.6317534438951604</v>
      </c>
      <c r="J1034" s="6">
        <v>7.6317534438951604</v>
      </c>
      <c r="K1034" s="6">
        <v>0.84522403106644195</v>
      </c>
      <c r="L1034" s="6">
        <v>0.84522403106644195</v>
      </c>
      <c r="M1034" s="6">
        <v>0.84522403106644195</v>
      </c>
      <c r="N1034" s="6">
        <v>6.7865294128287204</v>
      </c>
      <c r="O1034" s="6">
        <v>6.7865294128287204</v>
      </c>
      <c r="P1034" s="6">
        <v>6.7865294128287204</v>
      </c>
      <c r="Q1034" s="6">
        <v>0</v>
      </c>
      <c r="R1034" s="6">
        <v>0</v>
      </c>
      <c r="S1034" s="6">
        <v>0</v>
      </c>
      <c r="T1034" s="6">
        <v>310.49427219647299</v>
      </c>
    </row>
    <row r="1035" spans="1:20" ht="13" x14ac:dyDescent="0.15">
      <c r="A1035" s="6">
        <v>1033</v>
      </c>
      <c r="B1035" s="7">
        <v>44657</v>
      </c>
      <c r="C1035" s="6">
        <v>302.40637642333098</v>
      </c>
      <c r="D1035" s="6">
        <v>279.31970007805899</v>
      </c>
      <c r="E1035" s="6">
        <v>343.27986173962898</v>
      </c>
      <c r="F1035" s="6">
        <v>302.40637642333098</v>
      </c>
      <c r="G1035" s="6">
        <v>302.40637642333098</v>
      </c>
      <c r="H1035" s="6">
        <v>7.7297464511111702</v>
      </c>
      <c r="I1035" s="6">
        <v>7.7297464511111702</v>
      </c>
      <c r="J1035" s="6">
        <v>7.7297464511111702</v>
      </c>
      <c r="K1035" s="6">
        <v>0.94874688043859201</v>
      </c>
      <c r="L1035" s="6">
        <v>0.94874688043859201</v>
      </c>
      <c r="M1035" s="6">
        <v>0.94874688043859201</v>
      </c>
      <c r="N1035" s="6">
        <v>6.7809995706725799</v>
      </c>
      <c r="O1035" s="6">
        <v>6.7809995706725799</v>
      </c>
      <c r="P1035" s="6">
        <v>6.7809995706725799</v>
      </c>
      <c r="Q1035" s="6">
        <v>0</v>
      </c>
      <c r="R1035" s="6">
        <v>0</v>
      </c>
      <c r="S1035" s="6">
        <v>0</v>
      </c>
      <c r="T1035" s="6">
        <v>310.13612287444198</v>
      </c>
    </row>
    <row r="1036" spans="1:20" ht="13" x14ac:dyDescent="0.15">
      <c r="A1036" s="6">
        <v>1034</v>
      </c>
      <c r="B1036" s="7">
        <v>44658</v>
      </c>
      <c r="C1036" s="6">
        <v>301.95023409408498</v>
      </c>
      <c r="D1036" s="6">
        <v>274.56438708104002</v>
      </c>
      <c r="E1036" s="6">
        <v>339.37831597644902</v>
      </c>
      <c r="F1036" s="6">
        <v>301.95023409408498</v>
      </c>
      <c r="G1036" s="6">
        <v>301.95023409408498</v>
      </c>
      <c r="H1036" s="6">
        <v>7.22471245340141</v>
      </c>
      <c r="I1036" s="6">
        <v>7.22471245340141</v>
      </c>
      <c r="J1036" s="6">
        <v>7.22471245340141</v>
      </c>
      <c r="K1036" s="6">
        <v>0.49015521355490099</v>
      </c>
      <c r="L1036" s="6">
        <v>0.49015521355490099</v>
      </c>
      <c r="M1036" s="6">
        <v>0.49015521355490099</v>
      </c>
      <c r="N1036" s="6">
        <v>6.7345572398464997</v>
      </c>
      <c r="O1036" s="6">
        <v>6.7345572398464997</v>
      </c>
      <c r="P1036" s="6">
        <v>6.7345572398464997</v>
      </c>
      <c r="Q1036" s="6">
        <v>0</v>
      </c>
      <c r="R1036" s="6">
        <v>0</v>
      </c>
      <c r="S1036" s="6">
        <v>0</v>
      </c>
      <c r="T1036" s="6">
        <v>309.174946547486</v>
      </c>
    </row>
    <row r="1037" spans="1:20" ht="13" x14ac:dyDescent="0.15">
      <c r="A1037" s="6">
        <v>1035</v>
      </c>
      <c r="B1037" s="7">
        <v>44659</v>
      </c>
      <c r="C1037" s="6">
        <v>301.494091764838</v>
      </c>
      <c r="D1037" s="6">
        <v>275.09709339995902</v>
      </c>
      <c r="E1037" s="6">
        <v>340.461114837129</v>
      </c>
      <c r="F1037" s="6">
        <v>301.494091764838</v>
      </c>
      <c r="G1037" s="6">
        <v>301.494091764838</v>
      </c>
      <c r="H1037" s="6">
        <v>6.6341016013625502</v>
      </c>
      <c r="I1037" s="6">
        <v>6.6341016013625502</v>
      </c>
      <c r="J1037" s="6">
        <v>6.6341016013625502</v>
      </c>
      <c r="K1037" s="6">
        <v>-2.2976765066202599E-2</v>
      </c>
      <c r="L1037" s="6">
        <v>-2.2976765066202599E-2</v>
      </c>
      <c r="M1037" s="6">
        <v>-2.2976765066202599E-2</v>
      </c>
      <c r="N1037" s="6">
        <v>6.6570783664287498</v>
      </c>
      <c r="O1037" s="6">
        <v>6.6570783664287498</v>
      </c>
      <c r="P1037" s="6">
        <v>6.6570783664287498</v>
      </c>
      <c r="Q1037" s="6">
        <v>0</v>
      </c>
      <c r="R1037" s="6">
        <v>0</v>
      </c>
      <c r="S1037" s="6">
        <v>0</v>
      </c>
      <c r="T1037" s="6">
        <v>308.12819336619998</v>
      </c>
    </row>
    <row r="1038" spans="1:20" ht="13" x14ac:dyDescent="0.15">
      <c r="A1038" s="6">
        <v>1036</v>
      </c>
      <c r="B1038" s="7">
        <v>44662</v>
      </c>
      <c r="C1038" s="6">
        <v>300.125664777098</v>
      </c>
      <c r="D1038" s="6">
        <v>274.86476186753401</v>
      </c>
      <c r="E1038" s="6">
        <v>340.32225581001001</v>
      </c>
      <c r="F1038" s="6">
        <v>300.125664777098</v>
      </c>
      <c r="G1038" s="6">
        <v>300.125664777098</v>
      </c>
      <c r="H1038" s="6">
        <v>8.1449959444715798</v>
      </c>
      <c r="I1038" s="6">
        <v>8.1449959444715798</v>
      </c>
      <c r="J1038" s="6">
        <v>8.1449959444715798</v>
      </c>
      <c r="K1038" s="6">
        <v>1.8228906089378001</v>
      </c>
      <c r="L1038" s="6">
        <v>1.8228906089378001</v>
      </c>
      <c r="M1038" s="6">
        <v>1.8228906089378001</v>
      </c>
      <c r="N1038" s="6">
        <v>6.32210533553378</v>
      </c>
      <c r="O1038" s="6">
        <v>6.32210533553378</v>
      </c>
      <c r="P1038" s="6">
        <v>6.32210533553378</v>
      </c>
      <c r="Q1038" s="6">
        <v>0</v>
      </c>
      <c r="R1038" s="6">
        <v>0</v>
      </c>
      <c r="S1038" s="6">
        <v>0</v>
      </c>
      <c r="T1038" s="6">
        <v>308.27066072156998</v>
      </c>
    </row>
    <row r="1039" spans="1:20" ht="13" x14ac:dyDescent="0.15">
      <c r="A1039" s="6">
        <v>1037</v>
      </c>
      <c r="B1039" s="7">
        <v>44663</v>
      </c>
      <c r="C1039" s="6">
        <v>299.66952244785102</v>
      </c>
      <c r="D1039" s="6">
        <v>274.88703862603398</v>
      </c>
      <c r="E1039" s="6">
        <v>339.11758504808398</v>
      </c>
      <c r="F1039" s="6">
        <v>299.66952244785102</v>
      </c>
      <c r="G1039" s="6">
        <v>299.66952244785102</v>
      </c>
      <c r="H1039" s="6">
        <v>7.0421398367035897</v>
      </c>
      <c r="I1039" s="6">
        <v>7.0421398367035897</v>
      </c>
      <c r="J1039" s="6">
        <v>7.0421398367035897</v>
      </c>
      <c r="K1039" s="6">
        <v>0.84522403106579702</v>
      </c>
      <c r="L1039" s="6">
        <v>0.84522403106579702</v>
      </c>
      <c r="M1039" s="6">
        <v>0.84522403106579702</v>
      </c>
      <c r="N1039" s="6">
        <v>6.19691580563779</v>
      </c>
      <c r="O1039" s="6">
        <v>6.19691580563779</v>
      </c>
      <c r="P1039" s="6">
        <v>6.19691580563779</v>
      </c>
      <c r="Q1039" s="6">
        <v>0</v>
      </c>
      <c r="R1039" s="6">
        <v>0</v>
      </c>
      <c r="S1039" s="6">
        <v>0</v>
      </c>
      <c r="T1039" s="6">
        <v>306.71166228455502</v>
      </c>
    </row>
    <row r="1040" spans="1:20" ht="13" x14ac:dyDescent="0.15">
      <c r="A1040" s="6">
        <v>1038</v>
      </c>
      <c r="B1040" s="7">
        <v>44664</v>
      </c>
      <c r="C1040" s="6">
        <v>299.21338011860502</v>
      </c>
      <c r="D1040" s="6">
        <v>272.09812167562001</v>
      </c>
      <c r="E1040" s="6">
        <v>335.81810217440898</v>
      </c>
      <c r="F1040" s="6">
        <v>299.21338011860502</v>
      </c>
      <c r="G1040" s="6">
        <v>299.21338011860502</v>
      </c>
      <c r="H1040" s="6">
        <v>7.0195882416645299</v>
      </c>
      <c r="I1040" s="6">
        <v>7.0195882416645299</v>
      </c>
      <c r="J1040" s="6">
        <v>7.0195882416645299</v>
      </c>
      <c r="K1040" s="6">
        <v>0.94874688043508204</v>
      </c>
      <c r="L1040" s="6">
        <v>0.94874688043508204</v>
      </c>
      <c r="M1040" s="6">
        <v>0.94874688043508204</v>
      </c>
      <c r="N1040" s="6">
        <v>6.0708413612294496</v>
      </c>
      <c r="O1040" s="6">
        <v>6.0708413612294496</v>
      </c>
      <c r="P1040" s="6">
        <v>6.0708413612294496</v>
      </c>
      <c r="Q1040" s="6">
        <v>0</v>
      </c>
      <c r="R1040" s="6">
        <v>0</v>
      </c>
      <c r="S1040" s="6">
        <v>0</v>
      </c>
      <c r="T1040" s="6">
        <v>306.23296836026901</v>
      </c>
    </row>
    <row r="1041" spans="1:20" ht="13" x14ac:dyDescent="0.15">
      <c r="A1041" s="6">
        <v>1039</v>
      </c>
      <c r="B1041" s="7">
        <v>44665</v>
      </c>
      <c r="C1041" s="6">
        <v>298.75723778935799</v>
      </c>
      <c r="D1041" s="6">
        <v>268.98309729239298</v>
      </c>
      <c r="E1041" s="6">
        <v>335.624012426207</v>
      </c>
      <c r="F1041" s="6">
        <v>298.75723778935799</v>
      </c>
      <c r="G1041" s="6">
        <v>298.75723778935799</v>
      </c>
      <c r="H1041" s="6">
        <v>6.4346084468262204</v>
      </c>
      <c r="I1041" s="6">
        <v>6.4346084468262204</v>
      </c>
      <c r="J1041" s="6">
        <v>6.4346084468262204</v>
      </c>
      <c r="K1041" s="6">
        <v>0.49015521355607999</v>
      </c>
      <c r="L1041" s="6">
        <v>0.49015521355607999</v>
      </c>
      <c r="M1041" s="6">
        <v>0.49015521355607999</v>
      </c>
      <c r="N1041" s="6">
        <v>5.9444532332701403</v>
      </c>
      <c r="O1041" s="6">
        <v>5.9444532332701403</v>
      </c>
      <c r="P1041" s="6">
        <v>5.9444532332701403</v>
      </c>
      <c r="Q1041" s="6">
        <v>0</v>
      </c>
      <c r="R1041" s="6">
        <v>0</v>
      </c>
      <c r="S1041" s="6">
        <v>0</v>
      </c>
      <c r="T1041" s="6">
        <v>305.19184623618401</v>
      </c>
    </row>
    <row r="1042" spans="1:20" ht="13" x14ac:dyDescent="0.15">
      <c r="A1042" s="6">
        <v>1040</v>
      </c>
      <c r="B1042" s="7">
        <v>44669</v>
      </c>
      <c r="C1042" s="6">
        <v>296.93266847237101</v>
      </c>
      <c r="D1042" s="6">
        <v>273.011277219237</v>
      </c>
      <c r="E1042" s="6">
        <v>333.85561743201703</v>
      </c>
      <c r="F1042" s="6">
        <v>296.93266847237101</v>
      </c>
      <c r="G1042" s="6">
        <v>296.93266847237101</v>
      </c>
      <c r="H1042" s="6">
        <v>7.2011160157878296</v>
      </c>
      <c r="I1042" s="6">
        <v>7.2011160157878296</v>
      </c>
      <c r="J1042" s="6">
        <v>7.2011160157878296</v>
      </c>
      <c r="K1042" s="6">
        <v>1.82289060893952</v>
      </c>
      <c r="L1042" s="6">
        <v>1.82289060893952</v>
      </c>
      <c r="M1042" s="6">
        <v>1.82289060893952</v>
      </c>
      <c r="N1042" s="6">
        <v>5.3782254068483102</v>
      </c>
      <c r="O1042" s="6">
        <v>5.3782254068483102</v>
      </c>
      <c r="P1042" s="6">
        <v>5.3782254068483102</v>
      </c>
      <c r="Q1042" s="6">
        <v>0</v>
      </c>
      <c r="R1042" s="6">
        <v>0</v>
      </c>
      <c r="S1042" s="6">
        <v>0</v>
      </c>
      <c r="T1042" s="6">
        <v>304.13378448815899</v>
      </c>
    </row>
    <row r="1043" spans="1:20" ht="13" x14ac:dyDescent="0.15">
      <c r="A1043" s="6">
        <v>1041</v>
      </c>
      <c r="B1043" s="7">
        <v>44670</v>
      </c>
      <c r="C1043" s="6">
        <v>296.47652614312398</v>
      </c>
      <c r="D1043" s="6">
        <v>270.51144499825102</v>
      </c>
      <c r="E1043" s="6">
        <v>333.537401579392</v>
      </c>
      <c r="F1043" s="6">
        <v>296.47652614312398</v>
      </c>
      <c r="G1043" s="6">
        <v>296.47652614312398</v>
      </c>
      <c r="H1043" s="6">
        <v>6.0370141900177003</v>
      </c>
      <c r="I1043" s="6">
        <v>6.0370141900177003</v>
      </c>
      <c r="J1043" s="6">
        <v>6.0370141900177003</v>
      </c>
      <c r="K1043" s="6">
        <v>0.84522403106515198</v>
      </c>
      <c r="L1043" s="6">
        <v>0.84522403106515198</v>
      </c>
      <c r="M1043" s="6">
        <v>0.84522403106515198</v>
      </c>
      <c r="N1043" s="6">
        <v>5.1917901589525499</v>
      </c>
      <c r="O1043" s="6">
        <v>5.1917901589525499</v>
      </c>
      <c r="P1043" s="6">
        <v>5.1917901589525499</v>
      </c>
      <c r="Q1043" s="6">
        <v>0</v>
      </c>
      <c r="R1043" s="6">
        <v>0</v>
      </c>
      <c r="S1043" s="6">
        <v>0</v>
      </c>
      <c r="T1043" s="6">
        <v>302.51354033314198</v>
      </c>
    </row>
    <row r="1044" spans="1:20" ht="13" x14ac:dyDescent="0.15">
      <c r="A1044" s="6">
        <v>1042</v>
      </c>
      <c r="B1044" s="7">
        <v>44671</v>
      </c>
      <c r="C1044" s="6">
        <v>296.02038381387803</v>
      </c>
      <c r="D1044" s="6">
        <v>268.91350834687199</v>
      </c>
      <c r="E1044" s="6">
        <v>333.53543036478999</v>
      </c>
      <c r="F1044" s="6">
        <v>296.02038381387803</v>
      </c>
      <c r="G1044" s="6">
        <v>296.02038381387803</v>
      </c>
      <c r="H1044" s="6">
        <v>5.9194572643801502</v>
      </c>
      <c r="I1044" s="6">
        <v>5.9194572643801502</v>
      </c>
      <c r="J1044" s="6">
        <v>5.9194572643801502</v>
      </c>
      <c r="K1044" s="6">
        <v>0.94874688043693101</v>
      </c>
      <c r="L1044" s="6">
        <v>0.94874688043693101</v>
      </c>
      <c r="M1044" s="6">
        <v>0.94874688043693101</v>
      </c>
      <c r="N1044" s="6">
        <v>4.9707103839432198</v>
      </c>
      <c r="O1044" s="6">
        <v>4.9707103839432198</v>
      </c>
      <c r="P1044" s="6">
        <v>4.9707103839432198</v>
      </c>
      <c r="Q1044" s="6">
        <v>0</v>
      </c>
      <c r="R1044" s="6">
        <v>0</v>
      </c>
      <c r="S1044" s="6">
        <v>0</v>
      </c>
      <c r="T1044" s="6">
        <v>301.93984107825798</v>
      </c>
    </row>
    <row r="1045" spans="1:20" ht="13" x14ac:dyDescent="0.15">
      <c r="A1045" s="6">
        <v>1043</v>
      </c>
      <c r="B1045" s="7">
        <v>44672</v>
      </c>
      <c r="C1045" s="6">
        <v>295.564241484631</v>
      </c>
      <c r="D1045" s="6">
        <v>269.39800795455602</v>
      </c>
      <c r="E1045" s="6">
        <v>333.97337951000202</v>
      </c>
      <c r="F1045" s="6">
        <v>295.564241484631</v>
      </c>
      <c r="G1045" s="6">
        <v>295.564241484631</v>
      </c>
      <c r="H1045" s="6">
        <v>5.1952777681959201</v>
      </c>
      <c r="I1045" s="6">
        <v>5.1952777681959201</v>
      </c>
      <c r="J1045" s="6">
        <v>5.1952777681959201</v>
      </c>
      <c r="K1045" s="6">
        <v>0.49015521355580099</v>
      </c>
      <c r="L1045" s="6">
        <v>0.49015521355580099</v>
      </c>
      <c r="M1045" s="6">
        <v>0.49015521355580099</v>
      </c>
      <c r="N1045" s="6">
        <v>4.7051225546401199</v>
      </c>
      <c r="O1045" s="6">
        <v>4.7051225546401199</v>
      </c>
      <c r="P1045" s="6">
        <v>4.7051225546401199</v>
      </c>
      <c r="Q1045" s="6">
        <v>0</v>
      </c>
      <c r="R1045" s="6">
        <v>0</v>
      </c>
      <c r="S1045" s="6">
        <v>0</v>
      </c>
      <c r="T1045" s="6">
        <v>300.75951925282698</v>
      </c>
    </row>
    <row r="1046" spans="1:20" ht="13" x14ac:dyDescent="0.15">
      <c r="A1046" s="6">
        <v>1044</v>
      </c>
      <c r="B1046" s="7">
        <v>44673</v>
      </c>
      <c r="C1046" s="6">
        <v>295.10809915538402</v>
      </c>
      <c r="D1046" s="6">
        <v>266.58425731043701</v>
      </c>
      <c r="E1046" s="6">
        <v>332.195647209632</v>
      </c>
      <c r="F1046" s="6">
        <v>295.10809915538402</v>
      </c>
      <c r="G1046" s="6">
        <v>295.10809915538402</v>
      </c>
      <c r="H1046" s="6">
        <v>4.3619206601161897</v>
      </c>
      <c r="I1046" s="6">
        <v>4.3619206601161897</v>
      </c>
      <c r="J1046" s="6">
        <v>4.3619206601161897</v>
      </c>
      <c r="K1046" s="6">
        <v>-2.2976765062755901E-2</v>
      </c>
      <c r="L1046" s="6">
        <v>-2.2976765062755901E-2</v>
      </c>
      <c r="M1046" s="6">
        <v>-2.2976765062755901E-2</v>
      </c>
      <c r="N1046" s="6">
        <v>4.3848974251789397</v>
      </c>
      <c r="O1046" s="6">
        <v>4.3848974251789397</v>
      </c>
      <c r="P1046" s="6">
        <v>4.3848974251789397</v>
      </c>
      <c r="Q1046" s="6">
        <v>0</v>
      </c>
      <c r="R1046" s="6">
        <v>0</v>
      </c>
      <c r="S1046" s="6">
        <v>0</v>
      </c>
      <c r="T1046" s="6">
        <v>299.47001981550102</v>
      </c>
    </row>
    <row r="1047" spans="1:20" ht="13" x14ac:dyDescent="0.15">
      <c r="A1047" s="6">
        <v>1045</v>
      </c>
      <c r="B1047" s="7">
        <v>44676</v>
      </c>
      <c r="C1047" s="6">
        <v>293.73967216764402</v>
      </c>
      <c r="D1047" s="6">
        <v>265.70914525690398</v>
      </c>
      <c r="E1047" s="6">
        <v>332.84677805557197</v>
      </c>
      <c r="F1047" s="6">
        <v>293.73967216764402</v>
      </c>
      <c r="G1047" s="6">
        <v>293.73967216764402</v>
      </c>
      <c r="H1047" s="6">
        <v>4.8225835291935599</v>
      </c>
      <c r="I1047" s="6">
        <v>4.8225835291935599</v>
      </c>
      <c r="J1047" s="6">
        <v>4.8225835291935599</v>
      </c>
      <c r="K1047" s="6">
        <v>1.82289060894123</v>
      </c>
      <c r="L1047" s="6">
        <v>1.82289060894123</v>
      </c>
      <c r="M1047" s="6">
        <v>1.82289060894123</v>
      </c>
      <c r="N1047" s="6">
        <v>2.9996929202523201</v>
      </c>
      <c r="O1047" s="6">
        <v>2.9996929202523201</v>
      </c>
      <c r="P1047" s="6">
        <v>2.9996929202523201</v>
      </c>
      <c r="Q1047" s="6">
        <v>0</v>
      </c>
      <c r="R1047" s="6">
        <v>0</v>
      </c>
      <c r="S1047" s="6">
        <v>0</v>
      </c>
      <c r="T1047" s="6">
        <v>298.56225569683801</v>
      </c>
    </row>
    <row r="1048" spans="1:20" ht="13" x14ac:dyDescent="0.15">
      <c r="A1048" s="6">
        <v>1046</v>
      </c>
      <c r="B1048" s="7">
        <v>44677</v>
      </c>
      <c r="C1048" s="6">
        <v>293.28352983839801</v>
      </c>
      <c r="D1048" s="6">
        <v>265.69063623523999</v>
      </c>
      <c r="E1048" s="6">
        <v>330.003442190008</v>
      </c>
      <c r="F1048" s="6">
        <v>293.28352983839801</v>
      </c>
      <c r="G1048" s="6">
        <v>293.28352983839801</v>
      </c>
      <c r="H1048" s="6">
        <v>3.2137765703840402</v>
      </c>
      <c r="I1048" s="6">
        <v>3.2137765703840402</v>
      </c>
      <c r="J1048" s="6">
        <v>3.2137765703840402</v>
      </c>
      <c r="K1048" s="6">
        <v>0.84522403106907795</v>
      </c>
      <c r="L1048" s="6">
        <v>0.84522403106907795</v>
      </c>
      <c r="M1048" s="6">
        <v>0.84522403106907795</v>
      </c>
      <c r="N1048" s="6">
        <v>2.3685525393149698</v>
      </c>
      <c r="O1048" s="6">
        <v>2.3685525393149698</v>
      </c>
      <c r="P1048" s="6">
        <v>2.3685525393149698</v>
      </c>
      <c r="Q1048" s="6">
        <v>0</v>
      </c>
      <c r="R1048" s="6">
        <v>0</v>
      </c>
      <c r="S1048" s="6">
        <v>0</v>
      </c>
      <c r="T1048" s="6">
        <v>296.49730640878198</v>
      </c>
    </row>
    <row r="1049" spans="1:20" ht="13" x14ac:dyDescent="0.15">
      <c r="A1049" s="6">
        <v>1047</v>
      </c>
      <c r="B1049" s="7">
        <v>44678</v>
      </c>
      <c r="C1049" s="6">
        <v>292.82738750915098</v>
      </c>
      <c r="D1049" s="6">
        <v>263.16256618515098</v>
      </c>
      <c r="E1049" s="6">
        <v>328.82380208813697</v>
      </c>
      <c r="F1049" s="6">
        <v>292.82738750915098</v>
      </c>
      <c r="G1049" s="6">
        <v>292.82738750915098</v>
      </c>
      <c r="H1049" s="6">
        <v>2.59098039942972</v>
      </c>
      <c r="I1049" s="6">
        <v>2.59098039942972</v>
      </c>
      <c r="J1049" s="6">
        <v>2.59098039942972</v>
      </c>
      <c r="K1049" s="6">
        <v>0.948746880436101</v>
      </c>
      <c r="L1049" s="6">
        <v>0.948746880436101</v>
      </c>
      <c r="M1049" s="6">
        <v>0.948746880436101</v>
      </c>
      <c r="N1049" s="6">
        <v>1.6422335189936199</v>
      </c>
      <c r="O1049" s="6">
        <v>1.6422335189936199</v>
      </c>
      <c r="P1049" s="6">
        <v>1.6422335189936199</v>
      </c>
      <c r="Q1049" s="6">
        <v>0</v>
      </c>
      <c r="R1049" s="6">
        <v>0</v>
      </c>
      <c r="S1049" s="6">
        <v>0</v>
      </c>
      <c r="T1049" s="6">
        <v>295.41836790858099</v>
      </c>
    </row>
    <row r="1050" spans="1:20" ht="13" x14ac:dyDescent="0.15">
      <c r="A1050" s="6">
        <v>1048</v>
      </c>
      <c r="B1050" s="7">
        <v>44679</v>
      </c>
      <c r="C1050" s="6">
        <v>292.37124517990497</v>
      </c>
      <c r="D1050" s="6">
        <v>262.674356522518</v>
      </c>
      <c r="E1050" s="6">
        <v>326.98158124779502</v>
      </c>
      <c r="F1050" s="6">
        <v>292.37124517990497</v>
      </c>
      <c r="G1050" s="6">
        <v>292.37124517990497</v>
      </c>
      <c r="H1050" s="6">
        <v>1.3073645290015701</v>
      </c>
      <c r="I1050" s="6">
        <v>1.3073645290015701</v>
      </c>
      <c r="J1050" s="6">
        <v>1.3073645290015701</v>
      </c>
      <c r="K1050" s="6">
        <v>0.49015521355296299</v>
      </c>
      <c r="L1050" s="6">
        <v>0.49015521355296299</v>
      </c>
      <c r="M1050" s="6">
        <v>0.49015521355296299</v>
      </c>
      <c r="N1050" s="6">
        <v>0.81720931544861397</v>
      </c>
      <c r="O1050" s="6">
        <v>0.81720931544861397</v>
      </c>
      <c r="P1050" s="6">
        <v>0.81720931544861397</v>
      </c>
      <c r="Q1050" s="6">
        <v>0</v>
      </c>
      <c r="R1050" s="6">
        <v>0</v>
      </c>
      <c r="S1050" s="6">
        <v>0</v>
      </c>
      <c r="T1050" s="6">
        <v>293.67860970890598</v>
      </c>
    </row>
    <row r="1051" spans="1:20" ht="13" x14ac:dyDescent="0.15">
      <c r="A1051" s="6">
        <v>1049</v>
      </c>
      <c r="B1051" s="7">
        <v>44680</v>
      </c>
      <c r="C1051" s="6">
        <v>291.915102850658</v>
      </c>
      <c r="D1051" s="6">
        <v>261.01414580341401</v>
      </c>
      <c r="E1051" s="6">
        <v>325.42796358275803</v>
      </c>
      <c r="F1051" s="6">
        <v>291.915102850658</v>
      </c>
      <c r="G1051" s="6">
        <v>291.915102850658</v>
      </c>
      <c r="H1051" s="6">
        <v>-0.130829870664428</v>
      </c>
      <c r="I1051" s="6">
        <v>-0.130829870664428</v>
      </c>
      <c r="J1051" s="6">
        <v>-0.130829870664428</v>
      </c>
      <c r="K1051" s="6">
        <v>-2.29767650608096E-2</v>
      </c>
      <c r="L1051" s="6">
        <v>-2.29767650608096E-2</v>
      </c>
      <c r="M1051" s="6">
        <v>-2.29767650608096E-2</v>
      </c>
      <c r="N1051" s="6">
        <v>-0.10785310560361799</v>
      </c>
      <c r="O1051" s="6">
        <v>-0.10785310560361799</v>
      </c>
      <c r="P1051" s="6">
        <v>-0.10785310560361799</v>
      </c>
      <c r="Q1051" s="6">
        <v>0</v>
      </c>
      <c r="R1051" s="6">
        <v>0</v>
      </c>
      <c r="S1051" s="6">
        <v>0</v>
      </c>
      <c r="T1051" s="6">
        <v>291.78427297999298</v>
      </c>
    </row>
    <row r="1052" spans="1:20" ht="13" x14ac:dyDescent="0.15">
      <c r="A1052" s="6">
        <v>1050</v>
      </c>
      <c r="B1052" s="7">
        <v>44683</v>
      </c>
      <c r="C1052" s="6">
        <v>290.54667586291799</v>
      </c>
      <c r="D1052" s="6">
        <v>256.83939818483401</v>
      </c>
      <c r="E1052" s="6">
        <v>323.31828291629301</v>
      </c>
      <c r="F1052" s="6">
        <v>290.54667586291799</v>
      </c>
      <c r="G1052" s="6">
        <v>290.54667586291799</v>
      </c>
      <c r="H1052" s="6">
        <v>-1.6377553600647401</v>
      </c>
      <c r="I1052" s="6">
        <v>-1.6377553600647401</v>
      </c>
      <c r="J1052" s="6">
        <v>-1.6377553600647401</v>
      </c>
      <c r="K1052" s="6">
        <v>1.8228906089350201</v>
      </c>
      <c r="L1052" s="6">
        <v>1.8228906089350201</v>
      </c>
      <c r="M1052" s="6">
        <v>1.8228906089350201</v>
      </c>
      <c r="N1052" s="6">
        <v>-3.4606459689997702</v>
      </c>
      <c r="O1052" s="6">
        <v>-3.4606459689997702</v>
      </c>
      <c r="P1052" s="6">
        <v>-3.4606459689997702</v>
      </c>
      <c r="Q1052" s="6">
        <v>0</v>
      </c>
      <c r="R1052" s="6">
        <v>0</v>
      </c>
      <c r="S1052" s="6">
        <v>0</v>
      </c>
      <c r="T1052" s="6">
        <v>288.90892050285299</v>
      </c>
    </row>
    <row r="1053" spans="1:20" ht="13" x14ac:dyDescent="0.15">
      <c r="A1053" s="6">
        <v>1051</v>
      </c>
      <c r="B1053" s="7">
        <v>44684</v>
      </c>
      <c r="C1053" s="6">
        <v>290.09053353367102</v>
      </c>
      <c r="D1053" s="6">
        <v>254.86218822302399</v>
      </c>
      <c r="E1053" s="6">
        <v>319.74391144050003</v>
      </c>
      <c r="F1053" s="6">
        <v>290.09053353367102</v>
      </c>
      <c r="G1053" s="6">
        <v>290.09053353367102</v>
      </c>
      <c r="H1053" s="6">
        <v>-3.9056921748089302</v>
      </c>
      <c r="I1053" s="6">
        <v>-3.9056921748089302</v>
      </c>
      <c r="J1053" s="6">
        <v>-3.9056921748089302</v>
      </c>
      <c r="K1053" s="6">
        <v>0.84522403106843202</v>
      </c>
      <c r="L1053" s="6">
        <v>0.84522403106843202</v>
      </c>
      <c r="M1053" s="6">
        <v>0.84522403106843202</v>
      </c>
      <c r="N1053" s="6">
        <v>-4.7509162058773597</v>
      </c>
      <c r="O1053" s="6">
        <v>-4.7509162058773597</v>
      </c>
      <c r="P1053" s="6">
        <v>-4.7509162058773597</v>
      </c>
      <c r="Q1053" s="6">
        <v>0</v>
      </c>
      <c r="R1053" s="6">
        <v>0</v>
      </c>
      <c r="S1053" s="6">
        <v>0</v>
      </c>
      <c r="T1053" s="6">
        <v>286.184841358862</v>
      </c>
    </row>
    <row r="1054" spans="1:20" ht="13" x14ac:dyDescent="0.15">
      <c r="A1054" s="6">
        <v>1052</v>
      </c>
      <c r="B1054" s="7">
        <v>44685</v>
      </c>
      <c r="C1054" s="6">
        <v>289.63439120442399</v>
      </c>
      <c r="D1054" s="6">
        <v>253.50754966343899</v>
      </c>
      <c r="E1054" s="6">
        <v>317.55205612638002</v>
      </c>
      <c r="F1054" s="6">
        <v>289.63439120442399</v>
      </c>
      <c r="G1054" s="6">
        <v>289.63439120442399</v>
      </c>
      <c r="H1054" s="6">
        <v>-5.1628673428871101</v>
      </c>
      <c r="I1054" s="6">
        <v>-5.1628673428871101</v>
      </c>
      <c r="J1054" s="6">
        <v>-5.1628673428871101</v>
      </c>
      <c r="K1054" s="6">
        <v>0.94874688043794997</v>
      </c>
      <c r="L1054" s="6">
        <v>0.94874688043794997</v>
      </c>
      <c r="M1054" s="6">
        <v>0.94874688043794997</v>
      </c>
      <c r="N1054" s="6">
        <v>-6.1116142233250601</v>
      </c>
      <c r="O1054" s="6">
        <v>-6.1116142233250601</v>
      </c>
      <c r="P1054" s="6">
        <v>-6.1116142233250601</v>
      </c>
      <c r="Q1054" s="6">
        <v>0</v>
      </c>
      <c r="R1054" s="6">
        <v>0</v>
      </c>
      <c r="S1054" s="6">
        <v>0</v>
      </c>
      <c r="T1054" s="6">
        <v>284.47152386153698</v>
      </c>
    </row>
    <row r="1055" spans="1:20" ht="13" x14ac:dyDescent="0.15">
      <c r="A1055" s="6">
        <v>1053</v>
      </c>
      <c r="B1055" s="7">
        <v>44686</v>
      </c>
      <c r="C1055" s="6">
        <v>289.17824887517799</v>
      </c>
      <c r="D1055" s="6">
        <v>250.24908530099</v>
      </c>
      <c r="E1055" s="6">
        <v>318.39906951701198</v>
      </c>
      <c r="F1055" s="6">
        <v>289.17824887517799</v>
      </c>
      <c r="G1055" s="6">
        <v>289.17824887517799</v>
      </c>
      <c r="H1055" s="6">
        <v>-7.0397709231360697</v>
      </c>
      <c r="I1055" s="6">
        <v>-7.0397709231360697</v>
      </c>
      <c r="J1055" s="6">
        <v>-7.0397709231360697</v>
      </c>
      <c r="K1055" s="6">
        <v>0.490155213558159</v>
      </c>
      <c r="L1055" s="6">
        <v>0.490155213558159</v>
      </c>
      <c r="M1055" s="6">
        <v>0.490155213558159</v>
      </c>
      <c r="N1055" s="6">
        <v>-7.5299261366942396</v>
      </c>
      <c r="O1055" s="6">
        <v>-7.5299261366942396</v>
      </c>
      <c r="P1055" s="6">
        <v>-7.5299261366942396</v>
      </c>
      <c r="Q1055" s="6">
        <v>0</v>
      </c>
      <c r="R1055" s="6">
        <v>0</v>
      </c>
      <c r="S1055" s="6">
        <v>0</v>
      </c>
      <c r="T1055" s="6">
        <v>282.13847795204202</v>
      </c>
    </row>
    <row r="1056" spans="1:20" ht="13" x14ac:dyDescent="0.15">
      <c r="A1056" s="6">
        <v>1054</v>
      </c>
      <c r="B1056" s="7">
        <v>44687</v>
      </c>
      <c r="C1056" s="6">
        <v>288.72210654593101</v>
      </c>
      <c r="D1056" s="6">
        <v>248.86858131348799</v>
      </c>
      <c r="E1056" s="6">
        <v>312.83960519485203</v>
      </c>
      <c r="F1056" s="6">
        <v>288.72210654593101</v>
      </c>
      <c r="G1056" s="6">
        <v>288.72210654593101</v>
      </c>
      <c r="H1056" s="6">
        <v>-9.0141764765780596</v>
      </c>
      <c r="I1056" s="6">
        <v>-9.0141764765780596</v>
      </c>
      <c r="J1056" s="6">
        <v>-9.0141764765780596</v>
      </c>
      <c r="K1056" s="6">
        <v>-2.297676506798E-2</v>
      </c>
      <c r="L1056" s="6">
        <v>-2.297676506798E-2</v>
      </c>
      <c r="M1056" s="6">
        <v>-2.297676506798E-2</v>
      </c>
      <c r="N1056" s="6">
        <v>-8.9911997115100792</v>
      </c>
      <c r="O1056" s="6">
        <v>-8.9911997115100792</v>
      </c>
      <c r="P1056" s="6">
        <v>-8.9911997115100792</v>
      </c>
      <c r="Q1056" s="6">
        <v>0</v>
      </c>
      <c r="R1056" s="6">
        <v>0</v>
      </c>
      <c r="S1056" s="6">
        <v>0</v>
      </c>
      <c r="T1056" s="6">
        <v>279.70793006935298</v>
      </c>
    </row>
    <row r="1057" spans="1:20" ht="13" x14ac:dyDescent="0.15">
      <c r="A1057" s="6">
        <v>1055</v>
      </c>
      <c r="B1057" s="7">
        <v>44690</v>
      </c>
      <c r="C1057" s="6">
        <v>287.353679558191</v>
      </c>
      <c r="D1057" s="6">
        <v>242.18675573958299</v>
      </c>
      <c r="E1057" s="6">
        <v>306.99122266464002</v>
      </c>
      <c r="F1057" s="6">
        <v>287.353679558191</v>
      </c>
      <c r="G1057" s="6">
        <v>287.353679558191</v>
      </c>
      <c r="H1057" s="6">
        <v>-11.642951241696499</v>
      </c>
      <c r="I1057" s="6">
        <v>-11.642951241696499</v>
      </c>
      <c r="J1057" s="6">
        <v>-11.642951241696499</v>
      </c>
      <c r="K1057" s="6">
        <v>1.82289060893674</v>
      </c>
      <c r="L1057" s="6">
        <v>1.82289060893674</v>
      </c>
      <c r="M1057" s="6">
        <v>1.82289060893674</v>
      </c>
      <c r="N1057" s="6">
        <v>-13.4658418506333</v>
      </c>
      <c r="O1057" s="6">
        <v>-13.4658418506333</v>
      </c>
      <c r="P1057" s="6">
        <v>-13.4658418506333</v>
      </c>
      <c r="Q1057" s="6">
        <v>0</v>
      </c>
      <c r="R1057" s="6">
        <v>0</v>
      </c>
      <c r="S1057" s="6">
        <v>0</v>
      </c>
      <c r="T1057" s="6">
        <v>275.710728316494</v>
      </c>
    </row>
    <row r="1058" spans="1:20" ht="13" x14ac:dyDescent="0.15">
      <c r="A1058" s="6">
        <v>1056</v>
      </c>
      <c r="B1058" s="7">
        <v>44691</v>
      </c>
      <c r="C1058" s="6">
        <v>286.89753722894397</v>
      </c>
      <c r="D1058" s="6">
        <v>240.42349752081299</v>
      </c>
      <c r="E1058" s="6">
        <v>304.73264882929902</v>
      </c>
      <c r="F1058" s="6">
        <v>286.89753722894397</v>
      </c>
      <c r="G1058" s="6">
        <v>286.89753722894397</v>
      </c>
      <c r="H1058" s="6">
        <v>-14.082765248222399</v>
      </c>
      <c r="I1058" s="6">
        <v>-14.082765248222399</v>
      </c>
      <c r="J1058" s="6">
        <v>-14.082765248222399</v>
      </c>
      <c r="K1058" s="6">
        <v>0.84522403106697497</v>
      </c>
      <c r="L1058" s="6">
        <v>0.84522403106697497</v>
      </c>
      <c r="M1058" s="6">
        <v>0.84522403106697497</v>
      </c>
      <c r="N1058" s="6">
        <v>-14.927989279289299</v>
      </c>
      <c r="O1058" s="6">
        <v>-14.927989279289299</v>
      </c>
      <c r="P1058" s="6">
        <v>-14.927989279289299</v>
      </c>
      <c r="Q1058" s="6">
        <v>0</v>
      </c>
      <c r="R1058" s="6">
        <v>0</v>
      </c>
      <c r="S1058" s="6">
        <v>0</v>
      </c>
      <c r="T1058" s="6">
        <v>272.81477198072201</v>
      </c>
    </row>
    <row r="1059" spans="1:20" ht="13" x14ac:dyDescent="0.15">
      <c r="A1059" s="6">
        <v>1057</v>
      </c>
      <c r="B1059" s="7">
        <v>44692</v>
      </c>
      <c r="C1059" s="6">
        <v>286.44139489969803</v>
      </c>
      <c r="D1059" s="6">
        <v>238.46868970913201</v>
      </c>
      <c r="E1059" s="6">
        <v>301.91293355514699</v>
      </c>
      <c r="F1059" s="6">
        <v>286.44139489969803</v>
      </c>
      <c r="G1059" s="6">
        <v>286.44139489969803</v>
      </c>
      <c r="H1059" s="6">
        <v>-15.3963637239262</v>
      </c>
      <c r="I1059" s="6">
        <v>-15.3963637239262</v>
      </c>
      <c r="J1059" s="6">
        <v>-15.3963637239262</v>
      </c>
      <c r="K1059" s="6">
        <v>0.94874688043711997</v>
      </c>
      <c r="L1059" s="6">
        <v>0.94874688043711997</v>
      </c>
      <c r="M1059" s="6">
        <v>0.94874688043711997</v>
      </c>
      <c r="N1059" s="6">
        <v>-16.345110604363299</v>
      </c>
      <c r="O1059" s="6">
        <v>-16.345110604363299</v>
      </c>
      <c r="P1059" s="6">
        <v>-16.345110604363299</v>
      </c>
      <c r="Q1059" s="6">
        <v>0</v>
      </c>
      <c r="R1059" s="6">
        <v>0</v>
      </c>
      <c r="S1059" s="6">
        <v>0</v>
      </c>
      <c r="T1059" s="6">
        <v>271.04503117577099</v>
      </c>
    </row>
    <row r="1060" spans="1:20" ht="13" x14ac:dyDescent="0.15">
      <c r="A1060" s="6">
        <v>1058</v>
      </c>
      <c r="B1060" s="7">
        <v>44693</v>
      </c>
      <c r="C1060" s="6">
        <v>285.985252570451</v>
      </c>
      <c r="D1060" s="6">
        <v>236.51799819160999</v>
      </c>
      <c r="E1060" s="6">
        <v>302.77166211098802</v>
      </c>
      <c r="F1060" s="6">
        <v>285.985252570451</v>
      </c>
      <c r="G1060" s="6">
        <v>285.985252570451</v>
      </c>
      <c r="H1060" s="6">
        <v>-17.209507587969998</v>
      </c>
      <c r="I1060" s="6">
        <v>-17.209507587969998</v>
      </c>
      <c r="J1060" s="6">
        <v>-17.209507587969998</v>
      </c>
      <c r="K1060" s="6">
        <v>0.49015521355532099</v>
      </c>
      <c r="L1060" s="6">
        <v>0.49015521355532099</v>
      </c>
      <c r="M1060" s="6">
        <v>0.49015521355532099</v>
      </c>
      <c r="N1060" s="6">
        <v>-17.699662801525299</v>
      </c>
      <c r="O1060" s="6">
        <v>-17.699662801525299</v>
      </c>
      <c r="P1060" s="6">
        <v>-17.699662801525299</v>
      </c>
      <c r="Q1060" s="6">
        <v>0</v>
      </c>
      <c r="R1060" s="6">
        <v>0</v>
      </c>
      <c r="S1060" s="6">
        <v>0</v>
      </c>
      <c r="T1060" s="6">
        <v>268.775744982481</v>
      </c>
    </row>
    <row r="1061" spans="1:20" ht="13" x14ac:dyDescent="0.15">
      <c r="A1061" s="6">
        <v>1059</v>
      </c>
      <c r="B1061" s="7">
        <v>44694</v>
      </c>
      <c r="C1061" s="6">
        <v>285.52911024120402</v>
      </c>
      <c r="D1061" s="6">
        <v>236.66605735810899</v>
      </c>
      <c r="E1061" s="6">
        <v>299.553920873366</v>
      </c>
      <c r="F1061" s="6">
        <v>285.52911024120402</v>
      </c>
      <c r="G1061" s="6">
        <v>285.52911024120402</v>
      </c>
      <c r="H1061" s="6">
        <v>-18.998135452171098</v>
      </c>
      <c r="I1061" s="6">
        <v>-18.998135452171098</v>
      </c>
      <c r="J1061" s="6">
        <v>-18.998135452171098</v>
      </c>
      <c r="K1061" s="6">
        <v>-2.2976765066033699E-2</v>
      </c>
      <c r="L1061" s="6">
        <v>-2.2976765066033699E-2</v>
      </c>
      <c r="M1061" s="6">
        <v>-2.2976765066033699E-2</v>
      </c>
      <c r="N1061" s="6">
        <v>-18.9751586871051</v>
      </c>
      <c r="O1061" s="6">
        <v>-18.9751586871051</v>
      </c>
      <c r="P1061" s="6">
        <v>-18.9751586871051</v>
      </c>
      <c r="Q1061" s="6">
        <v>0</v>
      </c>
      <c r="R1061" s="6">
        <v>0</v>
      </c>
      <c r="S1061" s="6">
        <v>0</v>
      </c>
      <c r="T1061" s="6">
        <v>266.530974789033</v>
      </c>
    </row>
    <row r="1062" spans="1:20" ht="13" x14ac:dyDescent="0.15">
      <c r="A1062" s="6">
        <v>1060</v>
      </c>
      <c r="B1062" s="7">
        <v>44697</v>
      </c>
      <c r="C1062" s="6">
        <v>284.16068325346401</v>
      </c>
      <c r="D1062" s="6">
        <v>231.44538825756899</v>
      </c>
      <c r="E1062" s="6">
        <v>295.80222054017599</v>
      </c>
      <c r="F1062" s="6">
        <v>284.16068325346401</v>
      </c>
      <c r="G1062" s="6">
        <v>284.16068325346401</v>
      </c>
      <c r="H1062" s="6">
        <v>-20.363795874610801</v>
      </c>
      <c r="I1062" s="6">
        <v>-20.363795874610801</v>
      </c>
      <c r="J1062" s="6">
        <v>-20.363795874610801</v>
      </c>
      <c r="K1062" s="6">
        <v>1.82289060893845</v>
      </c>
      <c r="L1062" s="6">
        <v>1.82289060893845</v>
      </c>
      <c r="M1062" s="6">
        <v>1.82289060893845</v>
      </c>
      <c r="N1062" s="6">
        <v>-22.186686483549298</v>
      </c>
      <c r="O1062" s="6">
        <v>-22.186686483549298</v>
      </c>
      <c r="P1062" s="6">
        <v>-22.186686483549298</v>
      </c>
      <c r="Q1062" s="6">
        <v>0</v>
      </c>
      <c r="R1062" s="6">
        <v>0</v>
      </c>
      <c r="S1062" s="6">
        <v>0</v>
      </c>
      <c r="T1062" s="6">
        <v>263.796887378853</v>
      </c>
    </row>
    <row r="1063" spans="1:20" ht="13" x14ac:dyDescent="0.15">
      <c r="A1063" s="6">
        <v>1061</v>
      </c>
      <c r="B1063" s="7">
        <v>44698</v>
      </c>
      <c r="C1063" s="6">
        <v>283.70454092421801</v>
      </c>
      <c r="D1063" s="6">
        <v>228.811896805614</v>
      </c>
      <c r="E1063" s="6">
        <v>293.86023192619803</v>
      </c>
      <c r="F1063" s="6">
        <v>283.70454092421801</v>
      </c>
      <c r="G1063" s="6">
        <v>283.70454092421801</v>
      </c>
      <c r="H1063" s="6">
        <v>-22.170586148590701</v>
      </c>
      <c r="I1063" s="6">
        <v>-22.170586148590701</v>
      </c>
      <c r="J1063" s="6">
        <v>-22.170586148590701</v>
      </c>
      <c r="K1063" s="6">
        <v>0.84522403106714195</v>
      </c>
      <c r="L1063" s="6">
        <v>0.84522403106714195</v>
      </c>
      <c r="M1063" s="6">
        <v>0.84522403106714195</v>
      </c>
      <c r="N1063" s="6">
        <v>-23.015810179657802</v>
      </c>
      <c r="O1063" s="6">
        <v>-23.015810179657802</v>
      </c>
      <c r="P1063" s="6">
        <v>-23.015810179657802</v>
      </c>
      <c r="Q1063" s="6">
        <v>0</v>
      </c>
      <c r="R1063" s="6">
        <v>0</v>
      </c>
      <c r="S1063" s="6">
        <v>0</v>
      </c>
      <c r="T1063" s="6">
        <v>261.53395477562702</v>
      </c>
    </row>
    <row r="1064" spans="1:20" ht="13" x14ac:dyDescent="0.15">
      <c r="A1064" s="6">
        <v>1062</v>
      </c>
      <c r="B1064" s="7">
        <v>44699</v>
      </c>
      <c r="C1064" s="6">
        <v>283.24839859497098</v>
      </c>
      <c r="D1064" s="6">
        <v>227.444604783074</v>
      </c>
      <c r="E1064" s="6">
        <v>293.06046805390997</v>
      </c>
      <c r="F1064" s="6">
        <v>283.24839859497098</v>
      </c>
      <c r="G1064" s="6">
        <v>283.24839859497098</v>
      </c>
      <c r="H1064" s="6">
        <v>-22.763462823729501</v>
      </c>
      <c r="I1064" s="6">
        <v>-22.763462823729501</v>
      </c>
      <c r="J1064" s="6">
        <v>-22.763462823729501</v>
      </c>
      <c r="K1064" s="6">
        <v>0.94874688043750299</v>
      </c>
      <c r="L1064" s="6">
        <v>0.94874688043750299</v>
      </c>
      <c r="M1064" s="6">
        <v>0.94874688043750299</v>
      </c>
      <c r="N1064" s="6">
        <v>-23.712209704167002</v>
      </c>
      <c r="O1064" s="6">
        <v>-23.712209704167002</v>
      </c>
      <c r="P1064" s="6">
        <v>-23.712209704167002</v>
      </c>
      <c r="Q1064" s="6">
        <v>0</v>
      </c>
      <c r="R1064" s="6">
        <v>0</v>
      </c>
      <c r="S1064" s="6">
        <v>0</v>
      </c>
      <c r="T1064" s="6">
        <v>260.484935771241</v>
      </c>
    </row>
    <row r="1065" spans="1:20" ht="13" x14ac:dyDescent="0.15">
      <c r="A1065" s="6">
        <v>1063</v>
      </c>
      <c r="B1065" s="7">
        <v>44700</v>
      </c>
      <c r="C1065" s="6">
        <v>282.79225626572401</v>
      </c>
      <c r="D1065" s="6">
        <v>226.443393764593</v>
      </c>
      <c r="E1065" s="6">
        <v>291.08388475748097</v>
      </c>
      <c r="F1065" s="6">
        <v>282.79225626572401</v>
      </c>
      <c r="G1065" s="6">
        <v>282.79225626572401</v>
      </c>
      <c r="H1065" s="6">
        <v>-23.782583188348699</v>
      </c>
      <c r="I1065" s="6">
        <v>-23.782583188348699</v>
      </c>
      <c r="J1065" s="6">
        <v>-23.782583188348699</v>
      </c>
      <c r="K1065" s="6">
        <v>0.49015521355650099</v>
      </c>
      <c r="L1065" s="6">
        <v>0.49015521355650099</v>
      </c>
      <c r="M1065" s="6">
        <v>0.49015521355650099</v>
      </c>
      <c r="N1065" s="6">
        <v>-24.272738401905201</v>
      </c>
      <c r="O1065" s="6">
        <v>-24.272738401905201</v>
      </c>
      <c r="P1065" s="6">
        <v>-24.272738401905201</v>
      </c>
      <c r="Q1065" s="6">
        <v>0</v>
      </c>
      <c r="R1065" s="6">
        <v>0</v>
      </c>
      <c r="S1065" s="6">
        <v>0</v>
      </c>
      <c r="T1065" s="6">
        <v>259.00967307737602</v>
      </c>
    </row>
    <row r="1066" spans="1:20" ht="13" x14ac:dyDescent="0.15">
      <c r="A1066" s="6">
        <v>1064</v>
      </c>
      <c r="B1066" s="7">
        <v>44701</v>
      </c>
      <c r="C1066" s="6">
        <v>282.336113936478</v>
      </c>
      <c r="D1066" s="6">
        <v>226.332345541259</v>
      </c>
      <c r="E1066" s="6">
        <v>288.76878526159902</v>
      </c>
      <c r="F1066" s="6">
        <v>282.336113936478</v>
      </c>
      <c r="G1066" s="6">
        <v>282.336113936478</v>
      </c>
      <c r="H1066" s="6">
        <v>-24.720051446352301</v>
      </c>
      <c r="I1066" s="6">
        <v>-24.720051446352301</v>
      </c>
      <c r="J1066" s="6">
        <v>-24.720051446352301</v>
      </c>
      <c r="K1066" s="6">
        <v>-2.2976765064087398E-2</v>
      </c>
      <c r="L1066" s="6">
        <v>-2.2976765064087398E-2</v>
      </c>
      <c r="M1066" s="6">
        <v>-2.2976765064087398E-2</v>
      </c>
      <c r="N1066" s="6">
        <v>-24.6970746812882</v>
      </c>
      <c r="O1066" s="6">
        <v>-24.6970746812882</v>
      </c>
      <c r="P1066" s="6">
        <v>-24.6970746812882</v>
      </c>
      <c r="Q1066" s="6">
        <v>0</v>
      </c>
      <c r="R1066" s="6">
        <v>0</v>
      </c>
      <c r="S1066" s="6">
        <v>0</v>
      </c>
      <c r="T1066" s="6">
        <v>257.61606249012499</v>
      </c>
    </row>
    <row r="1067" spans="1:20" ht="13" x14ac:dyDescent="0.15">
      <c r="A1067" s="6">
        <v>1065</v>
      </c>
      <c r="B1067" s="7">
        <v>44704</v>
      </c>
      <c r="C1067" s="6">
        <v>280.96768694873799</v>
      </c>
      <c r="D1067" s="6">
        <v>227.408502434246</v>
      </c>
      <c r="E1067" s="6">
        <v>292.80735597904601</v>
      </c>
      <c r="F1067" s="6">
        <v>280.96768694873799</v>
      </c>
      <c r="G1067" s="6">
        <v>280.96768694873799</v>
      </c>
      <c r="H1067" s="6">
        <v>-23.3681708825331</v>
      </c>
      <c r="I1067" s="6">
        <v>-23.3681708825331</v>
      </c>
      <c r="J1067" s="6">
        <v>-23.3681708825331</v>
      </c>
      <c r="K1067" s="6">
        <v>1.82289060893102</v>
      </c>
      <c r="L1067" s="6">
        <v>1.82289060893102</v>
      </c>
      <c r="M1067" s="6">
        <v>1.82289060893102</v>
      </c>
      <c r="N1067" s="6">
        <v>-25.191061491464101</v>
      </c>
      <c r="O1067" s="6">
        <v>-25.191061491464101</v>
      </c>
      <c r="P1067" s="6">
        <v>-25.191061491464101</v>
      </c>
      <c r="Q1067" s="6">
        <v>0</v>
      </c>
      <c r="R1067" s="6">
        <v>0</v>
      </c>
      <c r="S1067" s="6">
        <v>0</v>
      </c>
      <c r="T1067" s="6">
        <v>257.59951606620399</v>
      </c>
    </row>
    <row r="1068" spans="1:20" ht="13" x14ac:dyDescent="0.15">
      <c r="A1068" s="6">
        <v>1066</v>
      </c>
      <c r="B1068" s="7">
        <v>44705</v>
      </c>
      <c r="C1068" s="6">
        <v>280.51154461949102</v>
      </c>
      <c r="D1068" s="6">
        <v>225.989171180863</v>
      </c>
      <c r="E1068" s="6">
        <v>289.53668714141799</v>
      </c>
      <c r="F1068" s="6">
        <v>280.51154461949102</v>
      </c>
      <c r="G1068" s="6">
        <v>280.51154461949102</v>
      </c>
      <c r="H1068" s="6">
        <v>-24.276282677182799</v>
      </c>
      <c r="I1068" s="6">
        <v>-24.276282677182799</v>
      </c>
      <c r="J1068" s="6">
        <v>-24.276282677182799</v>
      </c>
      <c r="K1068" s="6">
        <v>0.845224031065685</v>
      </c>
      <c r="L1068" s="6">
        <v>0.845224031065685</v>
      </c>
      <c r="M1068" s="6">
        <v>0.845224031065685</v>
      </c>
      <c r="N1068" s="6">
        <v>-25.1215067082484</v>
      </c>
      <c r="O1068" s="6">
        <v>-25.1215067082484</v>
      </c>
      <c r="P1068" s="6">
        <v>-25.1215067082484</v>
      </c>
      <c r="Q1068" s="6">
        <v>0</v>
      </c>
      <c r="R1068" s="6">
        <v>0</v>
      </c>
      <c r="S1068" s="6">
        <v>0</v>
      </c>
      <c r="T1068" s="6">
        <v>256.235261942308</v>
      </c>
    </row>
    <row r="1069" spans="1:20" ht="13" x14ac:dyDescent="0.15">
      <c r="A1069" s="6">
        <v>1067</v>
      </c>
      <c r="B1069" s="7">
        <v>44706</v>
      </c>
      <c r="C1069" s="6">
        <v>280.05540229024399</v>
      </c>
      <c r="D1069" s="6">
        <v>225.94150587144901</v>
      </c>
      <c r="E1069" s="6">
        <v>289.51069607618302</v>
      </c>
      <c r="F1069" s="6">
        <v>280.05540229024399</v>
      </c>
      <c r="G1069" s="6">
        <v>280.05540229024399</v>
      </c>
      <c r="H1069" s="6">
        <v>-24.0043609852335</v>
      </c>
      <c r="I1069" s="6">
        <v>-24.0043609852335</v>
      </c>
      <c r="J1069" s="6">
        <v>-24.0043609852335</v>
      </c>
      <c r="K1069" s="6">
        <v>0.94874688043667299</v>
      </c>
      <c r="L1069" s="6">
        <v>0.94874688043667299</v>
      </c>
      <c r="M1069" s="6">
        <v>0.94874688043667299</v>
      </c>
      <c r="N1069" s="6">
        <v>-24.953107865670098</v>
      </c>
      <c r="O1069" s="6">
        <v>-24.953107865670098</v>
      </c>
      <c r="P1069" s="6">
        <v>-24.953107865670098</v>
      </c>
      <c r="Q1069" s="6">
        <v>0</v>
      </c>
      <c r="R1069" s="6">
        <v>0</v>
      </c>
      <c r="S1069" s="6">
        <v>0</v>
      </c>
      <c r="T1069" s="6">
        <v>256.05104130501098</v>
      </c>
    </row>
    <row r="1070" spans="1:20" ht="13" x14ac:dyDescent="0.15">
      <c r="A1070" s="6">
        <v>1068</v>
      </c>
      <c r="B1070" s="7">
        <v>44707</v>
      </c>
      <c r="C1070" s="6">
        <v>279.59925996099798</v>
      </c>
      <c r="D1070" s="6">
        <v>221.712354861184</v>
      </c>
      <c r="E1070" s="6">
        <v>286.92965017209099</v>
      </c>
      <c r="F1070" s="6">
        <v>279.59925996099798</v>
      </c>
      <c r="G1070" s="6">
        <v>279.59925996099798</v>
      </c>
      <c r="H1070" s="6">
        <v>-24.209322512105299</v>
      </c>
      <c r="I1070" s="6">
        <v>-24.209322512105299</v>
      </c>
      <c r="J1070" s="6">
        <v>-24.209322512105299</v>
      </c>
      <c r="K1070" s="6">
        <v>0.49015521355622199</v>
      </c>
      <c r="L1070" s="6">
        <v>0.49015521355622199</v>
      </c>
      <c r="M1070" s="6">
        <v>0.49015521355622199</v>
      </c>
      <c r="N1070" s="6">
        <v>-24.699477725661598</v>
      </c>
      <c r="O1070" s="6">
        <v>-24.699477725661598</v>
      </c>
      <c r="P1070" s="6">
        <v>-24.699477725661598</v>
      </c>
      <c r="Q1070" s="6">
        <v>0</v>
      </c>
      <c r="R1070" s="6">
        <v>0</v>
      </c>
      <c r="S1070" s="6">
        <v>0</v>
      </c>
      <c r="T1070" s="6">
        <v>255.389937448892</v>
      </c>
    </row>
    <row r="1071" spans="1:20" ht="13" x14ac:dyDescent="0.15">
      <c r="A1071" s="6">
        <v>1069</v>
      </c>
      <c r="B1071" s="7">
        <v>44708</v>
      </c>
      <c r="C1071" s="6">
        <v>279.14311763175101</v>
      </c>
      <c r="D1071" s="6">
        <v>222.253941384412</v>
      </c>
      <c r="E1071" s="6">
        <v>285.27266762616398</v>
      </c>
      <c r="F1071" s="6">
        <v>279.14311763175101</v>
      </c>
      <c r="G1071" s="6">
        <v>279.14311763175101</v>
      </c>
      <c r="H1071" s="6">
        <v>-24.398442499927299</v>
      </c>
      <c r="I1071" s="6">
        <v>-24.398442499927299</v>
      </c>
      <c r="J1071" s="6">
        <v>-24.398442499927299</v>
      </c>
      <c r="K1071" s="6">
        <v>-2.29767650666995E-2</v>
      </c>
      <c r="L1071" s="6">
        <v>-2.29767650666995E-2</v>
      </c>
      <c r="M1071" s="6">
        <v>-2.29767650666995E-2</v>
      </c>
      <c r="N1071" s="6">
        <v>-24.375465734860601</v>
      </c>
      <c r="O1071" s="6">
        <v>-24.375465734860601</v>
      </c>
      <c r="P1071" s="6">
        <v>-24.375465734860601</v>
      </c>
      <c r="Q1071" s="6">
        <v>0</v>
      </c>
      <c r="R1071" s="6">
        <v>0</v>
      </c>
      <c r="S1071" s="6">
        <v>0</v>
      </c>
      <c r="T1071" s="6">
        <v>254.74467513182299</v>
      </c>
    </row>
    <row r="1072" spans="1:20" ht="13" x14ac:dyDescent="0.15">
      <c r="A1072" s="6">
        <v>1070</v>
      </c>
      <c r="B1072" s="7">
        <v>44712</v>
      </c>
      <c r="C1072" s="6">
        <v>277.31854831476397</v>
      </c>
      <c r="D1072" s="6">
        <v>223.971697538591</v>
      </c>
      <c r="E1072" s="6">
        <v>287.63687944212398</v>
      </c>
      <c r="F1072" s="6">
        <v>277.31854831476397</v>
      </c>
      <c r="G1072" s="6">
        <v>277.31854831476397</v>
      </c>
      <c r="H1072" s="6">
        <v>-21.846526019266499</v>
      </c>
      <c r="I1072" s="6">
        <v>-21.846526019266499</v>
      </c>
      <c r="J1072" s="6">
        <v>-21.846526019266499</v>
      </c>
      <c r="K1072" s="6">
        <v>0.84522403106422805</v>
      </c>
      <c r="L1072" s="6">
        <v>0.84522403106422805</v>
      </c>
      <c r="M1072" s="6">
        <v>0.84522403106422805</v>
      </c>
      <c r="N1072" s="6">
        <v>-22.6917500503308</v>
      </c>
      <c r="O1072" s="6">
        <v>-22.6917500503308</v>
      </c>
      <c r="P1072" s="6">
        <v>-22.6917500503308</v>
      </c>
      <c r="Q1072" s="6">
        <v>0</v>
      </c>
      <c r="R1072" s="6">
        <v>0</v>
      </c>
      <c r="S1072" s="6">
        <v>0</v>
      </c>
      <c r="T1072" s="6">
        <v>255.47202229549799</v>
      </c>
    </row>
    <row r="1073" spans="1:20" ht="13" x14ac:dyDescent="0.15">
      <c r="A1073" s="6">
        <v>1071</v>
      </c>
      <c r="B1073" s="7">
        <v>44713</v>
      </c>
      <c r="C1073" s="6">
        <v>276.862405985517</v>
      </c>
      <c r="D1073" s="6">
        <v>221.44380790372099</v>
      </c>
      <c r="E1073" s="6">
        <v>287.37065274069403</v>
      </c>
      <c r="F1073" s="6">
        <v>276.862405985517</v>
      </c>
      <c r="G1073" s="6">
        <v>276.862405985517</v>
      </c>
      <c r="H1073" s="6">
        <v>-21.3028322787364</v>
      </c>
      <c r="I1073" s="6">
        <v>-21.3028322787364</v>
      </c>
      <c r="J1073" s="6">
        <v>-21.3028322787364</v>
      </c>
      <c r="K1073" s="6">
        <v>0.94874688043852196</v>
      </c>
      <c r="L1073" s="6">
        <v>0.94874688043852196</v>
      </c>
      <c r="M1073" s="6">
        <v>0.94874688043852196</v>
      </c>
      <c r="N1073" s="6">
        <v>-22.251579159174899</v>
      </c>
      <c r="O1073" s="6">
        <v>-22.251579159174899</v>
      </c>
      <c r="P1073" s="6">
        <v>-22.251579159174899</v>
      </c>
      <c r="Q1073" s="6">
        <v>0</v>
      </c>
      <c r="R1073" s="6">
        <v>0</v>
      </c>
      <c r="S1073" s="6">
        <v>0</v>
      </c>
      <c r="T1073" s="6">
        <v>255.55957370678101</v>
      </c>
    </row>
    <row r="1074" spans="1:20" ht="13" x14ac:dyDescent="0.15">
      <c r="A1074" s="6">
        <v>1072</v>
      </c>
      <c r="B1074" s="7">
        <v>44714</v>
      </c>
      <c r="C1074" s="6">
        <v>276.40626365627099</v>
      </c>
      <c r="D1074" s="6">
        <v>222.749802508286</v>
      </c>
      <c r="E1074" s="6">
        <v>286.98306577130398</v>
      </c>
      <c r="F1074" s="6">
        <v>276.40626365627099</v>
      </c>
      <c r="G1074" s="6">
        <v>276.40626365627099</v>
      </c>
      <c r="H1074" s="6">
        <v>-21.341724262999001</v>
      </c>
      <c r="I1074" s="6">
        <v>-21.341724262999001</v>
      </c>
      <c r="J1074" s="6">
        <v>-21.341724262999001</v>
      </c>
      <c r="K1074" s="6">
        <v>0.49015521355740099</v>
      </c>
      <c r="L1074" s="6">
        <v>0.49015521355740099</v>
      </c>
      <c r="M1074" s="6">
        <v>0.49015521355740099</v>
      </c>
      <c r="N1074" s="6">
        <v>-21.831879476556399</v>
      </c>
      <c r="O1074" s="6">
        <v>-21.831879476556399</v>
      </c>
      <c r="P1074" s="6">
        <v>-21.831879476556399</v>
      </c>
      <c r="Q1074" s="6">
        <v>0</v>
      </c>
      <c r="R1074" s="6">
        <v>0</v>
      </c>
      <c r="S1074" s="6">
        <v>0</v>
      </c>
      <c r="T1074" s="6">
        <v>255.06453939327201</v>
      </c>
    </row>
    <row r="1075" spans="1:20" ht="13" x14ac:dyDescent="0.15">
      <c r="A1075" s="6">
        <v>1073</v>
      </c>
      <c r="B1075" s="7">
        <v>44715</v>
      </c>
      <c r="C1075" s="6">
        <v>275.95012132702402</v>
      </c>
      <c r="D1075" s="6">
        <v>222.72998433362901</v>
      </c>
      <c r="E1075" s="6">
        <v>284.974808578737</v>
      </c>
      <c r="F1075" s="6">
        <v>275.95012132702402</v>
      </c>
      <c r="G1075" s="6">
        <v>275.95012132702402</v>
      </c>
      <c r="H1075" s="6">
        <v>-21.467207377268501</v>
      </c>
      <c r="I1075" s="6">
        <v>-21.467207377268501</v>
      </c>
      <c r="J1075" s="6">
        <v>-21.467207377268501</v>
      </c>
      <c r="K1075" s="6">
        <v>-2.2976765056082302E-2</v>
      </c>
      <c r="L1075" s="6">
        <v>-2.2976765056082302E-2</v>
      </c>
      <c r="M1075" s="6">
        <v>-2.2976765056082302E-2</v>
      </c>
      <c r="N1075" s="6">
        <v>-21.444230612212401</v>
      </c>
      <c r="O1075" s="6">
        <v>-21.444230612212401</v>
      </c>
      <c r="P1075" s="6">
        <v>-21.444230612212401</v>
      </c>
      <c r="Q1075" s="6">
        <v>0</v>
      </c>
      <c r="R1075" s="6">
        <v>0</v>
      </c>
      <c r="S1075" s="6">
        <v>0</v>
      </c>
      <c r="T1075" s="6">
        <v>254.48291394975601</v>
      </c>
    </row>
    <row r="1076" spans="1:20" ht="13" x14ac:dyDescent="0.15">
      <c r="A1076" s="6">
        <v>1074</v>
      </c>
      <c r="B1076" s="7">
        <v>44718</v>
      </c>
      <c r="C1076" s="6">
        <v>274.58169433928401</v>
      </c>
      <c r="D1076" s="6">
        <v>225.127449649363</v>
      </c>
      <c r="E1076" s="6">
        <v>289.50297428175497</v>
      </c>
      <c r="F1076" s="6">
        <v>274.58169433928401</v>
      </c>
      <c r="G1076" s="6">
        <v>274.58169433928401</v>
      </c>
      <c r="H1076" s="6">
        <v>-18.736367571656999</v>
      </c>
      <c r="I1076" s="6">
        <v>-18.736367571656999</v>
      </c>
      <c r="J1076" s="6">
        <v>-18.736367571656999</v>
      </c>
      <c r="K1076" s="6">
        <v>1.8228906089344601</v>
      </c>
      <c r="L1076" s="6">
        <v>1.8228906089344601</v>
      </c>
      <c r="M1076" s="6">
        <v>1.8228906089344601</v>
      </c>
      <c r="N1076" s="6">
        <v>-20.559258180591499</v>
      </c>
      <c r="O1076" s="6">
        <v>-20.559258180591499</v>
      </c>
      <c r="P1076" s="6">
        <v>-20.559258180591499</v>
      </c>
      <c r="Q1076" s="6">
        <v>0</v>
      </c>
      <c r="R1076" s="6">
        <v>0</v>
      </c>
      <c r="S1076" s="6">
        <v>0</v>
      </c>
      <c r="T1076" s="6">
        <v>255.845326767627</v>
      </c>
    </row>
    <row r="1077" spans="1:20" ht="13" x14ac:dyDescent="0.15">
      <c r="A1077" s="6">
        <v>1075</v>
      </c>
      <c r="B1077" s="7">
        <v>44719</v>
      </c>
      <c r="C1077" s="6">
        <v>274.12555201003801</v>
      </c>
      <c r="D1077" s="6">
        <v>220.039727694428</v>
      </c>
      <c r="E1077" s="6">
        <v>284.96123984186301</v>
      </c>
      <c r="F1077" s="6">
        <v>274.12555201003801</v>
      </c>
      <c r="G1077" s="6">
        <v>274.12555201003801</v>
      </c>
      <c r="H1077" s="6">
        <v>-19.5289843292359</v>
      </c>
      <c r="I1077" s="6">
        <v>-19.5289843292359</v>
      </c>
      <c r="J1077" s="6">
        <v>-19.5289843292359</v>
      </c>
      <c r="K1077" s="6">
        <v>0.84522403106358301</v>
      </c>
      <c r="L1077" s="6">
        <v>0.84522403106358301</v>
      </c>
      <c r="M1077" s="6">
        <v>0.84522403106358301</v>
      </c>
      <c r="N1077" s="6">
        <v>-20.374208360299502</v>
      </c>
      <c r="O1077" s="6">
        <v>-20.374208360299502</v>
      </c>
      <c r="P1077" s="6">
        <v>-20.374208360299502</v>
      </c>
      <c r="Q1077" s="6">
        <v>0</v>
      </c>
      <c r="R1077" s="6">
        <v>0</v>
      </c>
      <c r="S1077" s="6">
        <v>0</v>
      </c>
      <c r="T1077" s="6">
        <v>254.596567680802</v>
      </c>
    </row>
    <row r="1078" spans="1:20" ht="13" x14ac:dyDescent="0.15">
      <c r="A1078" s="6">
        <v>1076</v>
      </c>
      <c r="B1078" s="7">
        <v>44720</v>
      </c>
      <c r="C1078" s="6">
        <v>273.66940968079098</v>
      </c>
      <c r="D1078" s="6">
        <v>218.71936318393901</v>
      </c>
      <c r="E1078" s="6">
        <v>286.62666753138598</v>
      </c>
      <c r="F1078" s="6">
        <v>273.66940968079098</v>
      </c>
      <c r="G1078" s="6">
        <v>273.66940968079098</v>
      </c>
      <c r="H1078" s="6">
        <v>-19.298098495091502</v>
      </c>
      <c r="I1078" s="6">
        <v>-19.298098495091502</v>
      </c>
      <c r="J1078" s="6">
        <v>-19.298098495091502</v>
      </c>
      <c r="K1078" s="6">
        <v>0.94874688043501199</v>
      </c>
      <c r="L1078" s="6">
        <v>0.94874688043501199</v>
      </c>
      <c r="M1078" s="6">
        <v>0.94874688043501199</v>
      </c>
      <c r="N1078" s="6">
        <v>-20.246845375526501</v>
      </c>
      <c r="O1078" s="6">
        <v>-20.246845375526501</v>
      </c>
      <c r="P1078" s="6">
        <v>-20.246845375526501</v>
      </c>
      <c r="Q1078" s="6">
        <v>0</v>
      </c>
      <c r="R1078" s="6">
        <v>0</v>
      </c>
      <c r="S1078" s="6">
        <v>0</v>
      </c>
      <c r="T1078" s="6">
        <v>254.371311185699</v>
      </c>
    </row>
    <row r="1079" spans="1:20" ht="13" x14ac:dyDescent="0.15">
      <c r="A1079" s="6">
        <v>1077</v>
      </c>
      <c r="B1079" s="7">
        <v>44721</v>
      </c>
      <c r="C1079" s="6">
        <v>273.213267351544</v>
      </c>
      <c r="D1079" s="6">
        <v>222.95759870825901</v>
      </c>
      <c r="E1079" s="6">
        <v>286.853070785245</v>
      </c>
      <c r="F1079" s="6">
        <v>273.213267351544</v>
      </c>
      <c r="G1079" s="6">
        <v>273.213267351544</v>
      </c>
      <c r="H1079" s="6">
        <v>-19.6851177759163</v>
      </c>
      <c r="I1079" s="6">
        <v>-19.6851177759163</v>
      </c>
      <c r="J1079" s="6">
        <v>-19.6851177759163</v>
      </c>
      <c r="K1079" s="6">
        <v>0.49015521355857999</v>
      </c>
      <c r="L1079" s="6">
        <v>0.49015521355857999</v>
      </c>
      <c r="M1079" s="6">
        <v>0.49015521355857999</v>
      </c>
      <c r="N1079" s="6">
        <v>-20.175272989474902</v>
      </c>
      <c r="O1079" s="6">
        <v>-20.175272989474902</v>
      </c>
      <c r="P1079" s="6">
        <v>-20.175272989474902</v>
      </c>
      <c r="Q1079" s="6">
        <v>0</v>
      </c>
      <c r="R1079" s="6">
        <v>0</v>
      </c>
      <c r="S1079" s="6">
        <v>0</v>
      </c>
      <c r="T1079" s="6">
        <v>253.52814957562799</v>
      </c>
    </row>
    <row r="1080" spans="1:20" ht="13" x14ac:dyDescent="0.15">
      <c r="A1080" s="6">
        <v>1078</v>
      </c>
      <c r="B1080" s="7">
        <v>44722</v>
      </c>
      <c r="C1080" s="6">
        <v>272.757125022298</v>
      </c>
      <c r="D1080" s="6">
        <v>219.791483644999</v>
      </c>
      <c r="E1080" s="6">
        <v>285.11802881185798</v>
      </c>
      <c r="F1080" s="6">
        <v>272.757125022298</v>
      </c>
      <c r="G1080" s="6">
        <v>272.757125022298</v>
      </c>
      <c r="H1080" s="6">
        <v>-20.178372369814401</v>
      </c>
      <c r="I1080" s="6">
        <v>-20.178372369814401</v>
      </c>
      <c r="J1080" s="6">
        <v>-20.178372369814401</v>
      </c>
      <c r="K1080" s="6">
        <v>-2.2976765063252899E-2</v>
      </c>
      <c r="L1080" s="6">
        <v>-2.2976765063252899E-2</v>
      </c>
      <c r="M1080" s="6">
        <v>-2.2976765063252899E-2</v>
      </c>
      <c r="N1080" s="6">
        <v>-20.155395604751099</v>
      </c>
      <c r="O1080" s="6">
        <v>-20.155395604751099</v>
      </c>
      <c r="P1080" s="6">
        <v>-20.155395604751099</v>
      </c>
      <c r="Q1080" s="6">
        <v>0</v>
      </c>
      <c r="R1080" s="6">
        <v>0</v>
      </c>
      <c r="S1080" s="6">
        <v>0</v>
      </c>
      <c r="T1080" s="6">
        <v>252.57875265248299</v>
      </c>
    </row>
    <row r="1081" spans="1:20" ht="13" x14ac:dyDescent="0.15">
      <c r="A1081" s="6">
        <v>1079</v>
      </c>
      <c r="B1081" s="7">
        <v>44725</v>
      </c>
      <c r="C1081" s="6">
        <v>271.38869803455702</v>
      </c>
      <c r="D1081" s="6">
        <v>221.428833092113</v>
      </c>
      <c r="E1081" s="6">
        <v>286.11251228659</v>
      </c>
      <c r="F1081" s="6">
        <v>271.38869803455702</v>
      </c>
      <c r="G1081" s="6">
        <v>271.38869803455702</v>
      </c>
      <c r="H1081" s="6">
        <v>-18.513604632945</v>
      </c>
      <c r="I1081" s="6">
        <v>-18.513604632945</v>
      </c>
      <c r="J1081" s="6">
        <v>-18.513604632945</v>
      </c>
      <c r="K1081" s="6">
        <v>1.8228906089361701</v>
      </c>
      <c r="L1081" s="6">
        <v>1.8228906089361701</v>
      </c>
      <c r="M1081" s="6">
        <v>1.8228906089361701</v>
      </c>
      <c r="N1081" s="6">
        <v>-20.336495241881199</v>
      </c>
      <c r="O1081" s="6">
        <v>-20.336495241881199</v>
      </c>
      <c r="P1081" s="6">
        <v>-20.336495241881199</v>
      </c>
      <c r="Q1081" s="6">
        <v>0</v>
      </c>
      <c r="R1081" s="6">
        <v>0</v>
      </c>
      <c r="S1081" s="6">
        <v>0</v>
      </c>
      <c r="T1081" s="6">
        <v>252.87509340161199</v>
      </c>
    </row>
    <row r="1082" spans="1:20" ht="13" x14ac:dyDescent="0.15">
      <c r="A1082" s="6">
        <v>1080</v>
      </c>
      <c r="B1082" s="7">
        <v>44726</v>
      </c>
      <c r="C1082" s="6">
        <v>270.93255570531102</v>
      </c>
      <c r="D1082" s="6">
        <v>219.64996945194699</v>
      </c>
      <c r="E1082" s="6">
        <v>283.908475874999</v>
      </c>
      <c r="F1082" s="6">
        <v>270.93255570531102</v>
      </c>
      <c r="G1082" s="6">
        <v>270.93255570531102</v>
      </c>
      <c r="H1082" s="6">
        <v>-19.6012363739334</v>
      </c>
      <c r="I1082" s="6">
        <v>-19.6012363739334</v>
      </c>
      <c r="J1082" s="6">
        <v>-19.6012363739334</v>
      </c>
      <c r="K1082" s="6">
        <v>0.84522403106669697</v>
      </c>
      <c r="L1082" s="6">
        <v>0.84522403106669697</v>
      </c>
      <c r="M1082" s="6">
        <v>0.84522403106669697</v>
      </c>
      <c r="N1082" s="6">
        <v>-20.446460405000099</v>
      </c>
      <c r="O1082" s="6">
        <v>-20.446460405000099</v>
      </c>
      <c r="P1082" s="6">
        <v>-20.446460405000099</v>
      </c>
      <c r="Q1082" s="6">
        <v>0</v>
      </c>
      <c r="R1082" s="6">
        <v>0</v>
      </c>
      <c r="S1082" s="6">
        <v>0</v>
      </c>
      <c r="T1082" s="6">
        <v>251.33131933137699</v>
      </c>
    </row>
    <row r="1083" spans="1:20" ht="13" x14ac:dyDescent="0.15">
      <c r="A1083" s="6">
        <v>1081</v>
      </c>
      <c r="B1083" s="7">
        <v>44727</v>
      </c>
      <c r="C1083" s="6">
        <v>270.47641337606399</v>
      </c>
      <c r="D1083" s="6">
        <v>217.38362094539099</v>
      </c>
      <c r="E1083" s="6">
        <v>282.57031793145001</v>
      </c>
      <c r="F1083" s="6">
        <v>270.47641337606399</v>
      </c>
      <c r="G1083" s="6">
        <v>270.47641337606399</v>
      </c>
      <c r="H1083" s="6">
        <v>-19.614592233340499</v>
      </c>
      <c r="I1083" s="6">
        <v>-19.614592233340499</v>
      </c>
      <c r="J1083" s="6">
        <v>-19.614592233340499</v>
      </c>
      <c r="K1083" s="6">
        <v>0.94874688043686095</v>
      </c>
      <c r="L1083" s="6">
        <v>0.94874688043686095</v>
      </c>
      <c r="M1083" s="6">
        <v>0.94874688043686095</v>
      </c>
      <c r="N1083" s="6">
        <v>-20.563339113777399</v>
      </c>
      <c r="O1083" s="6">
        <v>-20.563339113777399</v>
      </c>
      <c r="P1083" s="6">
        <v>-20.563339113777399</v>
      </c>
      <c r="Q1083" s="6">
        <v>0</v>
      </c>
      <c r="R1083" s="6">
        <v>0</v>
      </c>
      <c r="S1083" s="6">
        <v>0</v>
      </c>
      <c r="T1083" s="6">
        <v>250.86182114272299</v>
      </c>
    </row>
    <row r="1084" spans="1:20" ht="13" x14ac:dyDescent="0.15">
      <c r="A1084" s="6">
        <v>1082</v>
      </c>
      <c r="B1084" s="7">
        <v>44728</v>
      </c>
      <c r="C1084" s="6">
        <v>270.02027104681702</v>
      </c>
      <c r="D1084" s="6">
        <v>216.69118734034399</v>
      </c>
      <c r="E1084" s="6">
        <v>281.72068413183302</v>
      </c>
      <c r="F1084" s="6">
        <v>270.02027104681702</v>
      </c>
      <c r="G1084" s="6">
        <v>270.02027104681702</v>
      </c>
      <c r="H1084" s="6">
        <v>-20.185492854638699</v>
      </c>
      <c r="I1084" s="6">
        <v>-20.185492854638699</v>
      </c>
      <c r="J1084" s="6">
        <v>-20.185492854638699</v>
      </c>
      <c r="K1084" s="6">
        <v>0.490155213559759</v>
      </c>
      <c r="L1084" s="6">
        <v>0.490155213559759</v>
      </c>
      <c r="M1084" s="6">
        <v>0.490155213559759</v>
      </c>
      <c r="N1084" s="6">
        <v>-20.675648068198502</v>
      </c>
      <c r="O1084" s="6">
        <v>-20.675648068198502</v>
      </c>
      <c r="P1084" s="6">
        <v>-20.675648068198502</v>
      </c>
      <c r="Q1084" s="6">
        <v>0</v>
      </c>
      <c r="R1084" s="6">
        <v>0</v>
      </c>
      <c r="S1084" s="6">
        <v>0</v>
      </c>
      <c r="T1084" s="6">
        <v>249.83477819217899</v>
      </c>
    </row>
    <row r="1085" spans="1:20" ht="13" x14ac:dyDescent="0.15">
      <c r="A1085" s="6">
        <v>1083</v>
      </c>
      <c r="B1085" s="7">
        <v>44729</v>
      </c>
      <c r="C1085" s="6">
        <v>269.56412871757101</v>
      </c>
      <c r="D1085" s="6">
        <v>217.14826218119299</v>
      </c>
      <c r="E1085" s="6">
        <v>281.35876823760299</v>
      </c>
      <c r="F1085" s="6">
        <v>269.56412871757101</v>
      </c>
      <c r="G1085" s="6">
        <v>269.56412871757101</v>
      </c>
      <c r="H1085" s="6">
        <v>-20.7949245092538</v>
      </c>
      <c r="I1085" s="6">
        <v>-20.7949245092538</v>
      </c>
      <c r="J1085" s="6">
        <v>-20.7949245092538</v>
      </c>
      <c r="K1085" s="6">
        <v>-2.2976765061306598E-2</v>
      </c>
      <c r="L1085" s="6">
        <v>-2.2976765061306598E-2</v>
      </c>
      <c r="M1085" s="6">
        <v>-2.2976765061306598E-2</v>
      </c>
      <c r="N1085" s="6">
        <v>-20.771947744192499</v>
      </c>
      <c r="O1085" s="6">
        <v>-20.771947744192499</v>
      </c>
      <c r="P1085" s="6">
        <v>-20.771947744192499</v>
      </c>
      <c r="Q1085" s="6">
        <v>0</v>
      </c>
      <c r="R1085" s="6">
        <v>0</v>
      </c>
      <c r="S1085" s="6">
        <v>0</v>
      </c>
      <c r="T1085" s="6">
        <v>248.76920420831701</v>
      </c>
    </row>
    <row r="1086" spans="1:20" ht="13" x14ac:dyDescent="0.15">
      <c r="A1086" s="6">
        <v>1084</v>
      </c>
      <c r="B1086" s="7">
        <v>44733</v>
      </c>
      <c r="C1086" s="6">
        <v>267.73955940058403</v>
      </c>
      <c r="D1086" s="6">
        <v>218.38407285397599</v>
      </c>
      <c r="E1086" s="6">
        <v>280.63683428181503</v>
      </c>
      <c r="F1086" s="6">
        <v>267.73955940058403</v>
      </c>
      <c r="G1086" s="6">
        <v>267.73955940058403</v>
      </c>
      <c r="H1086" s="6">
        <v>-19.9453968955013</v>
      </c>
      <c r="I1086" s="6">
        <v>-19.9453968955013</v>
      </c>
      <c r="J1086" s="6">
        <v>-19.9453968955013</v>
      </c>
      <c r="K1086" s="6">
        <v>0.84522403106686395</v>
      </c>
      <c r="L1086" s="6">
        <v>0.84522403106686395</v>
      </c>
      <c r="M1086" s="6">
        <v>0.84522403106686395</v>
      </c>
      <c r="N1086" s="6">
        <v>-20.790620926568099</v>
      </c>
      <c r="O1086" s="6">
        <v>-20.790620926568099</v>
      </c>
      <c r="P1086" s="6">
        <v>-20.790620926568099</v>
      </c>
      <c r="Q1086" s="6">
        <v>0</v>
      </c>
      <c r="R1086" s="6">
        <v>0</v>
      </c>
      <c r="S1086" s="6">
        <v>0</v>
      </c>
      <c r="T1086" s="6">
        <v>247.79416250508299</v>
      </c>
    </row>
    <row r="1087" spans="1:20" ht="13" x14ac:dyDescent="0.15">
      <c r="A1087" s="6">
        <v>1085</v>
      </c>
      <c r="B1087" s="7">
        <v>44734</v>
      </c>
      <c r="C1087" s="6">
        <v>267.283417071337</v>
      </c>
      <c r="D1087" s="6">
        <v>218.94328346969999</v>
      </c>
      <c r="E1087" s="6">
        <v>281.11681174598698</v>
      </c>
      <c r="F1087" s="6">
        <v>267.283417071337</v>
      </c>
      <c r="G1087" s="6">
        <v>267.283417071337</v>
      </c>
      <c r="H1087" s="6">
        <v>-19.713488352111501</v>
      </c>
      <c r="I1087" s="6">
        <v>-19.713488352111501</v>
      </c>
      <c r="J1087" s="6">
        <v>-19.713488352111501</v>
      </c>
      <c r="K1087" s="6">
        <v>0.94874688043456501</v>
      </c>
      <c r="L1087" s="6">
        <v>0.94874688043456501</v>
      </c>
      <c r="M1087" s="6">
        <v>0.94874688043456501</v>
      </c>
      <c r="N1087" s="6">
        <v>-20.662235232545999</v>
      </c>
      <c r="O1087" s="6">
        <v>-20.662235232545999</v>
      </c>
      <c r="P1087" s="6">
        <v>-20.662235232545999</v>
      </c>
      <c r="Q1087" s="6">
        <v>0</v>
      </c>
      <c r="R1087" s="6">
        <v>0</v>
      </c>
      <c r="S1087" s="6">
        <v>0</v>
      </c>
      <c r="T1087" s="6">
        <v>247.569928719226</v>
      </c>
    </row>
    <row r="1088" spans="1:20" ht="13" x14ac:dyDescent="0.15">
      <c r="A1088" s="6">
        <v>1086</v>
      </c>
      <c r="B1088" s="7">
        <v>44735</v>
      </c>
      <c r="C1088" s="6">
        <v>266.82727474209099</v>
      </c>
      <c r="D1088" s="6">
        <v>217.040110445799</v>
      </c>
      <c r="E1088" s="6">
        <v>278.53929787287899</v>
      </c>
      <c r="F1088" s="6">
        <v>266.82727474209099</v>
      </c>
      <c r="G1088" s="6">
        <v>266.82727474209099</v>
      </c>
      <c r="H1088" s="6">
        <v>-19.979454060287502</v>
      </c>
      <c r="I1088" s="6">
        <v>-19.979454060287502</v>
      </c>
      <c r="J1088" s="6">
        <v>-19.979454060287502</v>
      </c>
      <c r="K1088" s="6">
        <v>0.49015521355692099</v>
      </c>
      <c r="L1088" s="6">
        <v>0.49015521355692099</v>
      </c>
      <c r="M1088" s="6">
        <v>0.49015521355692099</v>
      </c>
      <c r="N1088" s="6">
        <v>-20.469609273844402</v>
      </c>
      <c r="O1088" s="6">
        <v>-20.469609273844402</v>
      </c>
      <c r="P1088" s="6">
        <v>-20.469609273844402</v>
      </c>
      <c r="Q1088" s="6">
        <v>0</v>
      </c>
      <c r="R1088" s="6">
        <v>0</v>
      </c>
      <c r="S1088" s="6">
        <v>0</v>
      </c>
      <c r="T1088" s="6">
        <v>246.847820681803</v>
      </c>
    </row>
    <row r="1089" spans="1:20" ht="13" x14ac:dyDescent="0.15">
      <c r="A1089" s="6">
        <v>1087</v>
      </c>
      <c r="B1089" s="7">
        <v>44736</v>
      </c>
      <c r="C1089" s="6">
        <v>266.37113241284402</v>
      </c>
      <c r="D1089" s="6">
        <v>212.47411200162</v>
      </c>
      <c r="E1089" s="6">
        <v>276.70764984447698</v>
      </c>
      <c r="F1089" s="6">
        <v>266.37113241284402</v>
      </c>
      <c r="G1089" s="6">
        <v>266.37113241284402</v>
      </c>
      <c r="H1089" s="6">
        <v>-20.233495309741699</v>
      </c>
      <c r="I1089" s="6">
        <v>-20.233495309741699</v>
      </c>
      <c r="J1089" s="6">
        <v>-20.233495309741699</v>
      </c>
      <c r="K1089" s="6">
        <v>-2.2976765063918599E-2</v>
      </c>
      <c r="L1089" s="6">
        <v>-2.2976765063918599E-2</v>
      </c>
      <c r="M1089" s="6">
        <v>-2.2976765063918599E-2</v>
      </c>
      <c r="N1089" s="6">
        <v>-20.2105185446778</v>
      </c>
      <c r="O1089" s="6">
        <v>-20.2105185446778</v>
      </c>
      <c r="P1089" s="6">
        <v>-20.2105185446778</v>
      </c>
      <c r="Q1089" s="6">
        <v>0</v>
      </c>
      <c r="R1089" s="6">
        <v>0</v>
      </c>
      <c r="S1089" s="6">
        <v>0</v>
      </c>
      <c r="T1089" s="6">
        <v>246.13763710310201</v>
      </c>
    </row>
    <row r="1090" spans="1:20" ht="13" x14ac:dyDescent="0.15">
      <c r="A1090" s="6">
        <v>1088</v>
      </c>
      <c r="B1090" s="7">
        <v>44739</v>
      </c>
      <c r="C1090" s="6">
        <v>265.00270542510401</v>
      </c>
      <c r="D1090" s="6">
        <v>216.26249575555201</v>
      </c>
      <c r="E1090" s="6">
        <v>282.30226051218801</v>
      </c>
      <c r="F1090" s="6">
        <v>265.00270542510401</v>
      </c>
      <c r="G1090" s="6">
        <v>265.00270542510401</v>
      </c>
      <c r="H1090" s="6">
        <v>-17.219477517329601</v>
      </c>
      <c r="I1090" s="6">
        <v>-17.219477517329601</v>
      </c>
      <c r="J1090" s="6">
        <v>-17.219477517329601</v>
      </c>
      <c r="K1090" s="6">
        <v>1.82289060893961</v>
      </c>
      <c r="L1090" s="6">
        <v>1.82289060893961</v>
      </c>
      <c r="M1090" s="6">
        <v>1.82289060893961</v>
      </c>
      <c r="N1090" s="6">
        <v>-19.042368126269199</v>
      </c>
      <c r="O1090" s="6">
        <v>-19.042368126269199</v>
      </c>
      <c r="P1090" s="6">
        <v>-19.042368126269199</v>
      </c>
      <c r="Q1090" s="6">
        <v>0</v>
      </c>
      <c r="R1090" s="6">
        <v>0</v>
      </c>
      <c r="S1090" s="6">
        <v>0</v>
      </c>
      <c r="T1090" s="6">
        <v>247.78322790777401</v>
      </c>
    </row>
    <row r="1091" spans="1:20" ht="13" x14ac:dyDescent="0.15">
      <c r="A1091" s="6">
        <v>1089</v>
      </c>
      <c r="B1091" s="7">
        <v>44740</v>
      </c>
      <c r="C1091" s="6">
        <v>264.54656309585698</v>
      </c>
      <c r="D1091" s="6">
        <v>213.78922237929299</v>
      </c>
      <c r="E1091" s="6">
        <v>279.69367443496401</v>
      </c>
      <c r="F1091" s="6">
        <v>264.54656309585698</v>
      </c>
      <c r="G1091" s="6">
        <v>264.54656309585698</v>
      </c>
      <c r="H1091" s="6">
        <v>-17.689777832256699</v>
      </c>
      <c r="I1091" s="6">
        <v>-17.689777832256699</v>
      </c>
      <c r="J1091" s="6">
        <v>-17.689777832256699</v>
      </c>
      <c r="K1091" s="6">
        <v>0.845224031065406</v>
      </c>
      <c r="L1091" s="6">
        <v>0.845224031065406</v>
      </c>
      <c r="M1091" s="6">
        <v>0.845224031065406</v>
      </c>
      <c r="N1091" s="6">
        <v>-18.535001863322101</v>
      </c>
      <c r="O1091" s="6">
        <v>-18.535001863322101</v>
      </c>
      <c r="P1091" s="6">
        <v>-18.535001863322101</v>
      </c>
      <c r="Q1091" s="6">
        <v>0</v>
      </c>
      <c r="R1091" s="6">
        <v>0</v>
      </c>
      <c r="S1091" s="6">
        <v>0</v>
      </c>
      <c r="T1091" s="6">
        <v>246.85678526360101</v>
      </c>
    </row>
    <row r="1092" spans="1:20" ht="13" x14ac:dyDescent="0.15">
      <c r="A1092" s="6">
        <v>1090</v>
      </c>
      <c r="B1092" s="7">
        <v>44741</v>
      </c>
      <c r="C1092" s="6">
        <v>264.09042076661098</v>
      </c>
      <c r="D1092" s="6">
        <v>216.25021159815901</v>
      </c>
      <c r="E1092" s="6">
        <v>280.51983495516498</v>
      </c>
      <c r="F1092" s="6">
        <v>264.09042076661098</v>
      </c>
      <c r="G1092" s="6">
        <v>264.09042076661098</v>
      </c>
      <c r="H1092" s="6">
        <v>-17.030405486253301</v>
      </c>
      <c r="I1092" s="6">
        <v>-17.030405486253301</v>
      </c>
      <c r="J1092" s="6">
        <v>-17.030405486253301</v>
      </c>
      <c r="K1092" s="6">
        <v>0.94874688043641398</v>
      </c>
      <c r="L1092" s="6">
        <v>0.94874688043641398</v>
      </c>
      <c r="M1092" s="6">
        <v>0.94874688043641398</v>
      </c>
      <c r="N1092" s="6">
        <v>-17.9791523666897</v>
      </c>
      <c r="O1092" s="6">
        <v>-17.9791523666897</v>
      </c>
      <c r="P1092" s="6">
        <v>-17.9791523666897</v>
      </c>
      <c r="Q1092" s="6">
        <v>0</v>
      </c>
      <c r="R1092" s="6">
        <v>0</v>
      </c>
      <c r="S1092" s="6">
        <v>0</v>
      </c>
      <c r="T1092" s="6">
        <v>247.06001528035699</v>
      </c>
    </row>
    <row r="1093" spans="1:20" ht="13" x14ac:dyDescent="0.15">
      <c r="A1093" s="6">
        <v>1091</v>
      </c>
      <c r="B1093" s="7">
        <v>44742</v>
      </c>
      <c r="C1093" s="6">
        <v>263.634278437364</v>
      </c>
      <c r="D1093" s="6">
        <v>213.953273376217</v>
      </c>
      <c r="E1093" s="6">
        <v>280.17764308955901</v>
      </c>
      <c r="F1093" s="6">
        <v>263.634278437364</v>
      </c>
      <c r="G1093" s="6">
        <v>263.634278437364</v>
      </c>
      <c r="H1093" s="6">
        <v>-16.893132473878001</v>
      </c>
      <c r="I1093" s="6">
        <v>-16.893132473878001</v>
      </c>
      <c r="J1093" s="6">
        <v>-16.893132473878001</v>
      </c>
      <c r="K1093" s="6">
        <v>0.49015521355664299</v>
      </c>
      <c r="L1093" s="6">
        <v>0.49015521355664299</v>
      </c>
      <c r="M1093" s="6">
        <v>0.49015521355664299</v>
      </c>
      <c r="N1093" s="6">
        <v>-17.383287687434599</v>
      </c>
      <c r="O1093" s="6">
        <v>-17.383287687434599</v>
      </c>
      <c r="P1093" s="6">
        <v>-17.383287687434599</v>
      </c>
      <c r="Q1093" s="6">
        <v>0</v>
      </c>
      <c r="R1093" s="6">
        <v>0</v>
      </c>
      <c r="S1093" s="6">
        <v>0</v>
      </c>
      <c r="T1093" s="6">
        <v>246.74114596348599</v>
      </c>
    </row>
    <row r="1094" spans="1:20" ht="13" x14ac:dyDescent="0.15">
      <c r="A1094" s="6">
        <v>1092</v>
      </c>
      <c r="B1094" s="7">
        <v>44743</v>
      </c>
      <c r="C1094" s="6">
        <v>263.17813610811697</v>
      </c>
      <c r="D1094" s="6">
        <v>210.35956743545799</v>
      </c>
      <c r="E1094" s="6">
        <v>279.59308126466999</v>
      </c>
      <c r="F1094" s="6">
        <v>263.17813610811697</v>
      </c>
      <c r="G1094" s="6">
        <v>263.17813610811697</v>
      </c>
      <c r="H1094" s="6">
        <v>-16.779906920562599</v>
      </c>
      <c r="I1094" s="6">
        <v>-16.779906920562599</v>
      </c>
      <c r="J1094" s="6">
        <v>-16.779906920562599</v>
      </c>
      <c r="K1094" s="6">
        <v>-2.2976765066530801E-2</v>
      </c>
      <c r="L1094" s="6">
        <v>-2.2976765066530801E-2</v>
      </c>
      <c r="M1094" s="6">
        <v>-2.2976765066530801E-2</v>
      </c>
      <c r="N1094" s="6">
        <v>-16.756930155496001</v>
      </c>
      <c r="O1094" s="6">
        <v>-16.756930155496001</v>
      </c>
      <c r="P1094" s="6">
        <v>-16.756930155496001</v>
      </c>
      <c r="Q1094" s="6">
        <v>0</v>
      </c>
      <c r="R1094" s="6">
        <v>0</v>
      </c>
      <c r="S1094" s="6">
        <v>0</v>
      </c>
      <c r="T1094" s="6">
        <v>246.39822918755499</v>
      </c>
    </row>
    <row r="1095" spans="1:20" ht="13" x14ac:dyDescent="0.15">
      <c r="A1095" s="6">
        <v>1093</v>
      </c>
      <c r="B1095" s="7">
        <v>44747</v>
      </c>
      <c r="C1095" s="6">
        <v>261.35356679113102</v>
      </c>
      <c r="D1095" s="6">
        <v>215.49945746979299</v>
      </c>
      <c r="E1095" s="6">
        <v>278.601393048479</v>
      </c>
      <c r="F1095" s="6">
        <v>261.35356679113102</v>
      </c>
      <c r="G1095" s="6">
        <v>261.35356679113102</v>
      </c>
      <c r="H1095" s="6">
        <v>-13.309966133975101</v>
      </c>
      <c r="I1095" s="6">
        <v>-13.309966133975101</v>
      </c>
      <c r="J1095" s="6">
        <v>-13.309966133975101</v>
      </c>
      <c r="K1095" s="6">
        <v>0.84522403106476096</v>
      </c>
      <c r="L1095" s="6">
        <v>0.84522403106476096</v>
      </c>
      <c r="M1095" s="6">
        <v>0.84522403106476096</v>
      </c>
      <c r="N1095" s="6">
        <v>-14.155190165039899</v>
      </c>
      <c r="O1095" s="6">
        <v>-14.155190165039899</v>
      </c>
      <c r="P1095" s="6">
        <v>-14.155190165039899</v>
      </c>
      <c r="Q1095" s="6">
        <v>0</v>
      </c>
      <c r="R1095" s="6">
        <v>0</v>
      </c>
      <c r="S1095" s="6">
        <v>0</v>
      </c>
      <c r="T1095" s="6">
        <v>248.043600657155</v>
      </c>
    </row>
    <row r="1096" spans="1:20" ht="13" x14ac:dyDescent="0.15">
      <c r="A1096" s="6">
        <v>1094</v>
      </c>
      <c r="B1096" s="7">
        <v>44748</v>
      </c>
      <c r="C1096" s="6">
        <v>260.89742446188399</v>
      </c>
      <c r="D1096" s="6">
        <v>216.190954581234</v>
      </c>
      <c r="E1096" s="6">
        <v>280.826607065269</v>
      </c>
      <c r="F1096" s="6">
        <v>260.89742446188399</v>
      </c>
      <c r="G1096" s="6">
        <v>260.89742446188399</v>
      </c>
      <c r="H1096" s="6">
        <v>-12.583683511012801</v>
      </c>
      <c r="I1096" s="6">
        <v>-12.583683511012801</v>
      </c>
      <c r="J1096" s="6">
        <v>-12.583683511012801</v>
      </c>
      <c r="K1096" s="6">
        <v>0.94874688043826305</v>
      </c>
      <c r="L1096" s="6">
        <v>0.94874688043826305</v>
      </c>
      <c r="M1096" s="6">
        <v>0.94874688043826305</v>
      </c>
      <c r="N1096" s="6">
        <v>-13.532430391451101</v>
      </c>
      <c r="O1096" s="6">
        <v>-13.532430391451101</v>
      </c>
      <c r="P1096" s="6">
        <v>-13.532430391451101</v>
      </c>
      <c r="Q1096" s="6">
        <v>0</v>
      </c>
      <c r="R1096" s="6">
        <v>0</v>
      </c>
      <c r="S1096" s="6">
        <v>0</v>
      </c>
      <c r="T1096" s="6">
        <v>248.31374095087099</v>
      </c>
    </row>
    <row r="1097" spans="1:20" ht="13" x14ac:dyDescent="0.15">
      <c r="A1097" s="6">
        <v>1095</v>
      </c>
      <c r="B1097" s="7">
        <v>44749</v>
      </c>
      <c r="C1097" s="6">
        <v>260.44128213263701</v>
      </c>
      <c r="D1097" s="6">
        <v>217.41153046628301</v>
      </c>
      <c r="E1097" s="6">
        <v>283.36314572701502</v>
      </c>
      <c r="F1097" s="6">
        <v>260.44128213263701</v>
      </c>
      <c r="G1097" s="6">
        <v>260.44128213263701</v>
      </c>
      <c r="H1097" s="6">
        <v>-12.449181781082901</v>
      </c>
      <c r="I1097" s="6">
        <v>-12.449181781082901</v>
      </c>
      <c r="J1097" s="6">
        <v>-12.449181781082901</v>
      </c>
      <c r="K1097" s="6">
        <v>0.49015521355380498</v>
      </c>
      <c r="L1097" s="6">
        <v>0.49015521355380498</v>
      </c>
      <c r="M1097" s="6">
        <v>0.49015521355380498</v>
      </c>
      <c r="N1097" s="6">
        <v>-12.939336994636699</v>
      </c>
      <c r="O1097" s="6">
        <v>-12.939336994636699</v>
      </c>
      <c r="P1097" s="6">
        <v>-12.939336994636699</v>
      </c>
      <c r="Q1097" s="6">
        <v>0</v>
      </c>
      <c r="R1097" s="6">
        <v>0</v>
      </c>
      <c r="S1097" s="6">
        <v>0</v>
      </c>
      <c r="T1097" s="6">
        <v>247.992100351554</v>
      </c>
    </row>
    <row r="1098" spans="1:20" ht="13" x14ac:dyDescent="0.15">
      <c r="A1098" s="6">
        <v>1096</v>
      </c>
      <c r="B1098" s="7">
        <v>44750</v>
      </c>
      <c r="C1098" s="6">
        <v>259.98513980339101</v>
      </c>
      <c r="D1098" s="6">
        <v>216.60641934449799</v>
      </c>
      <c r="E1098" s="6">
        <v>279.59428690372999</v>
      </c>
      <c r="F1098" s="6">
        <v>259.98513980339101</v>
      </c>
      <c r="G1098" s="6">
        <v>259.98513980339101</v>
      </c>
      <c r="H1098" s="6">
        <v>-12.406245685471999</v>
      </c>
      <c r="I1098" s="6">
        <v>-12.406245685471999</v>
      </c>
      <c r="J1098" s="6">
        <v>-12.406245685471999</v>
      </c>
      <c r="K1098" s="6">
        <v>-2.2976765069142702E-2</v>
      </c>
      <c r="L1098" s="6">
        <v>-2.2976765069142702E-2</v>
      </c>
      <c r="M1098" s="6">
        <v>-2.2976765069142702E-2</v>
      </c>
      <c r="N1098" s="6">
        <v>-12.3832689204029</v>
      </c>
      <c r="O1098" s="6">
        <v>-12.3832689204029</v>
      </c>
      <c r="P1098" s="6">
        <v>-12.3832689204029</v>
      </c>
      <c r="Q1098" s="6">
        <v>0</v>
      </c>
      <c r="R1098" s="6">
        <v>0</v>
      </c>
      <c r="S1098" s="6">
        <v>0</v>
      </c>
      <c r="T1098" s="6">
        <v>247.57889411791899</v>
      </c>
    </row>
    <row r="1099" spans="1:20" ht="13" x14ac:dyDescent="0.15">
      <c r="A1099" s="6">
        <v>1097</v>
      </c>
      <c r="B1099" s="7">
        <v>44753</v>
      </c>
      <c r="C1099" s="6">
        <v>258.616712815651</v>
      </c>
      <c r="D1099" s="6">
        <v>219.52952295577401</v>
      </c>
      <c r="E1099" s="6">
        <v>279.76455901636501</v>
      </c>
      <c r="F1099" s="6">
        <v>258.616712815651</v>
      </c>
      <c r="G1099" s="6">
        <v>258.616712815651</v>
      </c>
      <c r="H1099" s="6">
        <v>-9.1638686436906092</v>
      </c>
      <c r="I1099" s="6">
        <v>-9.1638686436906092</v>
      </c>
      <c r="J1099" s="6">
        <v>-9.1638686436906092</v>
      </c>
      <c r="K1099" s="6">
        <v>1.8228906089338901</v>
      </c>
      <c r="L1099" s="6">
        <v>1.8228906089338901</v>
      </c>
      <c r="M1099" s="6">
        <v>1.8228906089338901</v>
      </c>
      <c r="N1099" s="6">
        <v>-10.9867592526245</v>
      </c>
      <c r="O1099" s="6">
        <v>-10.9867592526245</v>
      </c>
      <c r="P1099" s="6">
        <v>-10.9867592526245</v>
      </c>
      <c r="Q1099" s="6">
        <v>0</v>
      </c>
      <c r="R1099" s="6">
        <v>0</v>
      </c>
      <c r="S1099" s="6">
        <v>0</v>
      </c>
      <c r="T1099" s="6">
        <v>249.45284417196001</v>
      </c>
    </row>
    <row r="1100" spans="1:20" ht="13" x14ac:dyDescent="0.15">
      <c r="A1100" s="6">
        <v>1098</v>
      </c>
      <c r="B1100" s="7">
        <v>44754</v>
      </c>
      <c r="C1100" s="6">
        <v>258.16057048640403</v>
      </c>
      <c r="D1100" s="6">
        <v>216.39483288363101</v>
      </c>
      <c r="E1100" s="6">
        <v>281.18182077288901</v>
      </c>
      <c r="F1100" s="6">
        <v>258.16057048640403</v>
      </c>
      <c r="G1100" s="6">
        <v>258.16057048640403</v>
      </c>
      <c r="H1100" s="6">
        <v>-9.7740278726799392</v>
      </c>
      <c r="I1100" s="6">
        <v>-9.7740278726799392</v>
      </c>
      <c r="J1100" s="6">
        <v>-9.7740278726799392</v>
      </c>
      <c r="K1100" s="6">
        <v>0.84522403106411603</v>
      </c>
      <c r="L1100" s="6">
        <v>0.84522403106411603</v>
      </c>
      <c r="M1100" s="6">
        <v>0.84522403106411603</v>
      </c>
      <c r="N1100" s="6">
        <v>-10.619251903744001</v>
      </c>
      <c r="O1100" s="6">
        <v>-10.619251903744001</v>
      </c>
      <c r="P1100" s="6">
        <v>-10.619251903744001</v>
      </c>
      <c r="Q1100" s="6">
        <v>0</v>
      </c>
      <c r="R1100" s="6">
        <v>0</v>
      </c>
      <c r="S1100" s="6">
        <v>0</v>
      </c>
      <c r="T1100" s="6">
        <v>248.386542613724</v>
      </c>
    </row>
    <row r="1101" spans="1:20" ht="13" x14ac:dyDescent="0.15">
      <c r="A1101" s="6">
        <v>1099</v>
      </c>
      <c r="B1101" s="7">
        <v>44755</v>
      </c>
      <c r="C1101" s="6">
        <v>257.704428157157</v>
      </c>
      <c r="D1101" s="6">
        <v>216.42989387100999</v>
      </c>
      <c r="E1101" s="6">
        <v>282.264713186488</v>
      </c>
      <c r="F1101" s="6">
        <v>257.704428157157</v>
      </c>
      <c r="G1101" s="6">
        <v>257.704428157157</v>
      </c>
      <c r="H1101" s="6">
        <v>-9.3509219973980109</v>
      </c>
      <c r="I1101" s="6">
        <v>-9.3509219973980109</v>
      </c>
      <c r="J1101" s="6">
        <v>-9.3509219973980109</v>
      </c>
      <c r="K1101" s="6">
        <v>0.94874688043475397</v>
      </c>
      <c r="L1101" s="6">
        <v>0.94874688043475397</v>
      </c>
      <c r="M1101" s="6">
        <v>0.94874688043475397</v>
      </c>
      <c r="N1101" s="6">
        <v>-10.299668877832699</v>
      </c>
      <c r="O1101" s="6">
        <v>-10.299668877832699</v>
      </c>
      <c r="P1101" s="6">
        <v>-10.299668877832699</v>
      </c>
      <c r="Q1101" s="6">
        <v>0</v>
      </c>
      <c r="R1101" s="6">
        <v>0</v>
      </c>
      <c r="S1101" s="6">
        <v>0</v>
      </c>
      <c r="T1101" s="6">
        <v>248.35350615975901</v>
      </c>
    </row>
    <row r="1102" spans="1:20" ht="13" x14ac:dyDescent="0.15">
      <c r="A1102" s="6">
        <v>1100</v>
      </c>
      <c r="B1102" s="7">
        <v>44756</v>
      </c>
      <c r="C1102" s="6">
        <v>257.24828582791099</v>
      </c>
      <c r="D1102" s="6">
        <v>217.01793883558199</v>
      </c>
      <c r="E1102" s="6">
        <v>279.769361919294</v>
      </c>
      <c r="F1102" s="6">
        <v>257.24828582791099</v>
      </c>
      <c r="G1102" s="6">
        <v>257.24828582791099</v>
      </c>
      <c r="H1102" s="6">
        <v>-9.5343693176336792</v>
      </c>
      <c r="I1102" s="6">
        <v>-9.5343693176336792</v>
      </c>
      <c r="J1102" s="6">
        <v>-9.5343693176336792</v>
      </c>
      <c r="K1102" s="6">
        <v>0.49015521355900099</v>
      </c>
      <c r="L1102" s="6">
        <v>0.49015521355900099</v>
      </c>
      <c r="M1102" s="6">
        <v>0.49015521355900099</v>
      </c>
      <c r="N1102" s="6">
        <v>-10.024524531192601</v>
      </c>
      <c r="O1102" s="6">
        <v>-10.024524531192601</v>
      </c>
      <c r="P1102" s="6">
        <v>-10.024524531192601</v>
      </c>
      <c r="Q1102" s="6">
        <v>0</v>
      </c>
      <c r="R1102" s="6">
        <v>0</v>
      </c>
      <c r="S1102" s="6">
        <v>0</v>
      </c>
      <c r="T1102" s="6">
        <v>247.71391651027699</v>
      </c>
    </row>
    <row r="1103" spans="1:20" ht="13" x14ac:dyDescent="0.15">
      <c r="A1103" s="6">
        <v>1101</v>
      </c>
      <c r="B1103" s="7">
        <v>44757</v>
      </c>
      <c r="C1103" s="6">
        <v>256.79214349866402</v>
      </c>
      <c r="D1103" s="6">
        <v>212.608734267161</v>
      </c>
      <c r="E1103" s="6">
        <v>278.23694410967403</v>
      </c>
      <c r="F1103" s="6">
        <v>256.79214349866402</v>
      </c>
      <c r="G1103" s="6">
        <v>256.79214349866402</v>
      </c>
      <c r="H1103" s="6">
        <v>-9.8115569709448707</v>
      </c>
      <c r="I1103" s="6">
        <v>-9.8115569709448707</v>
      </c>
      <c r="J1103" s="6">
        <v>-9.8115569709448707</v>
      </c>
      <c r="K1103" s="6">
        <v>-2.2976765067196401E-2</v>
      </c>
      <c r="L1103" s="6">
        <v>-2.2976765067196401E-2</v>
      </c>
      <c r="M1103" s="6">
        <v>-2.2976765067196401E-2</v>
      </c>
      <c r="N1103" s="6">
        <v>-9.7885802058776701</v>
      </c>
      <c r="O1103" s="6">
        <v>-9.7885802058776701</v>
      </c>
      <c r="P1103" s="6">
        <v>-9.7885802058776701</v>
      </c>
      <c r="Q1103" s="6">
        <v>0</v>
      </c>
      <c r="R1103" s="6">
        <v>0</v>
      </c>
      <c r="S1103" s="6">
        <v>0</v>
      </c>
      <c r="T1103" s="6">
        <v>246.980586527719</v>
      </c>
    </row>
    <row r="1104" spans="1:20" ht="13" x14ac:dyDescent="0.15">
      <c r="A1104" s="6">
        <v>1102</v>
      </c>
      <c r="B1104" s="7">
        <v>44760</v>
      </c>
      <c r="C1104" s="6">
        <v>255.42371651092401</v>
      </c>
      <c r="D1104" s="6">
        <v>216.32584955978399</v>
      </c>
      <c r="E1104" s="6">
        <v>279.41614397115802</v>
      </c>
      <c r="F1104" s="6">
        <v>255.42371651092401</v>
      </c>
      <c r="G1104" s="6">
        <v>255.42371651092401</v>
      </c>
      <c r="H1104" s="6">
        <v>-7.4185654561779302</v>
      </c>
      <c r="I1104" s="6">
        <v>-7.4185654561779302</v>
      </c>
      <c r="J1104" s="6">
        <v>-7.4185654561779302</v>
      </c>
      <c r="K1104" s="6">
        <v>1.8228906089343999</v>
      </c>
      <c r="L1104" s="6">
        <v>1.8228906089343999</v>
      </c>
      <c r="M1104" s="6">
        <v>1.8228906089343999</v>
      </c>
      <c r="N1104" s="6">
        <v>-9.2414560651123292</v>
      </c>
      <c r="O1104" s="6">
        <v>-9.2414560651123292</v>
      </c>
      <c r="P1104" s="6">
        <v>-9.2414560651123292</v>
      </c>
      <c r="Q1104" s="6">
        <v>0</v>
      </c>
      <c r="R1104" s="6">
        <v>0</v>
      </c>
      <c r="S1104" s="6">
        <v>0</v>
      </c>
      <c r="T1104" s="6">
        <v>248.00515105474599</v>
      </c>
    </row>
    <row r="1105" spans="1:20" ht="13" x14ac:dyDescent="0.15">
      <c r="A1105" s="6">
        <v>1103</v>
      </c>
      <c r="B1105" s="7">
        <v>44761</v>
      </c>
      <c r="C1105" s="6">
        <v>254.96757418167701</v>
      </c>
      <c r="D1105" s="6">
        <v>214.83097221780099</v>
      </c>
      <c r="E1105" s="6">
        <v>278.40764407212401</v>
      </c>
      <c r="F1105" s="6">
        <v>254.96757418167701</v>
      </c>
      <c r="G1105" s="6">
        <v>254.96757418167701</v>
      </c>
      <c r="H1105" s="6">
        <v>-8.2370876689378996</v>
      </c>
      <c r="I1105" s="6">
        <v>-8.2370876689378996</v>
      </c>
      <c r="J1105" s="6">
        <v>-8.2370876689378996</v>
      </c>
      <c r="K1105" s="6">
        <v>0.845224031068042</v>
      </c>
      <c r="L1105" s="6">
        <v>0.845224031068042</v>
      </c>
      <c r="M1105" s="6">
        <v>0.845224031068042</v>
      </c>
      <c r="N1105" s="6">
        <v>-9.0823117000059401</v>
      </c>
      <c r="O1105" s="6">
        <v>-9.0823117000059401</v>
      </c>
      <c r="P1105" s="6">
        <v>-9.0823117000059401</v>
      </c>
      <c r="Q1105" s="6">
        <v>0</v>
      </c>
      <c r="R1105" s="6">
        <v>0</v>
      </c>
      <c r="S1105" s="6">
        <v>0</v>
      </c>
      <c r="T1105" s="6">
        <v>246.73048651273899</v>
      </c>
    </row>
    <row r="1106" spans="1:20" ht="13" x14ac:dyDescent="0.15">
      <c r="A1106" s="6">
        <v>1104</v>
      </c>
      <c r="B1106" s="7">
        <v>44762</v>
      </c>
      <c r="C1106" s="6">
        <v>254.511431852431</v>
      </c>
      <c r="D1106" s="6">
        <v>215.34732942635901</v>
      </c>
      <c r="E1106" s="6">
        <v>280.93120264298301</v>
      </c>
      <c r="F1106" s="6">
        <v>254.511431852431</v>
      </c>
      <c r="G1106" s="6">
        <v>254.511431852431</v>
      </c>
      <c r="H1106" s="6">
        <v>-7.9692210644510002</v>
      </c>
      <c r="I1106" s="6">
        <v>-7.9692210644510002</v>
      </c>
      <c r="J1106" s="6">
        <v>-7.9692210644510002</v>
      </c>
      <c r="K1106" s="6">
        <v>0.94874688043660305</v>
      </c>
      <c r="L1106" s="6">
        <v>0.94874688043660305</v>
      </c>
      <c r="M1106" s="6">
        <v>0.94874688043660305</v>
      </c>
      <c r="N1106" s="6">
        <v>-8.9179679448876108</v>
      </c>
      <c r="O1106" s="6">
        <v>-8.9179679448876108</v>
      </c>
      <c r="P1106" s="6">
        <v>-8.9179679448876108</v>
      </c>
      <c r="Q1106" s="6">
        <v>0</v>
      </c>
      <c r="R1106" s="6">
        <v>0</v>
      </c>
      <c r="S1106" s="6">
        <v>0</v>
      </c>
      <c r="T1106" s="6">
        <v>246.54221078798</v>
      </c>
    </row>
    <row r="1107" spans="1:20" ht="13" x14ac:dyDescent="0.15">
      <c r="A1107" s="6">
        <v>1105</v>
      </c>
      <c r="B1107" s="7">
        <v>44763</v>
      </c>
      <c r="C1107" s="6">
        <v>254.055289523184</v>
      </c>
      <c r="D1107" s="6">
        <v>213.66178005164599</v>
      </c>
      <c r="E1107" s="6">
        <v>275.58713782943499</v>
      </c>
      <c r="F1107" s="6">
        <v>254.055289523184</v>
      </c>
      <c r="G1107" s="6">
        <v>254.055289523184</v>
      </c>
      <c r="H1107" s="6">
        <v>-8.2479308169825405</v>
      </c>
      <c r="I1107" s="6">
        <v>-8.2479308169825405</v>
      </c>
      <c r="J1107" s="6">
        <v>-8.2479308169825405</v>
      </c>
      <c r="K1107" s="6">
        <v>0.49015521355616298</v>
      </c>
      <c r="L1107" s="6">
        <v>0.49015521355616298</v>
      </c>
      <c r="M1107" s="6">
        <v>0.49015521355616298</v>
      </c>
      <c r="N1107" s="6">
        <v>-8.7380860305386996</v>
      </c>
      <c r="O1107" s="6">
        <v>-8.7380860305386996</v>
      </c>
      <c r="P1107" s="6">
        <v>-8.7380860305386996</v>
      </c>
      <c r="Q1107" s="6">
        <v>0</v>
      </c>
      <c r="R1107" s="6">
        <v>0</v>
      </c>
      <c r="S1107" s="6">
        <v>0</v>
      </c>
      <c r="T1107" s="6">
        <v>245.807358706201</v>
      </c>
    </row>
    <row r="1108" spans="1:20" ht="13" x14ac:dyDescent="0.15">
      <c r="A1108" s="6">
        <v>1106</v>
      </c>
      <c r="B1108" s="7">
        <v>44764</v>
      </c>
      <c r="C1108" s="6">
        <v>253.599147193937</v>
      </c>
      <c r="D1108" s="6">
        <v>213.86899588220899</v>
      </c>
      <c r="E1108" s="6">
        <v>275.23970996573797</v>
      </c>
      <c r="F1108" s="6">
        <v>253.599147193937</v>
      </c>
      <c r="G1108" s="6">
        <v>253.599147193937</v>
      </c>
      <c r="H1108" s="6">
        <v>-8.5556489713405099</v>
      </c>
      <c r="I1108" s="6">
        <v>-8.5556489713405099</v>
      </c>
      <c r="J1108" s="6">
        <v>-8.5556489713405099</v>
      </c>
      <c r="K1108" s="6">
        <v>-2.2976765061137602E-2</v>
      </c>
      <c r="L1108" s="6">
        <v>-2.2976765061137602E-2</v>
      </c>
      <c r="M1108" s="6">
        <v>-2.2976765061137602E-2</v>
      </c>
      <c r="N1108" s="6">
        <v>-8.5326722062793703</v>
      </c>
      <c r="O1108" s="6">
        <v>-8.5326722062793703</v>
      </c>
      <c r="P1108" s="6">
        <v>-8.5326722062793703</v>
      </c>
      <c r="Q1108" s="6">
        <v>0</v>
      </c>
      <c r="R1108" s="6">
        <v>0</v>
      </c>
      <c r="S1108" s="6">
        <v>0</v>
      </c>
      <c r="T1108" s="6">
        <v>245.04349822259701</v>
      </c>
    </row>
    <row r="1109" spans="1:20" ht="13" x14ac:dyDescent="0.15">
      <c r="A1109" s="6">
        <v>1107</v>
      </c>
      <c r="B1109" s="7">
        <v>44767</v>
      </c>
      <c r="C1109" s="6">
        <v>252.23072020619699</v>
      </c>
      <c r="D1109" s="6">
        <v>212.68645552285599</v>
      </c>
      <c r="E1109" s="6">
        <v>277.46154855996701</v>
      </c>
      <c r="F1109" s="6">
        <v>252.23072020619699</v>
      </c>
      <c r="G1109" s="6">
        <v>252.23072020619699</v>
      </c>
      <c r="H1109" s="6">
        <v>-5.8529939049744497</v>
      </c>
      <c r="I1109" s="6">
        <v>-5.8529939049744497</v>
      </c>
      <c r="J1109" s="6">
        <v>-5.8529939049744497</v>
      </c>
      <c r="K1109" s="6">
        <v>1.82289060893733</v>
      </c>
      <c r="L1109" s="6">
        <v>1.82289060893733</v>
      </c>
      <c r="M1109" s="6">
        <v>1.82289060893733</v>
      </c>
      <c r="N1109" s="6">
        <v>-7.6758845139117797</v>
      </c>
      <c r="O1109" s="6">
        <v>-7.6758845139117797</v>
      </c>
      <c r="P1109" s="6">
        <v>-7.6758845139117797</v>
      </c>
      <c r="Q1109" s="6">
        <v>0</v>
      </c>
      <c r="R1109" s="6">
        <v>0</v>
      </c>
      <c r="S1109" s="6">
        <v>0</v>
      </c>
      <c r="T1109" s="6">
        <v>246.37772630122299</v>
      </c>
    </row>
    <row r="1110" spans="1:20" ht="13" x14ac:dyDescent="0.15">
      <c r="A1110" s="6">
        <v>1108</v>
      </c>
      <c r="B1110" s="7">
        <v>44768</v>
      </c>
      <c r="C1110" s="6">
        <v>251.77457787694999</v>
      </c>
      <c r="D1110" s="6">
        <v>215.08920880514199</v>
      </c>
      <c r="E1110" s="6">
        <v>278.42075260930301</v>
      </c>
      <c r="F1110" s="6">
        <v>251.77457787694999</v>
      </c>
      <c r="G1110" s="6">
        <v>251.77457787694999</v>
      </c>
      <c r="H1110" s="6">
        <v>-6.4421862663376803</v>
      </c>
      <c r="I1110" s="6">
        <v>-6.4421862663376803</v>
      </c>
      <c r="J1110" s="6">
        <v>-6.4421862663376803</v>
      </c>
      <c r="K1110" s="6">
        <v>0.84522403106739696</v>
      </c>
      <c r="L1110" s="6">
        <v>0.84522403106739696</v>
      </c>
      <c r="M1110" s="6">
        <v>0.84522403106739696</v>
      </c>
      <c r="N1110" s="6">
        <v>-7.2874102974050796</v>
      </c>
      <c r="O1110" s="6">
        <v>-7.2874102974050796</v>
      </c>
      <c r="P1110" s="6">
        <v>-7.2874102974050796</v>
      </c>
      <c r="Q1110" s="6">
        <v>0</v>
      </c>
      <c r="R1110" s="6">
        <v>0</v>
      </c>
      <c r="S1110" s="6">
        <v>0</v>
      </c>
      <c r="T1110" s="6">
        <v>245.332391610613</v>
      </c>
    </row>
    <row r="1111" spans="1:20" ht="13" x14ac:dyDescent="0.15">
      <c r="A1111" s="6">
        <v>1109</v>
      </c>
      <c r="B1111" s="7">
        <v>44769</v>
      </c>
      <c r="C1111" s="6">
        <v>251.31843554770401</v>
      </c>
      <c r="D1111" s="6">
        <v>213.66879091209901</v>
      </c>
      <c r="E1111" s="6">
        <v>278.30877609513198</v>
      </c>
      <c r="F1111" s="6">
        <v>251.31843554770401</v>
      </c>
      <c r="G1111" s="6">
        <v>251.31843554770401</v>
      </c>
      <c r="H1111" s="6">
        <v>-5.8915428920633399</v>
      </c>
      <c r="I1111" s="6">
        <v>-5.8915428920633399</v>
      </c>
      <c r="J1111" s="6">
        <v>-5.8915428920633399</v>
      </c>
      <c r="K1111" s="6">
        <v>0.94874688043698596</v>
      </c>
      <c r="L1111" s="6">
        <v>0.94874688043698596</v>
      </c>
      <c r="M1111" s="6">
        <v>0.94874688043698596</v>
      </c>
      <c r="N1111" s="6">
        <v>-6.84028977250032</v>
      </c>
      <c r="O1111" s="6">
        <v>-6.84028977250032</v>
      </c>
      <c r="P1111" s="6">
        <v>-6.84028977250032</v>
      </c>
      <c r="Q1111" s="6">
        <v>0</v>
      </c>
      <c r="R1111" s="6">
        <v>0</v>
      </c>
      <c r="S1111" s="6">
        <v>0</v>
      </c>
      <c r="T1111" s="6">
        <v>245.42689265563999</v>
      </c>
    </row>
    <row r="1112" spans="1:20" ht="13" x14ac:dyDescent="0.15">
      <c r="A1112" s="6">
        <v>1110</v>
      </c>
      <c r="B1112" s="7">
        <v>44770</v>
      </c>
      <c r="C1112" s="6">
        <v>250.86229321845701</v>
      </c>
      <c r="D1112" s="6">
        <v>212.20772416110299</v>
      </c>
      <c r="E1112" s="6">
        <v>280.484330582204</v>
      </c>
      <c r="F1112" s="6">
        <v>250.86229321845701</v>
      </c>
      <c r="G1112" s="6">
        <v>250.86229321845701</v>
      </c>
      <c r="H1112" s="6">
        <v>-5.84294309613251</v>
      </c>
      <c r="I1112" s="6">
        <v>-5.84294309613251</v>
      </c>
      <c r="J1112" s="6">
        <v>-5.84294309613251</v>
      </c>
      <c r="K1112" s="6">
        <v>0.49015521355332498</v>
      </c>
      <c r="L1112" s="6">
        <v>0.49015521355332498</v>
      </c>
      <c r="M1112" s="6">
        <v>0.49015521355332498</v>
      </c>
      <c r="N1112" s="6">
        <v>-6.3330983096858304</v>
      </c>
      <c r="O1112" s="6">
        <v>-6.3330983096858304</v>
      </c>
      <c r="P1112" s="6">
        <v>-6.3330983096858304</v>
      </c>
      <c r="Q1112" s="6">
        <v>0</v>
      </c>
      <c r="R1112" s="6">
        <v>0</v>
      </c>
      <c r="S1112" s="6">
        <v>0</v>
      </c>
      <c r="T1112" s="6">
        <v>245.01935012232499</v>
      </c>
    </row>
    <row r="1113" spans="1:20" ht="13" x14ac:dyDescent="0.15">
      <c r="A1113" s="6">
        <v>1111</v>
      </c>
      <c r="B1113" s="7">
        <v>44771</v>
      </c>
      <c r="C1113" s="6">
        <v>250.40615088921001</v>
      </c>
      <c r="D1113" s="6">
        <v>211.488654615586</v>
      </c>
      <c r="E1113" s="6">
        <v>277.21430878535699</v>
      </c>
      <c r="F1113" s="6">
        <v>250.40615088921001</v>
      </c>
      <c r="G1113" s="6">
        <v>250.40615088921001</v>
      </c>
      <c r="H1113" s="6">
        <v>-5.7894855432847701</v>
      </c>
      <c r="I1113" s="6">
        <v>-5.7894855432847701</v>
      </c>
      <c r="J1113" s="6">
        <v>-5.7894855432847701</v>
      </c>
      <c r="K1113" s="6">
        <v>-2.2976765059191301E-2</v>
      </c>
      <c r="L1113" s="6">
        <v>-2.2976765059191301E-2</v>
      </c>
      <c r="M1113" s="6">
        <v>-2.2976765059191301E-2</v>
      </c>
      <c r="N1113" s="6">
        <v>-5.7665087782255799</v>
      </c>
      <c r="O1113" s="6">
        <v>-5.7665087782255799</v>
      </c>
      <c r="P1113" s="6">
        <v>-5.7665087782255799</v>
      </c>
      <c r="Q1113" s="6">
        <v>0</v>
      </c>
      <c r="R1113" s="6">
        <v>0</v>
      </c>
      <c r="S1113" s="6">
        <v>0</v>
      </c>
      <c r="T1113" s="6">
        <v>244.61666534592601</v>
      </c>
    </row>
    <row r="1114" spans="1:20" ht="13" x14ac:dyDescent="0.15">
      <c r="A1114" s="6">
        <v>1112</v>
      </c>
      <c r="B1114" s="7">
        <v>44774</v>
      </c>
      <c r="C1114" s="6">
        <v>249.03772390147</v>
      </c>
      <c r="D1114" s="6">
        <v>214.573825235322</v>
      </c>
      <c r="E1114" s="6">
        <v>279.17595463775598</v>
      </c>
      <c r="F1114" s="6">
        <v>249.03772390147</v>
      </c>
      <c r="G1114" s="6">
        <v>249.03772390147</v>
      </c>
      <c r="H1114" s="6">
        <v>-1.9257763326905799</v>
      </c>
      <c r="I1114" s="6">
        <v>-1.9257763326905799</v>
      </c>
      <c r="J1114" s="6">
        <v>-1.9257763326905799</v>
      </c>
      <c r="K1114" s="6">
        <v>1.8228906089378301</v>
      </c>
      <c r="L1114" s="6">
        <v>1.8228906089378301</v>
      </c>
      <c r="M1114" s="6">
        <v>1.8228906089378301</v>
      </c>
      <c r="N1114" s="6">
        <v>-3.74866694162841</v>
      </c>
      <c r="O1114" s="6">
        <v>-3.74866694162841</v>
      </c>
      <c r="P1114" s="6">
        <v>-3.74866694162841</v>
      </c>
      <c r="Q1114" s="6">
        <v>0</v>
      </c>
      <c r="R1114" s="6">
        <v>0</v>
      </c>
      <c r="S1114" s="6">
        <v>0</v>
      </c>
      <c r="T1114" s="6">
        <v>247.11194756878001</v>
      </c>
    </row>
    <row r="1115" spans="1:20" ht="13" x14ac:dyDescent="0.15">
      <c r="A1115" s="6">
        <v>1113</v>
      </c>
      <c r="B1115" s="7">
        <v>44775</v>
      </c>
      <c r="C1115" s="6">
        <v>248.581581572224</v>
      </c>
      <c r="D1115" s="6">
        <v>213.38266963116999</v>
      </c>
      <c r="E1115" s="6">
        <v>277.02549697009698</v>
      </c>
      <c r="F1115" s="6">
        <v>248.581581572224</v>
      </c>
      <c r="G1115" s="6">
        <v>248.581581572224</v>
      </c>
      <c r="H1115" s="6">
        <v>-2.1475050225221399</v>
      </c>
      <c r="I1115" s="6">
        <v>-2.1475050225221399</v>
      </c>
      <c r="J1115" s="6">
        <v>-2.1475050225221399</v>
      </c>
      <c r="K1115" s="6">
        <v>0.84522403106675204</v>
      </c>
      <c r="L1115" s="6">
        <v>0.84522403106675204</v>
      </c>
      <c r="M1115" s="6">
        <v>0.84522403106675204</v>
      </c>
      <c r="N1115" s="6">
        <v>-2.99272905358889</v>
      </c>
      <c r="O1115" s="6">
        <v>-2.99272905358889</v>
      </c>
      <c r="P1115" s="6">
        <v>-2.99272905358889</v>
      </c>
      <c r="Q1115" s="6">
        <v>0</v>
      </c>
      <c r="R1115" s="6">
        <v>0</v>
      </c>
      <c r="S1115" s="6">
        <v>0</v>
      </c>
      <c r="T1115" s="6">
        <v>246.43407654970201</v>
      </c>
    </row>
    <row r="1116" spans="1:20" ht="13" x14ac:dyDescent="0.15">
      <c r="A1116" s="6">
        <v>1114</v>
      </c>
      <c r="B1116" s="7">
        <v>44776</v>
      </c>
      <c r="C1116" s="6">
        <v>248.125439242977</v>
      </c>
      <c r="D1116" s="6">
        <v>215.22646767092499</v>
      </c>
      <c r="E1116" s="6">
        <v>281.32747523306602</v>
      </c>
      <c r="F1116" s="6">
        <v>248.125439242977</v>
      </c>
      <c r="G1116" s="6">
        <v>248.125439242977</v>
      </c>
      <c r="H1116" s="6">
        <v>-1.2620888027777699</v>
      </c>
      <c r="I1116" s="6">
        <v>-1.2620888027777699</v>
      </c>
      <c r="J1116" s="6">
        <v>-1.2620888027777699</v>
      </c>
      <c r="K1116" s="6">
        <v>0.94874688043883504</v>
      </c>
      <c r="L1116" s="6">
        <v>0.94874688043883504</v>
      </c>
      <c r="M1116" s="6">
        <v>0.94874688043883504</v>
      </c>
      <c r="N1116" s="6">
        <v>-2.2108356832166098</v>
      </c>
      <c r="O1116" s="6">
        <v>-2.2108356832166098</v>
      </c>
      <c r="P1116" s="6">
        <v>-2.2108356832166098</v>
      </c>
      <c r="Q1116" s="6">
        <v>0</v>
      </c>
      <c r="R1116" s="6">
        <v>0</v>
      </c>
      <c r="S1116" s="6">
        <v>0</v>
      </c>
      <c r="T1116" s="6">
        <v>246.86335044019901</v>
      </c>
    </row>
    <row r="1117" spans="1:20" ht="13" x14ac:dyDescent="0.15">
      <c r="A1117" s="6">
        <v>1115</v>
      </c>
      <c r="B1117" s="7">
        <v>44777</v>
      </c>
      <c r="C1117" s="6">
        <v>247.66929691372999</v>
      </c>
      <c r="D1117" s="6">
        <v>215.042350431643</v>
      </c>
      <c r="E1117" s="6">
        <v>275.881089845345</v>
      </c>
      <c r="F1117" s="6">
        <v>247.66929691372999</v>
      </c>
      <c r="G1117" s="6">
        <v>247.66929691372999</v>
      </c>
      <c r="H1117" s="6">
        <v>-0.92433663667815802</v>
      </c>
      <c r="I1117" s="6">
        <v>-0.92433663667815802</v>
      </c>
      <c r="J1117" s="6">
        <v>-0.92433663667815802</v>
      </c>
      <c r="K1117" s="6">
        <v>0.49015521355852099</v>
      </c>
      <c r="L1117" s="6">
        <v>0.49015521355852099</v>
      </c>
      <c r="M1117" s="6">
        <v>0.49015521355852099</v>
      </c>
      <c r="N1117" s="6">
        <v>-1.4144918502366799</v>
      </c>
      <c r="O1117" s="6">
        <v>-1.4144918502366799</v>
      </c>
      <c r="P1117" s="6">
        <v>-1.4144918502366799</v>
      </c>
      <c r="Q1117" s="6">
        <v>0</v>
      </c>
      <c r="R1117" s="6">
        <v>0</v>
      </c>
      <c r="S1117" s="6">
        <v>0</v>
      </c>
      <c r="T1117" s="6">
        <v>246.744960277052</v>
      </c>
    </row>
    <row r="1118" spans="1:20" ht="13" x14ac:dyDescent="0.15">
      <c r="A1118" s="6">
        <v>1116</v>
      </c>
      <c r="B1118" s="7">
        <v>44778</v>
      </c>
      <c r="C1118" s="6">
        <v>247.21315458448399</v>
      </c>
      <c r="D1118" s="6">
        <v>214.815263099172</v>
      </c>
      <c r="E1118" s="6">
        <v>277.70634360576997</v>
      </c>
      <c r="F1118" s="6">
        <v>247.21315458448399</v>
      </c>
      <c r="G1118" s="6">
        <v>247.21315458448399</v>
      </c>
      <c r="H1118" s="6">
        <v>-0.63911710535682198</v>
      </c>
      <c r="I1118" s="6">
        <v>-0.63911710535682198</v>
      </c>
      <c r="J1118" s="6">
        <v>-0.63911710535682198</v>
      </c>
      <c r="K1118" s="6">
        <v>-2.2976765070920099E-2</v>
      </c>
      <c r="L1118" s="6">
        <v>-2.2976765070920099E-2</v>
      </c>
      <c r="M1118" s="6">
        <v>-2.2976765070920099E-2</v>
      </c>
      <c r="N1118" s="6">
        <v>-0.61614034028590203</v>
      </c>
      <c r="O1118" s="6">
        <v>-0.61614034028590203</v>
      </c>
      <c r="P1118" s="6">
        <v>-0.61614034028590203</v>
      </c>
      <c r="Q1118" s="6">
        <v>0</v>
      </c>
      <c r="R1118" s="6">
        <v>0</v>
      </c>
      <c r="S1118" s="6">
        <v>0</v>
      </c>
      <c r="T1118" s="6">
        <v>246.57403747912701</v>
      </c>
    </row>
    <row r="1119" spans="1:20" ht="13" x14ac:dyDescent="0.15">
      <c r="A1119" s="6">
        <v>1117</v>
      </c>
      <c r="B1119" s="7">
        <v>44781</v>
      </c>
      <c r="C1119" s="6">
        <v>245.84472759674401</v>
      </c>
      <c r="D1119" s="6">
        <v>217.22169760192901</v>
      </c>
      <c r="E1119" s="6">
        <v>279.72978027018797</v>
      </c>
      <c r="F1119" s="6">
        <v>245.84472759674401</v>
      </c>
      <c r="G1119" s="6">
        <v>245.84472759674401</v>
      </c>
      <c r="H1119" s="6">
        <v>3.48334303775676</v>
      </c>
      <c r="I1119" s="6">
        <v>3.48334303775676</v>
      </c>
      <c r="J1119" s="6">
        <v>3.48334303775676</v>
      </c>
      <c r="K1119" s="6">
        <v>1.8228906089383301</v>
      </c>
      <c r="L1119" s="6">
        <v>1.8228906089383301</v>
      </c>
      <c r="M1119" s="6">
        <v>1.8228906089383301</v>
      </c>
      <c r="N1119" s="6">
        <v>1.6604524288184199</v>
      </c>
      <c r="O1119" s="6">
        <v>1.6604524288184199</v>
      </c>
      <c r="P1119" s="6">
        <v>1.6604524288184199</v>
      </c>
      <c r="Q1119" s="6">
        <v>0</v>
      </c>
      <c r="R1119" s="6">
        <v>0</v>
      </c>
      <c r="S1119" s="6">
        <v>0</v>
      </c>
      <c r="T1119" s="6">
        <v>249.32807063449999</v>
      </c>
    </row>
    <row r="1120" spans="1:20" ht="13" x14ac:dyDescent="0.15">
      <c r="A1120" s="6">
        <v>1118</v>
      </c>
      <c r="B1120" s="7">
        <v>44782</v>
      </c>
      <c r="C1120" s="6">
        <v>245.38858526749701</v>
      </c>
      <c r="D1120" s="6">
        <v>215.772003725318</v>
      </c>
      <c r="E1120" s="6">
        <v>280.80713230462499</v>
      </c>
      <c r="F1120" s="6">
        <v>245.38858526749701</v>
      </c>
      <c r="G1120" s="6">
        <v>245.38858526749701</v>
      </c>
      <c r="H1120" s="6">
        <v>3.1823487873560001</v>
      </c>
      <c r="I1120" s="6">
        <v>3.1823487873560001</v>
      </c>
      <c r="J1120" s="6">
        <v>3.1823487873560001</v>
      </c>
      <c r="K1120" s="6">
        <v>0.84522403106529398</v>
      </c>
      <c r="L1120" s="6">
        <v>0.84522403106529398</v>
      </c>
      <c r="M1120" s="6">
        <v>0.84522403106529398</v>
      </c>
      <c r="N1120" s="6">
        <v>2.3371247562907098</v>
      </c>
      <c r="O1120" s="6">
        <v>2.3371247562907098</v>
      </c>
      <c r="P1120" s="6">
        <v>2.3371247562907098</v>
      </c>
      <c r="Q1120" s="6">
        <v>0</v>
      </c>
      <c r="R1120" s="6">
        <v>0</v>
      </c>
      <c r="S1120" s="6">
        <v>0</v>
      </c>
      <c r="T1120" s="6">
        <v>248.57093405485301</v>
      </c>
    </row>
    <row r="1121" spans="1:20" ht="13" x14ac:dyDescent="0.15">
      <c r="A1121" s="6">
        <v>1119</v>
      </c>
      <c r="B1121" s="7">
        <v>44783</v>
      </c>
      <c r="C1121" s="6">
        <v>244.93244293825001</v>
      </c>
      <c r="D1121" s="6">
        <v>213.65257802534899</v>
      </c>
      <c r="E1121" s="6">
        <v>280.35698853013201</v>
      </c>
      <c r="F1121" s="6">
        <v>244.93244293825001</v>
      </c>
      <c r="G1121" s="6">
        <v>244.93244293825001</v>
      </c>
      <c r="H1121" s="6">
        <v>3.9019125439960001</v>
      </c>
      <c r="I1121" s="6">
        <v>3.9019125439960001</v>
      </c>
      <c r="J1121" s="6">
        <v>3.9019125439960001</v>
      </c>
      <c r="K1121" s="6">
        <v>0.94874688043800504</v>
      </c>
      <c r="L1121" s="6">
        <v>0.94874688043800504</v>
      </c>
      <c r="M1121" s="6">
        <v>0.94874688043800504</v>
      </c>
      <c r="N1121" s="6">
        <v>2.9531656635579999</v>
      </c>
      <c r="O1121" s="6">
        <v>2.9531656635579999</v>
      </c>
      <c r="P1121" s="6">
        <v>2.9531656635579999</v>
      </c>
      <c r="Q1121" s="6">
        <v>0</v>
      </c>
      <c r="R1121" s="6">
        <v>0</v>
      </c>
      <c r="S1121" s="6">
        <v>0</v>
      </c>
      <c r="T1121" s="6">
        <v>248.834355482246</v>
      </c>
    </row>
    <row r="1122" spans="1:20" ht="13" x14ac:dyDescent="0.15">
      <c r="A1122" s="6">
        <v>1120</v>
      </c>
      <c r="B1122" s="7">
        <v>44784</v>
      </c>
      <c r="C1122" s="6">
        <v>244.476300609004</v>
      </c>
      <c r="D1122" s="6">
        <v>217.01574144692901</v>
      </c>
      <c r="E1122" s="6">
        <v>282.32834908091399</v>
      </c>
      <c r="F1122" s="6">
        <v>244.476300609004</v>
      </c>
      <c r="G1122" s="6">
        <v>244.476300609004</v>
      </c>
      <c r="H1122" s="6">
        <v>3.98890719295385</v>
      </c>
      <c r="I1122" s="6">
        <v>3.98890719295385</v>
      </c>
      <c r="J1122" s="6">
        <v>3.98890719295385</v>
      </c>
      <c r="K1122" s="6">
        <v>0.49015521355568398</v>
      </c>
      <c r="L1122" s="6">
        <v>0.49015521355568398</v>
      </c>
      <c r="M1122" s="6">
        <v>0.49015521355568398</v>
      </c>
      <c r="N1122" s="6">
        <v>3.4987519793981701</v>
      </c>
      <c r="O1122" s="6">
        <v>3.4987519793981701</v>
      </c>
      <c r="P1122" s="6">
        <v>3.4987519793981701</v>
      </c>
      <c r="Q1122" s="6">
        <v>0</v>
      </c>
      <c r="R1122" s="6">
        <v>0</v>
      </c>
      <c r="S1122" s="6">
        <v>0</v>
      </c>
      <c r="T1122" s="6">
        <v>248.465207801958</v>
      </c>
    </row>
    <row r="1123" spans="1:20" ht="13" x14ac:dyDescent="0.15">
      <c r="A1123" s="6">
        <v>1121</v>
      </c>
      <c r="B1123" s="7">
        <v>44785</v>
      </c>
      <c r="C1123" s="6">
        <v>244.020158279757</v>
      </c>
      <c r="D1123" s="6">
        <v>217.868379041232</v>
      </c>
      <c r="E1123" s="6">
        <v>278.520780277749</v>
      </c>
      <c r="F1123" s="6">
        <v>244.020158279757</v>
      </c>
      <c r="G1123" s="6">
        <v>244.020158279757</v>
      </c>
      <c r="H1123" s="6">
        <v>3.94282945676273</v>
      </c>
      <c r="I1123" s="6">
        <v>3.94282945676273</v>
      </c>
      <c r="J1123" s="6">
        <v>3.94282945676273</v>
      </c>
      <c r="K1123" s="6">
        <v>-2.2976765060302901E-2</v>
      </c>
      <c r="L1123" s="6">
        <v>-2.2976765060302901E-2</v>
      </c>
      <c r="M1123" s="6">
        <v>-2.2976765060302901E-2</v>
      </c>
      <c r="N1123" s="6">
        <v>3.9658062218230299</v>
      </c>
      <c r="O1123" s="6">
        <v>3.9658062218230299</v>
      </c>
      <c r="P1123" s="6">
        <v>3.9658062218230299</v>
      </c>
      <c r="Q1123" s="6">
        <v>0</v>
      </c>
      <c r="R1123" s="6">
        <v>0</v>
      </c>
      <c r="S1123" s="6">
        <v>0</v>
      </c>
      <c r="T1123" s="6">
        <v>247.96298773652001</v>
      </c>
    </row>
    <row r="1124" spans="1:20" ht="13" x14ac:dyDescent="0.15">
      <c r="A1124" s="6">
        <v>1122</v>
      </c>
      <c r="B1124" s="7">
        <v>44788</v>
      </c>
      <c r="C1124" s="6">
        <v>242.65173129201699</v>
      </c>
      <c r="D1124" s="6">
        <v>220.05786919091</v>
      </c>
      <c r="E1124" s="6">
        <v>282.865117268593</v>
      </c>
      <c r="F1124" s="6">
        <v>242.65173129201699</v>
      </c>
      <c r="G1124" s="6">
        <v>242.65173129201699</v>
      </c>
      <c r="H1124" s="6">
        <v>6.6695751369776799</v>
      </c>
      <c r="I1124" s="6">
        <v>6.6695751369776799</v>
      </c>
      <c r="J1124" s="6">
        <v>6.6695751369776799</v>
      </c>
      <c r="K1124" s="6">
        <v>1.82289060894126</v>
      </c>
      <c r="L1124" s="6">
        <v>1.82289060894126</v>
      </c>
      <c r="M1124" s="6">
        <v>1.82289060894126</v>
      </c>
      <c r="N1124" s="6">
        <v>4.8466845280364099</v>
      </c>
      <c r="O1124" s="6">
        <v>4.8466845280364099</v>
      </c>
      <c r="P1124" s="6">
        <v>4.8466845280364099</v>
      </c>
      <c r="Q1124" s="6">
        <v>0</v>
      </c>
      <c r="R1124" s="6">
        <v>0</v>
      </c>
      <c r="S1124" s="6">
        <v>0</v>
      </c>
      <c r="T1124" s="6">
        <v>249.321306428995</v>
      </c>
    </row>
    <row r="1125" spans="1:20" ht="13" x14ac:dyDescent="0.15">
      <c r="A1125" s="6">
        <v>1123</v>
      </c>
      <c r="B1125" s="7">
        <v>44789</v>
      </c>
      <c r="C1125" s="6">
        <v>242.19558896276999</v>
      </c>
      <c r="D1125" s="6">
        <v>216.66146586977001</v>
      </c>
      <c r="E1125" s="6">
        <v>279.93815896739699</v>
      </c>
      <c r="F1125" s="6">
        <v>242.19558896276999</v>
      </c>
      <c r="G1125" s="6">
        <v>242.19558896276999</v>
      </c>
      <c r="H1125" s="6">
        <v>5.80754770035304</v>
      </c>
      <c r="I1125" s="6">
        <v>5.80754770035304</v>
      </c>
      <c r="J1125" s="6">
        <v>5.80754770035304</v>
      </c>
      <c r="K1125" s="6">
        <v>0.84522403106546096</v>
      </c>
      <c r="L1125" s="6">
        <v>0.84522403106546096</v>
      </c>
      <c r="M1125" s="6">
        <v>0.84522403106546096</v>
      </c>
      <c r="N1125" s="6">
        <v>4.9623236692875796</v>
      </c>
      <c r="O1125" s="6">
        <v>4.9623236692875796</v>
      </c>
      <c r="P1125" s="6">
        <v>4.9623236692875796</v>
      </c>
      <c r="Q1125" s="6">
        <v>0</v>
      </c>
      <c r="R1125" s="6">
        <v>0</v>
      </c>
      <c r="S1125" s="6">
        <v>0</v>
      </c>
      <c r="T1125" s="6">
        <v>248.003136663123</v>
      </c>
    </row>
    <row r="1126" spans="1:20" ht="13" x14ac:dyDescent="0.15">
      <c r="A1126" s="6">
        <v>1124</v>
      </c>
      <c r="B1126" s="7">
        <v>44790</v>
      </c>
      <c r="C1126" s="6">
        <v>241.73944663352401</v>
      </c>
      <c r="D1126" s="6">
        <v>216.18352531084301</v>
      </c>
      <c r="E1126" s="6">
        <v>279.212893176465</v>
      </c>
      <c r="F1126" s="6">
        <v>241.73944663352401</v>
      </c>
      <c r="G1126" s="6">
        <v>241.73944663352401</v>
      </c>
      <c r="H1126" s="6">
        <v>5.9416291387121198</v>
      </c>
      <c r="I1126" s="6">
        <v>5.9416291387121198</v>
      </c>
      <c r="J1126" s="6">
        <v>5.9416291387121198</v>
      </c>
      <c r="K1126" s="6">
        <v>0.94874688043717503</v>
      </c>
      <c r="L1126" s="6">
        <v>0.94874688043717503</v>
      </c>
      <c r="M1126" s="6">
        <v>0.94874688043717503</v>
      </c>
      <c r="N1126" s="6">
        <v>4.9928822582749399</v>
      </c>
      <c r="O1126" s="6">
        <v>4.9928822582749399</v>
      </c>
      <c r="P1126" s="6">
        <v>4.9928822582749399</v>
      </c>
      <c r="Q1126" s="6">
        <v>0</v>
      </c>
      <c r="R1126" s="6">
        <v>0</v>
      </c>
      <c r="S1126" s="6">
        <v>0</v>
      </c>
      <c r="T1126" s="6">
        <v>247.681075772236</v>
      </c>
    </row>
    <row r="1127" spans="1:20" ht="13" x14ac:dyDescent="0.15">
      <c r="A1127" s="6">
        <v>1125</v>
      </c>
      <c r="B1127" s="7">
        <v>44791</v>
      </c>
      <c r="C1127" s="6">
        <v>241.28330430427701</v>
      </c>
      <c r="D1127" s="6">
        <v>214.46953128652501</v>
      </c>
      <c r="E1127" s="6">
        <v>276.85436946820801</v>
      </c>
      <c r="F1127" s="6">
        <v>241.28330430427701</v>
      </c>
      <c r="G1127" s="6">
        <v>241.28330430427701</v>
      </c>
      <c r="H1127" s="6">
        <v>5.4345397494818704</v>
      </c>
      <c r="I1127" s="6">
        <v>5.4345397494818704</v>
      </c>
      <c r="J1127" s="6">
        <v>5.4345397494818704</v>
      </c>
      <c r="K1127" s="6">
        <v>0.49015521355540498</v>
      </c>
      <c r="L1127" s="6">
        <v>0.49015521355540498</v>
      </c>
      <c r="M1127" s="6">
        <v>0.49015521355540498</v>
      </c>
      <c r="N1127" s="6">
        <v>4.94438453592646</v>
      </c>
      <c r="O1127" s="6">
        <v>4.94438453592646</v>
      </c>
      <c r="P1127" s="6">
        <v>4.94438453592646</v>
      </c>
      <c r="Q1127" s="6">
        <v>0</v>
      </c>
      <c r="R1127" s="6">
        <v>0</v>
      </c>
      <c r="S1127" s="6">
        <v>0</v>
      </c>
      <c r="T1127" s="6">
        <v>246.71784405375899</v>
      </c>
    </row>
    <row r="1128" spans="1:20" ht="13" x14ac:dyDescent="0.15">
      <c r="A1128" s="6">
        <v>1126</v>
      </c>
      <c r="B1128" s="7">
        <v>44792</v>
      </c>
      <c r="C1128" s="6">
        <v>240.82716197503001</v>
      </c>
      <c r="D1128" s="6">
        <v>213.93429510923301</v>
      </c>
      <c r="E1128" s="6">
        <v>277.75844851855697</v>
      </c>
      <c r="F1128" s="6">
        <v>240.82716197503001</v>
      </c>
      <c r="G1128" s="6">
        <v>240.82716197503001</v>
      </c>
      <c r="H1128" s="6">
        <v>4.8021591683145202</v>
      </c>
      <c r="I1128" s="6">
        <v>4.8021591683145202</v>
      </c>
      <c r="J1128" s="6">
        <v>4.8021591683145202</v>
      </c>
      <c r="K1128" s="6">
        <v>-2.2976765062914899E-2</v>
      </c>
      <c r="L1128" s="6">
        <v>-2.2976765062914899E-2</v>
      </c>
      <c r="M1128" s="6">
        <v>-2.2976765062914899E-2</v>
      </c>
      <c r="N1128" s="6">
        <v>4.82513593337743</v>
      </c>
      <c r="O1128" s="6">
        <v>4.82513593337743</v>
      </c>
      <c r="P1128" s="6">
        <v>4.82513593337743</v>
      </c>
      <c r="Q1128" s="6">
        <v>0</v>
      </c>
      <c r="R1128" s="6">
        <v>0</v>
      </c>
      <c r="S1128" s="6">
        <v>0</v>
      </c>
      <c r="T1128" s="6">
        <v>245.62932114334501</v>
      </c>
    </row>
    <row r="1129" spans="1:20" ht="13" x14ac:dyDescent="0.15">
      <c r="A1129" s="6">
        <v>1127</v>
      </c>
      <c r="B1129" s="7">
        <v>44795</v>
      </c>
      <c r="C1129" s="6">
        <v>239.45873498729</v>
      </c>
      <c r="D1129" s="6">
        <v>214.75783620333101</v>
      </c>
      <c r="E1129" s="6">
        <v>280.142708588228</v>
      </c>
      <c r="F1129" s="6">
        <v>239.45873498729</v>
      </c>
      <c r="G1129" s="6">
        <v>239.45873498729</v>
      </c>
      <c r="H1129" s="6">
        <v>5.9779520063866602</v>
      </c>
      <c r="I1129" s="6">
        <v>5.9779520063866602</v>
      </c>
      <c r="J1129" s="6">
        <v>5.9779520063866602</v>
      </c>
      <c r="K1129" s="6">
        <v>1.8228906089338299</v>
      </c>
      <c r="L1129" s="6">
        <v>1.8228906089338299</v>
      </c>
      <c r="M1129" s="6">
        <v>1.8228906089338299</v>
      </c>
      <c r="N1129" s="6">
        <v>4.1550613974528199</v>
      </c>
      <c r="O1129" s="6">
        <v>4.1550613974528199</v>
      </c>
      <c r="P1129" s="6">
        <v>4.1550613974528199</v>
      </c>
      <c r="Q1129" s="6">
        <v>0</v>
      </c>
      <c r="R1129" s="6">
        <v>0</v>
      </c>
      <c r="S1129" s="6">
        <v>0</v>
      </c>
      <c r="T1129" s="6">
        <v>245.436686993677</v>
      </c>
    </row>
    <row r="1130" spans="1:20" ht="13" x14ac:dyDescent="0.15">
      <c r="A1130" s="6">
        <v>1128</v>
      </c>
      <c r="B1130" s="7">
        <v>44796</v>
      </c>
      <c r="C1130" s="6">
        <v>239.00259265804399</v>
      </c>
      <c r="D1130" s="6">
        <v>211.69009623168799</v>
      </c>
      <c r="E1130" s="6">
        <v>276.44293350915302</v>
      </c>
      <c r="F1130" s="6">
        <v>239.00259265804399</v>
      </c>
      <c r="G1130" s="6">
        <v>239.00259265804399</v>
      </c>
      <c r="H1130" s="6">
        <v>4.7176287750560997</v>
      </c>
      <c r="I1130" s="6">
        <v>4.7176287750560997</v>
      </c>
      <c r="J1130" s="6">
        <v>4.7176287750560997</v>
      </c>
      <c r="K1130" s="6">
        <v>0.84522403106857502</v>
      </c>
      <c r="L1130" s="6">
        <v>0.84522403106857502</v>
      </c>
      <c r="M1130" s="6">
        <v>0.84522403106857502</v>
      </c>
      <c r="N1130" s="6">
        <v>3.87240474398752</v>
      </c>
      <c r="O1130" s="6">
        <v>3.87240474398752</v>
      </c>
      <c r="P1130" s="6">
        <v>3.87240474398752</v>
      </c>
      <c r="Q1130" s="6">
        <v>0</v>
      </c>
      <c r="R1130" s="6">
        <v>0</v>
      </c>
      <c r="S1130" s="6">
        <v>0</v>
      </c>
      <c r="T1130" s="6">
        <v>243.72022143309999</v>
      </c>
    </row>
    <row r="1131" spans="1:20" ht="13" x14ac:dyDescent="0.15">
      <c r="A1131" s="6">
        <v>1129</v>
      </c>
      <c r="B1131" s="7">
        <v>44797</v>
      </c>
      <c r="C1131" s="6">
        <v>238.54645032879699</v>
      </c>
      <c r="D1131" s="6">
        <v>210.04149555244001</v>
      </c>
      <c r="E1131" s="6">
        <v>273.78142290913001</v>
      </c>
      <c r="F1131" s="6">
        <v>238.54645032879699</v>
      </c>
      <c r="G1131" s="6">
        <v>238.54645032879699</v>
      </c>
      <c r="H1131" s="6">
        <v>4.5335766437602496</v>
      </c>
      <c r="I1131" s="6">
        <v>4.5335766437602496</v>
      </c>
      <c r="J1131" s="6">
        <v>4.5335766437602496</v>
      </c>
      <c r="K1131" s="6">
        <v>0.94874688043634403</v>
      </c>
      <c r="L1131" s="6">
        <v>0.94874688043634403</v>
      </c>
      <c r="M1131" s="6">
        <v>0.94874688043634403</v>
      </c>
      <c r="N1131" s="6">
        <v>3.5848297633239001</v>
      </c>
      <c r="O1131" s="6">
        <v>3.5848297633239001</v>
      </c>
      <c r="P1131" s="6">
        <v>3.5848297633239001</v>
      </c>
      <c r="Q1131" s="6">
        <v>0</v>
      </c>
      <c r="R1131" s="6">
        <v>0</v>
      </c>
      <c r="S1131" s="6">
        <v>0</v>
      </c>
      <c r="T1131" s="6">
        <v>243.08002697255699</v>
      </c>
    </row>
    <row r="1132" spans="1:20" ht="13" x14ac:dyDescent="0.15">
      <c r="A1132" s="6">
        <v>1130</v>
      </c>
      <c r="B1132" s="7">
        <v>44798</v>
      </c>
      <c r="C1132" s="6">
        <v>238.09030799954999</v>
      </c>
      <c r="D1132" s="6">
        <v>209.981176783721</v>
      </c>
      <c r="E1132" s="6">
        <v>270.51366126177697</v>
      </c>
      <c r="F1132" s="6">
        <v>238.09030799954999</v>
      </c>
      <c r="G1132" s="6">
        <v>238.09030799954999</v>
      </c>
      <c r="H1132" s="6">
        <v>3.7977917635009502</v>
      </c>
      <c r="I1132" s="6">
        <v>3.7977917635009502</v>
      </c>
      <c r="J1132" s="6">
        <v>3.7977917635009502</v>
      </c>
      <c r="K1132" s="6">
        <v>0.49015521355256703</v>
      </c>
      <c r="L1132" s="6">
        <v>0.49015521355256703</v>
      </c>
      <c r="M1132" s="6">
        <v>0.49015521355256703</v>
      </c>
      <c r="N1132" s="6">
        <v>3.30763654994839</v>
      </c>
      <c r="O1132" s="6">
        <v>3.30763654994839</v>
      </c>
      <c r="P1132" s="6">
        <v>3.30763654994839</v>
      </c>
      <c r="Q1132" s="6">
        <v>0</v>
      </c>
      <c r="R1132" s="6">
        <v>0</v>
      </c>
      <c r="S1132" s="6">
        <v>0</v>
      </c>
      <c r="T1132" s="6">
        <v>241.888099763051</v>
      </c>
    </row>
    <row r="1133" spans="1:20" ht="13" x14ac:dyDescent="0.15">
      <c r="A1133" s="6">
        <v>1131</v>
      </c>
      <c r="B1133" s="7">
        <v>44799</v>
      </c>
      <c r="C1133" s="6">
        <v>237.63416567030399</v>
      </c>
      <c r="D1133" s="6">
        <v>207.88595800622201</v>
      </c>
      <c r="E1133" s="6">
        <v>270.68981708524302</v>
      </c>
      <c r="F1133" s="6">
        <v>237.63416567030399</v>
      </c>
      <c r="G1133" s="6">
        <v>237.63416567030399</v>
      </c>
      <c r="H1133" s="6">
        <v>3.0327959158106901</v>
      </c>
      <c r="I1133" s="6">
        <v>3.0327959158106901</v>
      </c>
      <c r="J1133" s="6">
        <v>3.0327959158106901</v>
      </c>
      <c r="K1133" s="6">
        <v>-2.2976765060968601E-2</v>
      </c>
      <c r="L1133" s="6">
        <v>-2.2976765060968601E-2</v>
      </c>
      <c r="M1133" s="6">
        <v>-2.2976765060968601E-2</v>
      </c>
      <c r="N1133" s="6">
        <v>3.0557726808716601</v>
      </c>
      <c r="O1133" s="6">
        <v>3.0557726808716601</v>
      </c>
      <c r="P1133" s="6">
        <v>3.0557726808716601</v>
      </c>
      <c r="Q1133" s="6">
        <v>0</v>
      </c>
      <c r="R1133" s="6">
        <v>0</v>
      </c>
      <c r="S1133" s="6">
        <v>0</v>
      </c>
      <c r="T1133" s="6">
        <v>240.66696158611401</v>
      </c>
    </row>
    <row r="1134" spans="1:20" ht="13" x14ac:dyDescent="0.15">
      <c r="A1134" s="6">
        <v>1132</v>
      </c>
      <c r="B1134" s="7">
        <v>44802</v>
      </c>
      <c r="C1134" s="6">
        <v>236.26573868256401</v>
      </c>
      <c r="D1134" s="6">
        <v>210.209842081696</v>
      </c>
      <c r="E1134" s="6">
        <v>274.24752831154399</v>
      </c>
      <c r="F1134" s="6">
        <v>236.26573868256401</v>
      </c>
      <c r="G1134" s="6">
        <v>236.26573868256401</v>
      </c>
      <c r="H1134" s="6">
        <v>4.4093974213520397</v>
      </c>
      <c r="I1134" s="6">
        <v>4.4093974213520397</v>
      </c>
      <c r="J1134" s="6">
        <v>4.4093974213520397</v>
      </c>
      <c r="K1134" s="6">
        <v>1.82289060893677</v>
      </c>
      <c r="L1134" s="6">
        <v>1.82289060893677</v>
      </c>
      <c r="M1134" s="6">
        <v>1.82289060893677</v>
      </c>
      <c r="N1134" s="6">
        <v>2.5865068124152701</v>
      </c>
      <c r="O1134" s="6">
        <v>2.5865068124152701</v>
      </c>
      <c r="P1134" s="6">
        <v>2.5865068124152701</v>
      </c>
      <c r="Q1134" s="6">
        <v>0</v>
      </c>
      <c r="R1134" s="6">
        <v>0</v>
      </c>
      <c r="S1134" s="6">
        <v>0</v>
      </c>
      <c r="T1134" s="6">
        <v>240.675136103916</v>
      </c>
    </row>
    <row r="1135" spans="1:20" ht="13" x14ac:dyDescent="0.15">
      <c r="A1135" s="6">
        <v>1133</v>
      </c>
      <c r="B1135" s="7">
        <v>44803</v>
      </c>
      <c r="C1135" s="6">
        <v>235.809596353317</v>
      </c>
      <c r="D1135" s="6">
        <v>206.643018990054</v>
      </c>
      <c r="E1135" s="6">
        <v>270.56171923282801</v>
      </c>
      <c r="F1135" s="6">
        <v>235.809596353317</v>
      </c>
      <c r="G1135" s="6">
        <v>235.809596353317</v>
      </c>
      <c r="H1135" s="6">
        <v>3.4074393222039498</v>
      </c>
      <c r="I1135" s="6">
        <v>3.4074393222039498</v>
      </c>
      <c r="J1135" s="6">
        <v>3.4074393222039498</v>
      </c>
      <c r="K1135" s="6">
        <v>0.84522403106792998</v>
      </c>
      <c r="L1135" s="6">
        <v>0.84522403106792998</v>
      </c>
      <c r="M1135" s="6">
        <v>0.84522403106792998</v>
      </c>
      <c r="N1135" s="6">
        <v>2.5622152911360199</v>
      </c>
      <c r="O1135" s="6">
        <v>2.5622152911360199</v>
      </c>
      <c r="P1135" s="6">
        <v>2.5622152911360199</v>
      </c>
      <c r="Q1135" s="6">
        <v>0</v>
      </c>
      <c r="R1135" s="6">
        <v>0</v>
      </c>
      <c r="S1135" s="6">
        <v>0</v>
      </c>
      <c r="T1135" s="6">
        <v>239.217035675521</v>
      </c>
    </row>
    <row r="1136" spans="1:20" ht="13" x14ac:dyDescent="0.15">
      <c r="A1136" s="6">
        <v>1134</v>
      </c>
      <c r="B1136" s="7">
        <v>44804</v>
      </c>
      <c r="C1136" s="6">
        <v>235.35345402407</v>
      </c>
      <c r="D1136" s="6">
        <v>205.72575043760699</v>
      </c>
      <c r="E1136" s="6">
        <v>270.20378822431798</v>
      </c>
      <c r="F1136" s="6">
        <v>235.35345402407</v>
      </c>
      <c r="G1136" s="6">
        <v>235.35345402407</v>
      </c>
      <c r="H1136" s="6">
        <v>3.5657013022253401</v>
      </c>
      <c r="I1136" s="6">
        <v>3.5657013022253401</v>
      </c>
      <c r="J1136" s="6">
        <v>3.5657013022253401</v>
      </c>
      <c r="K1136" s="6">
        <v>0.948746880438194</v>
      </c>
      <c r="L1136" s="6">
        <v>0.948746880438194</v>
      </c>
      <c r="M1136" s="6">
        <v>0.948746880438194</v>
      </c>
      <c r="N1136" s="6">
        <v>2.6169544217871499</v>
      </c>
      <c r="O1136" s="6">
        <v>2.6169544217871499</v>
      </c>
      <c r="P1136" s="6">
        <v>2.6169544217871499</v>
      </c>
      <c r="Q1136" s="6">
        <v>0</v>
      </c>
      <c r="R1136" s="6">
        <v>0</v>
      </c>
      <c r="S1136" s="6">
        <v>0</v>
      </c>
      <c r="T1136" s="6">
        <v>238.91915532629599</v>
      </c>
    </row>
    <row r="1137" spans="1:20" ht="13" x14ac:dyDescent="0.15">
      <c r="A1137" s="6">
        <v>1135</v>
      </c>
      <c r="B1137" s="7">
        <v>44805</v>
      </c>
      <c r="C1137" s="6">
        <v>234.897311694824</v>
      </c>
      <c r="D1137" s="6">
        <v>207.25418236570499</v>
      </c>
      <c r="E1137" s="6">
        <v>269.75508190306198</v>
      </c>
      <c r="F1137" s="6">
        <v>234.897311694824</v>
      </c>
      <c r="G1137" s="6">
        <v>234.897311694824</v>
      </c>
      <c r="H1137" s="6">
        <v>3.2447934818259401</v>
      </c>
      <c r="I1137" s="6">
        <v>3.2447934818259401</v>
      </c>
      <c r="J1137" s="6">
        <v>3.2447934818259401</v>
      </c>
      <c r="K1137" s="6">
        <v>0.49015521355776298</v>
      </c>
      <c r="L1137" s="6">
        <v>0.49015521355776298</v>
      </c>
      <c r="M1137" s="6">
        <v>0.49015521355776298</v>
      </c>
      <c r="N1137" s="6">
        <v>2.75463826826818</v>
      </c>
      <c r="O1137" s="6">
        <v>2.75463826826818</v>
      </c>
      <c r="P1137" s="6">
        <v>2.75463826826818</v>
      </c>
      <c r="Q1137" s="6">
        <v>0</v>
      </c>
      <c r="R1137" s="6">
        <v>0</v>
      </c>
      <c r="S1137" s="6">
        <v>0</v>
      </c>
      <c r="T1137" s="6">
        <v>238.14210517664901</v>
      </c>
    </row>
    <row r="1138" spans="1:20" ht="13" x14ac:dyDescent="0.15">
      <c r="A1138" s="6">
        <v>1136</v>
      </c>
      <c r="B1138" s="7">
        <v>44806</v>
      </c>
      <c r="C1138" s="6">
        <v>234.441169365577</v>
      </c>
      <c r="D1138" s="6">
        <v>202.41666495645799</v>
      </c>
      <c r="E1138" s="6">
        <v>270.11259469816503</v>
      </c>
      <c r="F1138" s="6">
        <v>234.441169365577</v>
      </c>
      <c r="G1138" s="6">
        <v>234.441169365577</v>
      </c>
      <c r="H1138" s="6">
        <v>2.9533341617987201</v>
      </c>
      <c r="I1138" s="6">
        <v>2.9533341617987201</v>
      </c>
      <c r="J1138" s="6">
        <v>2.9533341617987201</v>
      </c>
      <c r="K1138" s="6">
        <v>-2.2976765059022099E-2</v>
      </c>
      <c r="L1138" s="6">
        <v>-2.2976765059022099E-2</v>
      </c>
      <c r="M1138" s="6">
        <v>-2.2976765059022099E-2</v>
      </c>
      <c r="N1138" s="6">
        <v>2.9763109268577401</v>
      </c>
      <c r="O1138" s="6">
        <v>2.9763109268577401</v>
      </c>
      <c r="P1138" s="6">
        <v>2.9763109268577401</v>
      </c>
      <c r="Q1138" s="6">
        <v>0</v>
      </c>
      <c r="R1138" s="6">
        <v>0</v>
      </c>
      <c r="S1138" s="6">
        <v>0</v>
      </c>
      <c r="T1138" s="6">
        <v>237.394503527376</v>
      </c>
    </row>
    <row r="1139" spans="1:20" ht="13" x14ac:dyDescent="0.15">
      <c r="A1139" s="6">
        <v>1137</v>
      </c>
      <c r="B1139" s="7">
        <v>44810</v>
      </c>
      <c r="C1139" s="6">
        <v>232.61660004858999</v>
      </c>
      <c r="D1139" s="6">
        <v>205.08968277524099</v>
      </c>
      <c r="E1139" s="6">
        <v>272.27542596625801</v>
      </c>
      <c r="F1139" s="6">
        <v>232.61660004858999</v>
      </c>
      <c r="G1139" s="6">
        <v>232.61660004858999</v>
      </c>
      <c r="H1139" s="6">
        <v>5.4653236899325099</v>
      </c>
      <c r="I1139" s="6">
        <v>5.4653236899325099</v>
      </c>
      <c r="J1139" s="6">
        <v>5.4653236899325099</v>
      </c>
      <c r="K1139" s="6">
        <v>0.84522403106647304</v>
      </c>
      <c r="L1139" s="6">
        <v>0.84522403106647304</v>
      </c>
      <c r="M1139" s="6">
        <v>0.84522403106647304</v>
      </c>
      <c r="N1139" s="6">
        <v>4.6200996588660299</v>
      </c>
      <c r="O1139" s="6">
        <v>4.6200996588660299</v>
      </c>
      <c r="P1139" s="6">
        <v>4.6200996588660299</v>
      </c>
      <c r="Q1139" s="6">
        <v>0</v>
      </c>
      <c r="R1139" s="6">
        <v>0</v>
      </c>
      <c r="S1139" s="6">
        <v>0</v>
      </c>
      <c r="T1139" s="6">
        <v>238.08192373852299</v>
      </c>
    </row>
    <row r="1140" spans="1:20" ht="13" x14ac:dyDescent="0.15">
      <c r="A1140" s="6">
        <v>1138</v>
      </c>
      <c r="B1140" s="7">
        <v>44811</v>
      </c>
      <c r="C1140" s="6">
        <v>232.16045771934299</v>
      </c>
      <c r="D1140" s="6">
        <v>206.24585351859099</v>
      </c>
      <c r="E1140" s="6">
        <v>271.51928103120798</v>
      </c>
      <c r="F1140" s="6">
        <v>232.16045771934299</v>
      </c>
      <c r="G1140" s="6">
        <v>232.16045771934299</v>
      </c>
      <c r="H1140" s="6">
        <v>6.12350076354004</v>
      </c>
      <c r="I1140" s="6">
        <v>6.12350076354004</v>
      </c>
      <c r="J1140" s="6">
        <v>6.12350076354004</v>
      </c>
      <c r="K1140" s="6">
        <v>0.94874688043468303</v>
      </c>
      <c r="L1140" s="6">
        <v>0.94874688043468303</v>
      </c>
      <c r="M1140" s="6">
        <v>0.94874688043468303</v>
      </c>
      <c r="N1140" s="6">
        <v>5.1747538831053603</v>
      </c>
      <c r="O1140" s="6">
        <v>5.1747538831053603</v>
      </c>
      <c r="P1140" s="6">
        <v>5.1747538831053603</v>
      </c>
      <c r="Q1140" s="6">
        <v>0</v>
      </c>
      <c r="R1140" s="6">
        <v>0</v>
      </c>
      <c r="S1140" s="6">
        <v>0</v>
      </c>
      <c r="T1140" s="6">
        <v>238.283958482884</v>
      </c>
    </row>
    <row r="1141" spans="1:20" ht="13" x14ac:dyDescent="0.15">
      <c r="A1141" s="6">
        <v>1139</v>
      </c>
      <c r="B1141" s="7">
        <v>44812</v>
      </c>
      <c r="C1141" s="6">
        <v>231.70431539009701</v>
      </c>
      <c r="D1141" s="6">
        <v>204.677852138888</v>
      </c>
      <c r="E1141" s="6">
        <v>269.50634679623198</v>
      </c>
      <c r="F1141" s="6">
        <v>231.70431539009701</v>
      </c>
      <c r="G1141" s="6">
        <v>231.70431539009701</v>
      </c>
      <c r="H1141" s="6">
        <v>6.25001994911828</v>
      </c>
      <c r="I1141" s="6">
        <v>6.25001994911828</v>
      </c>
      <c r="J1141" s="6">
        <v>6.25001994911828</v>
      </c>
      <c r="K1141" s="6">
        <v>0.49015521355748398</v>
      </c>
      <c r="L1141" s="6">
        <v>0.49015521355748398</v>
      </c>
      <c r="M1141" s="6">
        <v>0.49015521355748398</v>
      </c>
      <c r="N1141" s="6">
        <v>5.7598647355607904</v>
      </c>
      <c r="O1141" s="6">
        <v>5.7598647355607904</v>
      </c>
      <c r="P1141" s="6">
        <v>5.7598647355607904</v>
      </c>
      <c r="Q1141" s="6">
        <v>0</v>
      </c>
      <c r="R1141" s="6">
        <v>0</v>
      </c>
      <c r="S1141" s="6">
        <v>0</v>
      </c>
      <c r="T1141" s="6">
        <v>237.95433533921499</v>
      </c>
    </row>
    <row r="1142" spans="1:20" ht="13" x14ac:dyDescent="0.15">
      <c r="A1142" s="6">
        <v>1140</v>
      </c>
      <c r="B1142" s="7">
        <v>44813</v>
      </c>
      <c r="C1142" s="6">
        <v>231.24817306085001</v>
      </c>
      <c r="D1142" s="6">
        <v>206.65936144072299</v>
      </c>
      <c r="E1142" s="6">
        <v>272.196803097268</v>
      </c>
      <c r="F1142" s="6">
        <v>231.24817306085001</v>
      </c>
      <c r="G1142" s="6">
        <v>231.24817306085001</v>
      </c>
      <c r="H1142" s="6">
        <v>6.3354546732375301</v>
      </c>
      <c r="I1142" s="6">
        <v>6.3354546732375301</v>
      </c>
      <c r="J1142" s="6">
        <v>6.3354546732375301</v>
      </c>
      <c r="K1142" s="6">
        <v>-2.29767650661927E-2</v>
      </c>
      <c r="L1142" s="6">
        <v>-2.29767650661927E-2</v>
      </c>
      <c r="M1142" s="6">
        <v>-2.29767650661927E-2</v>
      </c>
      <c r="N1142" s="6">
        <v>6.3584314383037199</v>
      </c>
      <c r="O1142" s="6">
        <v>6.3584314383037199</v>
      </c>
      <c r="P1142" s="6">
        <v>6.3584314383037199</v>
      </c>
      <c r="Q1142" s="6">
        <v>0</v>
      </c>
      <c r="R1142" s="6">
        <v>0</v>
      </c>
      <c r="S1142" s="6">
        <v>0</v>
      </c>
      <c r="T1142" s="6">
        <v>237.583627734088</v>
      </c>
    </row>
    <row r="1143" spans="1:20" ht="13" x14ac:dyDescent="0.15">
      <c r="A1143" s="6">
        <v>1141</v>
      </c>
      <c r="B1143" s="7">
        <v>44816</v>
      </c>
      <c r="C1143" s="6">
        <v>229.87974607311</v>
      </c>
      <c r="D1143" s="6">
        <v>208.777017267876</v>
      </c>
      <c r="E1143" s="6">
        <v>271.017427523545</v>
      </c>
      <c r="F1143" s="6">
        <v>229.87974607311</v>
      </c>
      <c r="G1143" s="6">
        <v>229.87974607311</v>
      </c>
      <c r="H1143" s="6">
        <v>9.8712488707655606</v>
      </c>
      <c r="I1143" s="6">
        <v>9.8712488707655606</v>
      </c>
      <c r="J1143" s="6">
        <v>9.8712488707655606</v>
      </c>
      <c r="K1143" s="6">
        <v>1.82289060893898</v>
      </c>
      <c r="L1143" s="6">
        <v>1.82289060893898</v>
      </c>
      <c r="M1143" s="6">
        <v>1.82289060893898</v>
      </c>
      <c r="N1143" s="6">
        <v>8.0483582618265803</v>
      </c>
      <c r="O1143" s="6">
        <v>8.0483582618265803</v>
      </c>
      <c r="P1143" s="6">
        <v>8.0483582618265803</v>
      </c>
      <c r="Q1143" s="6">
        <v>0</v>
      </c>
      <c r="R1143" s="6">
        <v>0</v>
      </c>
      <c r="S1143" s="6">
        <v>0</v>
      </c>
      <c r="T1143" s="6">
        <v>239.75099494387601</v>
      </c>
    </row>
    <row r="1144" spans="1:20" ht="13" x14ac:dyDescent="0.15">
      <c r="A1144" s="6">
        <v>1142</v>
      </c>
      <c r="B1144" s="7">
        <v>44817</v>
      </c>
      <c r="C1144" s="6">
        <v>229.42360374386399</v>
      </c>
      <c r="D1144" s="6">
        <v>205.88018230786301</v>
      </c>
      <c r="E1144" s="6">
        <v>269.885922152494</v>
      </c>
      <c r="F1144" s="6">
        <v>229.42360374386399</v>
      </c>
      <c r="G1144" s="6">
        <v>229.42360374386399</v>
      </c>
      <c r="H1144" s="6">
        <v>9.3576753147354292</v>
      </c>
      <c r="I1144" s="6">
        <v>9.3576753147354292</v>
      </c>
      <c r="J1144" s="6">
        <v>9.3576753147354292</v>
      </c>
      <c r="K1144" s="6">
        <v>0.84522403106501598</v>
      </c>
      <c r="L1144" s="6">
        <v>0.84522403106501598</v>
      </c>
      <c r="M1144" s="6">
        <v>0.84522403106501598</v>
      </c>
      <c r="N1144" s="6">
        <v>8.5124512836704103</v>
      </c>
      <c r="O1144" s="6">
        <v>8.5124512836704103</v>
      </c>
      <c r="P1144" s="6">
        <v>8.5124512836704103</v>
      </c>
      <c r="Q1144" s="6">
        <v>0</v>
      </c>
      <c r="R1144" s="6">
        <v>0</v>
      </c>
      <c r="S1144" s="6">
        <v>0</v>
      </c>
      <c r="T1144" s="6">
        <v>238.78127905859901</v>
      </c>
    </row>
    <row r="1145" spans="1:20" ht="13" x14ac:dyDescent="0.15">
      <c r="A1145" s="6">
        <v>1143</v>
      </c>
      <c r="B1145" s="7">
        <v>44818</v>
      </c>
      <c r="C1145" s="6">
        <v>228.96746141461699</v>
      </c>
      <c r="D1145" s="6">
        <v>209.365481035394</v>
      </c>
      <c r="E1145" s="6">
        <v>271.87183081875202</v>
      </c>
      <c r="F1145" s="6">
        <v>228.96746141461699</v>
      </c>
      <c r="G1145" s="6">
        <v>228.96746141461699</v>
      </c>
      <c r="H1145" s="6">
        <v>9.8447643023511997</v>
      </c>
      <c r="I1145" s="6">
        <v>9.8447643023511997</v>
      </c>
      <c r="J1145" s="6">
        <v>9.8447643023511997</v>
      </c>
      <c r="K1145" s="6">
        <v>0.94874688043774602</v>
      </c>
      <c r="L1145" s="6">
        <v>0.94874688043774602</v>
      </c>
      <c r="M1145" s="6">
        <v>0.94874688043774602</v>
      </c>
      <c r="N1145" s="6">
        <v>8.8960174219134593</v>
      </c>
      <c r="O1145" s="6">
        <v>8.8960174219134593</v>
      </c>
      <c r="P1145" s="6">
        <v>8.8960174219134593</v>
      </c>
      <c r="Q1145" s="6">
        <v>0</v>
      </c>
      <c r="R1145" s="6">
        <v>0</v>
      </c>
      <c r="S1145" s="6">
        <v>0</v>
      </c>
      <c r="T1145" s="6">
        <v>238.81222571696799</v>
      </c>
    </row>
    <row r="1146" spans="1:20" ht="13" x14ac:dyDescent="0.15">
      <c r="A1146" s="6">
        <v>1144</v>
      </c>
      <c r="B1146" s="7">
        <v>44819</v>
      </c>
      <c r="C1146" s="6">
        <v>228.51131908536999</v>
      </c>
      <c r="D1146" s="6">
        <v>203.808425419522</v>
      </c>
      <c r="E1146" s="6">
        <v>269.913382401376</v>
      </c>
      <c r="F1146" s="6">
        <v>228.51131908536999</v>
      </c>
      <c r="G1146" s="6">
        <v>228.51131908536999</v>
      </c>
      <c r="H1146" s="6">
        <v>9.6724715715370309</v>
      </c>
      <c r="I1146" s="6">
        <v>9.6724715715370309</v>
      </c>
      <c r="J1146" s="6">
        <v>9.6724715715370309</v>
      </c>
      <c r="K1146" s="6">
        <v>0.49015521355866298</v>
      </c>
      <c r="L1146" s="6">
        <v>0.49015521355866298</v>
      </c>
      <c r="M1146" s="6">
        <v>0.49015521355866298</v>
      </c>
      <c r="N1146" s="6">
        <v>9.18231635797836</v>
      </c>
      <c r="O1146" s="6">
        <v>9.18231635797836</v>
      </c>
      <c r="P1146" s="6">
        <v>9.18231635797836</v>
      </c>
      <c r="Q1146" s="6">
        <v>0</v>
      </c>
      <c r="R1146" s="6">
        <v>0</v>
      </c>
      <c r="S1146" s="6">
        <v>0</v>
      </c>
      <c r="T1146" s="6">
        <v>238.18379065690701</v>
      </c>
    </row>
    <row r="1147" spans="1:20" ht="13" x14ac:dyDescent="0.15">
      <c r="A1147" s="6">
        <v>1145</v>
      </c>
      <c r="B1147" s="7">
        <v>44820</v>
      </c>
      <c r="C1147" s="6">
        <v>228.05517675612299</v>
      </c>
      <c r="D1147" s="6">
        <v>206.34009639615601</v>
      </c>
      <c r="E1147" s="6">
        <v>266.712687735592</v>
      </c>
      <c r="F1147" s="6">
        <v>228.05517675612299</v>
      </c>
      <c r="G1147" s="6">
        <v>228.05517675612299</v>
      </c>
      <c r="H1147" s="6">
        <v>9.3335843972821007</v>
      </c>
      <c r="I1147" s="6">
        <v>9.3335843972821007</v>
      </c>
      <c r="J1147" s="6">
        <v>9.3335843972821007</v>
      </c>
      <c r="K1147" s="6">
        <v>-2.29767650642465E-2</v>
      </c>
      <c r="L1147" s="6">
        <v>-2.29767650642465E-2</v>
      </c>
      <c r="M1147" s="6">
        <v>-2.29767650642465E-2</v>
      </c>
      <c r="N1147" s="6">
        <v>9.3565611623463401</v>
      </c>
      <c r="O1147" s="6">
        <v>9.3565611623463401</v>
      </c>
      <c r="P1147" s="6">
        <v>9.3565611623463401</v>
      </c>
      <c r="Q1147" s="6">
        <v>0</v>
      </c>
      <c r="R1147" s="6">
        <v>0</v>
      </c>
      <c r="S1147" s="6">
        <v>0</v>
      </c>
      <c r="T1147" s="6">
        <v>237.388761153405</v>
      </c>
    </row>
    <row r="1148" spans="1:20" ht="13" x14ac:dyDescent="0.15">
      <c r="A1148" s="6">
        <v>1146</v>
      </c>
      <c r="B1148" s="7">
        <v>44823</v>
      </c>
      <c r="C1148" s="6">
        <v>226.68674976838301</v>
      </c>
      <c r="D1148" s="6">
        <v>205.868374301122</v>
      </c>
      <c r="E1148" s="6">
        <v>270.32073034032197</v>
      </c>
      <c r="F1148" s="6">
        <v>226.68674976838301</v>
      </c>
      <c r="G1148" s="6">
        <v>226.68674976838301</v>
      </c>
      <c r="H1148" s="6">
        <v>10.920931412923</v>
      </c>
      <c r="I1148" s="6">
        <v>10.920931412923</v>
      </c>
      <c r="J1148" s="6">
        <v>10.920931412923</v>
      </c>
      <c r="K1148" s="6">
        <v>1.8228906089327701</v>
      </c>
      <c r="L1148" s="6">
        <v>1.8228906089327701</v>
      </c>
      <c r="M1148" s="6">
        <v>1.8228906089327701</v>
      </c>
      <c r="N1148" s="6">
        <v>9.0980408039902905</v>
      </c>
      <c r="O1148" s="6">
        <v>9.0980408039902905</v>
      </c>
      <c r="P1148" s="6">
        <v>9.0980408039902905</v>
      </c>
      <c r="Q1148" s="6">
        <v>0</v>
      </c>
      <c r="R1148" s="6">
        <v>0</v>
      </c>
      <c r="S1148" s="6">
        <v>0</v>
      </c>
      <c r="T1148" s="6">
        <v>237.60768118130599</v>
      </c>
    </row>
    <row r="1149" spans="1:20" ht="13" x14ac:dyDescent="0.15">
      <c r="A1149" s="6">
        <v>1147</v>
      </c>
      <c r="B1149" s="7">
        <v>44824</v>
      </c>
      <c r="C1149" s="6">
        <v>226.230607439137</v>
      </c>
      <c r="D1149" s="6">
        <v>203.85961554437901</v>
      </c>
      <c r="E1149" s="6">
        <v>268.62030415070399</v>
      </c>
      <c r="F1149" s="6">
        <v>226.230607439137</v>
      </c>
      <c r="G1149" s="6">
        <v>226.230607439137</v>
      </c>
      <c r="H1149" s="6">
        <v>9.5759380210100904</v>
      </c>
      <c r="I1149" s="6">
        <v>9.5759380210100904</v>
      </c>
      <c r="J1149" s="6">
        <v>9.5759380210100904</v>
      </c>
      <c r="K1149" s="6">
        <v>0.84522403106518296</v>
      </c>
      <c r="L1149" s="6">
        <v>0.84522403106518296</v>
      </c>
      <c r="M1149" s="6">
        <v>0.84522403106518296</v>
      </c>
      <c r="N1149" s="6">
        <v>8.7307139899449098</v>
      </c>
      <c r="O1149" s="6">
        <v>8.7307139899449098</v>
      </c>
      <c r="P1149" s="6">
        <v>8.7307139899449098</v>
      </c>
      <c r="Q1149" s="6">
        <v>0</v>
      </c>
      <c r="R1149" s="6">
        <v>0</v>
      </c>
      <c r="S1149" s="6">
        <v>0</v>
      </c>
      <c r="T1149" s="6">
        <v>235.80654546014699</v>
      </c>
    </row>
    <row r="1150" spans="1:20" ht="13" x14ac:dyDescent="0.15">
      <c r="A1150" s="6">
        <v>1148</v>
      </c>
      <c r="B1150" s="7">
        <v>44825</v>
      </c>
      <c r="C1150" s="6">
        <v>225.77446510989</v>
      </c>
      <c r="D1150" s="6">
        <v>203.51685973092199</v>
      </c>
      <c r="E1150" s="6">
        <v>266.19884530585699</v>
      </c>
      <c r="F1150" s="6">
        <v>225.77446510989</v>
      </c>
      <c r="G1150" s="6">
        <v>225.77446510989</v>
      </c>
      <c r="H1150" s="6">
        <v>9.1698976797912106</v>
      </c>
      <c r="I1150" s="6">
        <v>9.1698976797912106</v>
      </c>
      <c r="J1150" s="6">
        <v>9.1698976797912106</v>
      </c>
      <c r="K1150" s="6">
        <v>0.94874688043691602</v>
      </c>
      <c r="L1150" s="6">
        <v>0.94874688043691602</v>
      </c>
      <c r="M1150" s="6">
        <v>0.94874688043691602</v>
      </c>
      <c r="N1150" s="6">
        <v>8.2211507993542892</v>
      </c>
      <c r="O1150" s="6">
        <v>8.2211507993542892</v>
      </c>
      <c r="P1150" s="6">
        <v>8.2211507993542892</v>
      </c>
      <c r="Q1150" s="6">
        <v>0</v>
      </c>
      <c r="R1150" s="6">
        <v>0</v>
      </c>
      <c r="S1150" s="6">
        <v>0</v>
      </c>
      <c r="T1150" s="6">
        <v>234.94436278968101</v>
      </c>
    </row>
    <row r="1151" spans="1:20" ht="13" x14ac:dyDescent="0.15">
      <c r="A1151" s="6">
        <v>1149</v>
      </c>
      <c r="B1151" s="7">
        <v>44826</v>
      </c>
      <c r="C1151" s="6">
        <v>225.318322780643</v>
      </c>
      <c r="D1151" s="6">
        <v>201.80582074704799</v>
      </c>
      <c r="E1151" s="6">
        <v>264.22794909373101</v>
      </c>
      <c r="F1151" s="6">
        <v>225.318322780643</v>
      </c>
      <c r="G1151" s="6">
        <v>225.318322780643</v>
      </c>
      <c r="H1151" s="6">
        <v>8.0640301674639403</v>
      </c>
      <c r="I1151" s="6">
        <v>8.0640301674639403</v>
      </c>
      <c r="J1151" s="6">
        <v>8.0640301674639403</v>
      </c>
      <c r="K1151" s="6">
        <v>0.49015521355582597</v>
      </c>
      <c r="L1151" s="6">
        <v>0.49015521355582597</v>
      </c>
      <c r="M1151" s="6">
        <v>0.49015521355582597</v>
      </c>
      <c r="N1151" s="6">
        <v>7.5738749539081098</v>
      </c>
      <c r="O1151" s="6">
        <v>7.5738749539081098</v>
      </c>
      <c r="P1151" s="6">
        <v>7.5738749539081098</v>
      </c>
      <c r="Q1151" s="6">
        <v>0</v>
      </c>
      <c r="R1151" s="6">
        <v>0</v>
      </c>
      <c r="S1151" s="6">
        <v>0</v>
      </c>
      <c r="T1151" s="6">
        <v>233.38235294810701</v>
      </c>
    </row>
    <row r="1152" spans="1:20" ht="13" x14ac:dyDescent="0.15">
      <c r="A1152" s="6">
        <v>1150</v>
      </c>
      <c r="B1152" s="7">
        <v>44827</v>
      </c>
      <c r="C1152" s="6">
        <v>224.86218045139699</v>
      </c>
      <c r="D1152" s="6">
        <v>200.06154431115499</v>
      </c>
      <c r="E1152" s="6">
        <v>263.36096728895302</v>
      </c>
      <c r="F1152" s="6">
        <v>224.86218045139699</v>
      </c>
      <c r="G1152" s="6">
        <v>224.86218045139699</v>
      </c>
      <c r="H1152" s="6">
        <v>6.7741248397729699</v>
      </c>
      <c r="I1152" s="6">
        <v>6.7741248397729699</v>
      </c>
      <c r="J1152" s="6">
        <v>6.7741248397729699</v>
      </c>
      <c r="K1152" s="6">
        <v>-2.2976765066858501E-2</v>
      </c>
      <c r="L1152" s="6">
        <v>-2.2976765066858501E-2</v>
      </c>
      <c r="M1152" s="6">
        <v>-2.2976765066858501E-2</v>
      </c>
      <c r="N1152" s="6">
        <v>6.7971016048398303</v>
      </c>
      <c r="O1152" s="6">
        <v>6.7971016048398303</v>
      </c>
      <c r="P1152" s="6">
        <v>6.7971016048398303</v>
      </c>
      <c r="Q1152" s="6">
        <v>0</v>
      </c>
      <c r="R1152" s="6">
        <v>0</v>
      </c>
      <c r="S1152" s="6">
        <v>0</v>
      </c>
      <c r="T1152" s="6">
        <v>231.63630529117</v>
      </c>
    </row>
    <row r="1153" spans="1:20" ht="13" x14ac:dyDescent="0.15">
      <c r="A1153" s="6">
        <v>1151</v>
      </c>
      <c r="B1153" s="7">
        <v>44830</v>
      </c>
      <c r="C1153" s="6">
        <v>223.49375346365699</v>
      </c>
      <c r="D1153" s="6">
        <v>198.54308470319501</v>
      </c>
      <c r="E1153" s="6">
        <v>261.701532333746</v>
      </c>
      <c r="F1153" s="6">
        <v>223.49375346365699</v>
      </c>
      <c r="G1153" s="6">
        <v>223.49375346365699</v>
      </c>
      <c r="H1153" s="6">
        <v>5.6468464948775301</v>
      </c>
      <c r="I1153" s="6">
        <v>5.6468464948775301</v>
      </c>
      <c r="J1153" s="6">
        <v>5.6468464948775301</v>
      </c>
      <c r="K1153" s="6">
        <v>1.8228906089344901</v>
      </c>
      <c r="L1153" s="6">
        <v>1.8228906089344901</v>
      </c>
      <c r="M1153" s="6">
        <v>1.8228906089344901</v>
      </c>
      <c r="N1153" s="6">
        <v>3.82395588594304</v>
      </c>
      <c r="O1153" s="6">
        <v>3.82395588594304</v>
      </c>
      <c r="P1153" s="6">
        <v>3.82395588594304</v>
      </c>
      <c r="Q1153" s="6">
        <v>0</v>
      </c>
      <c r="R1153" s="6">
        <v>0</v>
      </c>
      <c r="S1153" s="6">
        <v>0</v>
      </c>
      <c r="T1153" s="6">
        <v>229.14059995853401</v>
      </c>
    </row>
    <row r="1154" spans="1:20" ht="13" x14ac:dyDescent="0.15">
      <c r="A1154" s="6">
        <v>1152</v>
      </c>
      <c r="B1154" s="7">
        <v>44831</v>
      </c>
      <c r="C1154" s="6">
        <v>223.03761113441001</v>
      </c>
      <c r="D1154" s="6">
        <v>194.152262692167</v>
      </c>
      <c r="E1154" s="6">
        <v>260.92120383616702</v>
      </c>
      <c r="F1154" s="6">
        <v>223.03761113441001</v>
      </c>
      <c r="G1154" s="6">
        <v>223.03761113441001</v>
      </c>
      <c r="H1154" s="6">
        <v>3.5238896309687702</v>
      </c>
      <c r="I1154" s="6">
        <v>3.5238896309687702</v>
      </c>
      <c r="J1154" s="6">
        <v>3.5238896309687702</v>
      </c>
      <c r="K1154" s="6">
        <v>0.84522403106372601</v>
      </c>
      <c r="L1154" s="6">
        <v>0.84522403106372601</v>
      </c>
      <c r="M1154" s="6">
        <v>0.84522403106372601</v>
      </c>
      <c r="N1154" s="6">
        <v>2.6786655999050399</v>
      </c>
      <c r="O1154" s="6">
        <v>2.6786655999050399</v>
      </c>
      <c r="P1154" s="6">
        <v>2.6786655999050399</v>
      </c>
      <c r="Q1154" s="6">
        <v>0</v>
      </c>
      <c r="R1154" s="6">
        <v>0</v>
      </c>
      <c r="S1154" s="6">
        <v>0</v>
      </c>
      <c r="T1154" s="6">
        <v>226.56150076537901</v>
      </c>
    </row>
    <row r="1155" spans="1:20" ht="13" x14ac:dyDescent="0.15">
      <c r="A1155" s="6">
        <v>1153</v>
      </c>
      <c r="B1155" s="7">
        <v>44832</v>
      </c>
      <c r="C1155" s="6">
        <v>222.58146880516301</v>
      </c>
      <c r="D1155" s="6">
        <v>193.522462230906</v>
      </c>
      <c r="E1155" s="6">
        <v>256.19883952286199</v>
      </c>
      <c r="F1155" s="6">
        <v>222.58146880516301</v>
      </c>
      <c r="G1155" s="6">
        <v>222.58146880516301</v>
      </c>
      <c r="H1155" s="6">
        <v>2.4412558404141</v>
      </c>
      <c r="I1155" s="6">
        <v>2.4412558404141</v>
      </c>
      <c r="J1155" s="6">
        <v>2.4412558404141</v>
      </c>
      <c r="K1155" s="6">
        <v>0.94874688043876598</v>
      </c>
      <c r="L1155" s="6">
        <v>0.94874688043876598</v>
      </c>
      <c r="M1155" s="6">
        <v>0.94874688043876598</v>
      </c>
      <c r="N1155" s="6">
        <v>1.4925089599753301</v>
      </c>
      <c r="O1155" s="6">
        <v>1.4925089599753301</v>
      </c>
      <c r="P1155" s="6">
        <v>1.4925089599753301</v>
      </c>
      <c r="Q1155" s="6">
        <v>0</v>
      </c>
      <c r="R1155" s="6">
        <v>0</v>
      </c>
      <c r="S1155" s="6">
        <v>0</v>
      </c>
      <c r="T1155" s="6">
        <v>225.022724645577</v>
      </c>
    </row>
    <row r="1156" spans="1:20" ht="13" x14ac:dyDescent="0.15">
      <c r="A1156" s="6">
        <v>1154</v>
      </c>
      <c r="B1156" s="7">
        <v>44833</v>
      </c>
      <c r="C1156" s="6">
        <v>222.12532647591701</v>
      </c>
      <c r="D1156" s="6">
        <v>190.280820112242</v>
      </c>
      <c r="E1156" s="6">
        <v>255.916962232656</v>
      </c>
      <c r="F1156" s="6">
        <v>222.12532647591701</v>
      </c>
      <c r="G1156" s="6">
        <v>222.12532647591701</v>
      </c>
      <c r="H1156" s="6">
        <v>0.78007714582389698</v>
      </c>
      <c r="I1156" s="6">
        <v>0.78007714582389698</v>
      </c>
      <c r="J1156" s="6">
        <v>0.78007714582389698</v>
      </c>
      <c r="K1156" s="6">
        <v>0.49015521355700498</v>
      </c>
      <c r="L1156" s="6">
        <v>0.49015521355700498</v>
      </c>
      <c r="M1156" s="6">
        <v>0.49015521355700498</v>
      </c>
      <c r="N1156" s="6">
        <v>0.289921932266891</v>
      </c>
      <c r="O1156" s="6">
        <v>0.289921932266891</v>
      </c>
      <c r="P1156" s="6">
        <v>0.289921932266891</v>
      </c>
      <c r="Q1156" s="6">
        <v>0</v>
      </c>
      <c r="R1156" s="6">
        <v>0</v>
      </c>
      <c r="S1156" s="6">
        <v>0</v>
      </c>
      <c r="T1156" s="6">
        <v>222.90540362174099</v>
      </c>
    </row>
    <row r="1157" spans="1:20" ht="13" x14ac:dyDescent="0.15">
      <c r="A1157" s="6">
        <v>1155</v>
      </c>
      <c r="B1157" s="7">
        <v>44834</v>
      </c>
      <c r="C1157" s="6">
        <v>221.66918414667001</v>
      </c>
      <c r="D1157" s="6">
        <v>186.60165395830899</v>
      </c>
      <c r="E1157" s="6">
        <v>253.0351499333</v>
      </c>
      <c r="F1157" s="6">
        <v>221.66918414667001</v>
      </c>
      <c r="G1157" s="6">
        <v>221.66918414667001</v>
      </c>
      <c r="H1157" s="6">
        <v>-0.92666111561674502</v>
      </c>
      <c r="I1157" s="6">
        <v>-0.92666111561674502</v>
      </c>
      <c r="J1157" s="6">
        <v>-0.92666111561674502</v>
      </c>
      <c r="K1157" s="6">
        <v>-2.2976765060799799E-2</v>
      </c>
      <c r="L1157" s="6">
        <v>-2.2976765060799799E-2</v>
      </c>
      <c r="M1157" s="6">
        <v>-2.2976765060799799E-2</v>
      </c>
      <c r="N1157" s="6">
        <v>-0.90368435055594498</v>
      </c>
      <c r="O1157" s="6">
        <v>-0.90368435055594498</v>
      </c>
      <c r="P1157" s="6">
        <v>-0.90368435055594498</v>
      </c>
      <c r="Q1157" s="6">
        <v>0</v>
      </c>
      <c r="R1157" s="6">
        <v>0</v>
      </c>
      <c r="S1157" s="6">
        <v>0</v>
      </c>
      <c r="T1157" s="6">
        <v>220.742523031053</v>
      </c>
    </row>
    <row r="1158" spans="1:20" ht="13" x14ac:dyDescent="0.15">
      <c r="A1158" s="6">
        <v>1156</v>
      </c>
      <c r="B1158" s="7">
        <v>44837</v>
      </c>
      <c r="C1158" s="6">
        <v>220.30075715893</v>
      </c>
      <c r="D1158" s="6">
        <v>185.093362642762</v>
      </c>
      <c r="E1158" s="6">
        <v>249.963891893078</v>
      </c>
      <c r="F1158" s="6">
        <v>220.30075715893</v>
      </c>
      <c r="G1158" s="6">
        <v>220.30075715893</v>
      </c>
      <c r="H1158" s="6">
        <v>-2.3523555059315502</v>
      </c>
      <c r="I1158" s="6">
        <v>-2.3523555059315502</v>
      </c>
      <c r="J1158" s="6">
        <v>-2.3523555059315502</v>
      </c>
      <c r="K1158" s="6">
        <v>1.8228906089349901</v>
      </c>
      <c r="L1158" s="6">
        <v>1.8228906089349901</v>
      </c>
      <c r="M1158" s="6">
        <v>1.8228906089349901</v>
      </c>
      <c r="N1158" s="6">
        <v>-4.1752461148665398</v>
      </c>
      <c r="O1158" s="6">
        <v>-4.1752461148665398</v>
      </c>
      <c r="P1158" s="6">
        <v>-4.1752461148665398</v>
      </c>
      <c r="Q1158" s="6">
        <v>0</v>
      </c>
      <c r="R1158" s="6">
        <v>0</v>
      </c>
      <c r="S1158" s="6">
        <v>0</v>
      </c>
      <c r="T1158" s="6">
        <v>217.948401652998</v>
      </c>
    </row>
    <row r="1159" spans="1:20" ht="13" x14ac:dyDescent="0.15">
      <c r="A1159" s="6">
        <v>1157</v>
      </c>
      <c r="B1159" s="7">
        <v>44838</v>
      </c>
      <c r="C1159" s="6">
        <v>219.844614829683</v>
      </c>
      <c r="D1159" s="6">
        <v>184.03732674359301</v>
      </c>
      <c r="E1159" s="6">
        <v>249.171069426223</v>
      </c>
      <c r="F1159" s="6">
        <v>219.844614829683</v>
      </c>
      <c r="G1159" s="6">
        <v>219.844614829683</v>
      </c>
      <c r="H1159" s="6">
        <v>-4.2364266735691398</v>
      </c>
      <c r="I1159" s="6">
        <v>-4.2364266735691398</v>
      </c>
      <c r="J1159" s="6">
        <v>-4.2364266735691398</v>
      </c>
      <c r="K1159" s="6">
        <v>0.84522403106308097</v>
      </c>
      <c r="L1159" s="6">
        <v>0.84522403106308097</v>
      </c>
      <c r="M1159" s="6">
        <v>0.84522403106308097</v>
      </c>
      <c r="N1159" s="6">
        <v>-5.0816507046322199</v>
      </c>
      <c r="O1159" s="6">
        <v>-5.0816507046322199</v>
      </c>
      <c r="P1159" s="6">
        <v>-5.0816507046322199</v>
      </c>
      <c r="Q1159" s="6">
        <v>0</v>
      </c>
      <c r="R1159" s="6">
        <v>0</v>
      </c>
      <c r="S1159" s="6">
        <v>0</v>
      </c>
      <c r="T1159" s="6">
        <v>215.60818815611401</v>
      </c>
    </row>
    <row r="1160" spans="1:20" ht="13" x14ac:dyDescent="0.15">
      <c r="A1160" s="6">
        <v>1158</v>
      </c>
      <c r="B1160" s="7">
        <v>44839</v>
      </c>
      <c r="C1160" s="6">
        <v>219.38847250043699</v>
      </c>
      <c r="D1160" s="6">
        <v>182.83578515885301</v>
      </c>
      <c r="E1160" s="6">
        <v>246.09104792850599</v>
      </c>
      <c r="F1160" s="6">
        <v>219.38847250043699</v>
      </c>
      <c r="G1160" s="6">
        <v>219.38847250043699</v>
      </c>
      <c r="H1160" s="6">
        <v>-4.9109629923107896</v>
      </c>
      <c r="I1160" s="6">
        <v>-4.9109629923107896</v>
      </c>
      <c r="J1160" s="6">
        <v>-4.9109629923107896</v>
      </c>
      <c r="K1160" s="6">
        <v>0.94874688043646904</v>
      </c>
      <c r="L1160" s="6">
        <v>0.94874688043646904</v>
      </c>
      <c r="M1160" s="6">
        <v>0.94874688043646904</v>
      </c>
      <c r="N1160" s="6">
        <v>-5.8597098727472599</v>
      </c>
      <c r="O1160" s="6">
        <v>-5.8597098727472599</v>
      </c>
      <c r="P1160" s="6">
        <v>-5.8597098727472599</v>
      </c>
      <c r="Q1160" s="6">
        <v>0</v>
      </c>
      <c r="R1160" s="6">
        <v>0</v>
      </c>
      <c r="S1160" s="6">
        <v>0</v>
      </c>
      <c r="T1160" s="6">
        <v>214.47750950812599</v>
      </c>
    </row>
    <row r="1161" spans="1:20" ht="13" x14ac:dyDescent="0.15">
      <c r="A1161" s="6">
        <v>1159</v>
      </c>
      <c r="B1161" s="7">
        <v>44840</v>
      </c>
      <c r="C1161" s="6">
        <v>218.93233017118999</v>
      </c>
      <c r="D1161" s="6">
        <v>180.77590771759199</v>
      </c>
      <c r="E1161" s="6">
        <v>245.277194140967</v>
      </c>
      <c r="F1161" s="6">
        <v>218.93233017118999</v>
      </c>
      <c r="G1161" s="6">
        <v>218.93233017118999</v>
      </c>
      <c r="H1161" s="6">
        <v>-6.0012332977546601</v>
      </c>
      <c r="I1161" s="6">
        <v>-6.0012332977546601</v>
      </c>
      <c r="J1161" s="6">
        <v>-6.0012332977546601</v>
      </c>
      <c r="K1161" s="6">
        <v>0.49015521355416702</v>
      </c>
      <c r="L1161" s="6">
        <v>0.49015521355416702</v>
      </c>
      <c r="M1161" s="6">
        <v>0.49015521355416702</v>
      </c>
      <c r="N1161" s="6">
        <v>-6.4913885113088297</v>
      </c>
      <c r="O1161" s="6">
        <v>-6.4913885113088297</v>
      </c>
      <c r="P1161" s="6">
        <v>-6.4913885113088297</v>
      </c>
      <c r="Q1161" s="6">
        <v>0</v>
      </c>
      <c r="R1161" s="6">
        <v>0</v>
      </c>
      <c r="S1161" s="6">
        <v>0</v>
      </c>
      <c r="T1161" s="6">
        <v>212.931096873435</v>
      </c>
    </row>
    <row r="1162" spans="1:20" ht="13" x14ac:dyDescent="0.15">
      <c r="A1162" s="6">
        <v>1160</v>
      </c>
      <c r="B1162" s="7">
        <v>44841</v>
      </c>
      <c r="C1162" s="6">
        <v>218.47618784194299</v>
      </c>
      <c r="D1162" s="6">
        <v>181.08416161214799</v>
      </c>
      <c r="E1162" s="6">
        <v>243.049154507694</v>
      </c>
      <c r="F1162" s="6">
        <v>218.47618784194299</v>
      </c>
      <c r="G1162" s="6">
        <v>218.47618784194299</v>
      </c>
      <c r="H1162" s="6">
        <v>-6.98481004123978</v>
      </c>
      <c r="I1162" s="6">
        <v>-6.98481004123978</v>
      </c>
      <c r="J1162" s="6">
        <v>-6.98481004123978</v>
      </c>
      <c r="K1162" s="6">
        <v>-2.29767650634118E-2</v>
      </c>
      <c r="L1162" s="6">
        <v>-2.29767650634118E-2</v>
      </c>
      <c r="M1162" s="6">
        <v>-2.29767650634118E-2</v>
      </c>
      <c r="N1162" s="6">
        <v>-6.9618332761763702</v>
      </c>
      <c r="O1162" s="6">
        <v>-6.9618332761763702</v>
      </c>
      <c r="P1162" s="6">
        <v>-6.9618332761763702</v>
      </c>
      <c r="Q1162" s="6">
        <v>0</v>
      </c>
      <c r="R1162" s="6">
        <v>0</v>
      </c>
      <c r="S1162" s="6">
        <v>0</v>
      </c>
      <c r="T1162" s="6">
        <v>211.49137780070399</v>
      </c>
    </row>
    <row r="1163" spans="1:20" ht="13" x14ac:dyDescent="0.15">
      <c r="A1163" s="6">
        <v>1161</v>
      </c>
      <c r="B1163" s="7">
        <v>44844</v>
      </c>
      <c r="C1163" s="6">
        <v>217.10776085420301</v>
      </c>
      <c r="D1163" s="6">
        <v>178.49879484530601</v>
      </c>
      <c r="E1163" s="6">
        <v>244.80986318368301</v>
      </c>
      <c r="F1163" s="6">
        <v>217.10776085420301</v>
      </c>
      <c r="G1163" s="6">
        <v>217.10776085420301</v>
      </c>
      <c r="H1163" s="6">
        <v>-5.4896037759045502</v>
      </c>
      <c r="I1163" s="6">
        <v>-5.4896037759045502</v>
      </c>
      <c r="J1163" s="6">
        <v>-5.4896037759045502</v>
      </c>
      <c r="K1163" s="6">
        <v>1.8228906089367001</v>
      </c>
      <c r="L1163" s="6">
        <v>1.8228906089367001</v>
      </c>
      <c r="M1163" s="6">
        <v>1.8228906089367001</v>
      </c>
      <c r="N1163" s="6">
        <v>-7.3124943848412602</v>
      </c>
      <c r="O1163" s="6">
        <v>-7.3124943848412602</v>
      </c>
      <c r="P1163" s="6">
        <v>-7.3124943848412602</v>
      </c>
      <c r="Q1163" s="6">
        <v>0</v>
      </c>
      <c r="R1163" s="6">
        <v>0</v>
      </c>
      <c r="S1163" s="6">
        <v>0</v>
      </c>
      <c r="T1163" s="6">
        <v>211.61815707829899</v>
      </c>
    </row>
    <row r="1164" spans="1:20" ht="13" x14ac:dyDescent="0.15">
      <c r="A1164" s="6">
        <v>1162</v>
      </c>
      <c r="B1164" s="7">
        <v>44845</v>
      </c>
      <c r="C1164" s="6">
        <v>216.651618524957</v>
      </c>
      <c r="D1164" s="6">
        <v>177.322947597775</v>
      </c>
      <c r="E1164" s="6">
        <v>244.03964733453199</v>
      </c>
      <c r="F1164" s="6">
        <v>216.651618524957</v>
      </c>
      <c r="G1164" s="6">
        <v>216.651618524957</v>
      </c>
      <c r="H1164" s="6">
        <v>-6.21954041559398</v>
      </c>
      <c r="I1164" s="6">
        <v>-6.21954041559398</v>
      </c>
      <c r="J1164" s="6">
        <v>-6.21954041559398</v>
      </c>
      <c r="K1164" s="6">
        <v>0.84522403106700605</v>
      </c>
      <c r="L1164" s="6">
        <v>0.84522403106700605</v>
      </c>
      <c r="M1164" s="6">
        <v>0.84522403106700605</v>
      </c>
      <c r="N1164" s="6">
        <v>-7.0647644466609796</v>
      </c>
      <c r="O1164" s="6">
        <v>-7.0647644466609796</v>
      </c>
      <c r="P1164" s="6">
        <v>-7.0647644466609796</v>
      </c>
      <c r="Q1164" s="6">
        <v>0</v>
      </c>
      <c r="R1164" s="6">
        <v>0</v>
      </c>
      <c r="S1164" s="6">
        <v>0</v>
      </c>
      <c r="T1164" s="6">
        <v>210.432078109363</v>
      </c>
    </row>
    <row r="1165" spans="1:20" ht="13" x14ac:dyDescent="0.15">
      <c r="A1165" s="6">
        <v>1163</v>
      </c>
      <c r="B1165" s="7">
        <v>44846</v>
      </c>
      <c r="C1165" s="6">
        <v>216.19547619571</v>
      </c>
      <c r="D1165" s="6">
        <v>176.107062547449</v>
      </c>
      <c r="E1165" s="6">
        <v>244.78686119712299</v>
      </c>
      <c r="F1165" s="6">
        <v>216.19547619571</v>
      </c>
      <c r="G1165" s="6">
        <v>216.19547619571</v>
      </c>
      <c r="H1165" s="6">
        <v>-5.6907796571707401</v>
      </c>
      <c r="I1165" s="6">
        <v>-5.6907796571707401</v>
      </c>
      <c r="J1165" s="6">
        <v>-5.6907796571707401</v>
      </c>
      <c r="K1165" s="6">
        <v>0.94874688043563904</v>
      </c>
      <c r="L1165" s="6">
        <v>0.94874688043563904</v>
      </c>
      <c r="M1165" s="6">
        <v>0.94874688043563904</v>
      </c>
      <c r="N1165" s="6">
        <v>-6.6395265376063799</v>
      </c>
      <c r="O1165" s="6">
        <v>-6.6395265376063799</v>
      </c>
      <c r="P1165" s="6">
        <v>-6.6395265376063799</v>
      </c>
      <c r="Q1165" s="6">
        <v>0</v>
      </c>
      <c r="R1165" s="6">
        <v>0</v>
      </c>
      <c r="S1165" s="6">
        <v>0</v>
      </c>
      <c r="T1165" s="6">
        <v>210.50469653853901</v>
      </c>
    </row>
    <row r="1166" spans="1:20" ht="13" x14ac:dyDescent="0.15">
      <c r="A1166" s="6">
        <v>1164</v>
      </c>
      <c r="B1166" s="7">
        <v>44847</v>
      </c>
      <c r="C1166" s="6">
        <v>215.739333866463</v>
      </c>
      <c r="D1166" s="6">
        <v>178.06579844515599</v>
      </c>
      <c r="E1166" s="6">
        <v>240.96102000995799</v>
      </c>
      <c r="F1166" s="6">
        <v>215.739333866463</v>
      </c>
      <c r="G1166" s="6">
        <v>215.739333866463</v>
      </c>
      <c r="H1166" s="6">
        <v>-5.5555885972971604</v>
      </c>
      <c r="I1166" s="6">
        <v>-5.5555885972971604</v>
      </c>
      <c r="J1166" s="6">
        <v>-5.5555885972971604</v>
      </c>
      <c r="K1166" s="6">
        <v>0.49015521355936298</v>
      </c>
      <c r="L1166" s="6">
        <v>0.49015521355936298</v>
      </c>
      <c r="M1166" s="6">
        <v>0.49015521355936298</v>
      </c>
      <c r="N1166" s="6">
        <v>-6.0457438108565196</v>
      </c>
      <c r="O1166" s="6">
        <v>-6.0457438108565196</v>
      </c>
      <c r="P1166" s="6">
        <v>-6.0457438108565196</v>
      </c>
      <c r="Q1166" s="6">
        <v>0</v>
      </c>
      <c r="R1166" s="6">
        <v>0</v>
      </c>
      <c r="S1166" s="6">
        <v>0</v>
      </c>
      <c r="T1166" s="6">
        <v>210.183745269166</v>
      </c>
    </row>
    <row r="1167" spans="1:20" ht="13" x14ac:dyDescent="0.15">
      <c r="A1167" s="6">
        <v>1165</v>
      </c>
      <c r="B1167" s="7">
        <v>44848</v>
      </c>
      <c r="C1167" s="6">
        <v>215.28319153721699</v>
      </c>
      <c r="D1167" s="6">
        <v>179.47793987113999</v>
      </c>
      <c r="E1167" s="6">
        <v>242.82649143414201</v>
      </c>
      <c r="F1167" s="6">
        <v>215.28319153721699</v>
      </c>
      <c r="G1167" s="6">
        <v>215.28319153721699</v>
      </c>
      <c r="H1167" s="6">
        <v>-5.3191341746687097</v>
      </c>
      <c r="I1167" s="6">
        <v>-5.3191341746687097</v>
      </c>
      <c r="J1167" s="6">
        <v>-5.3191341746687097</v>
      </c>
      <c r="K1167" s="6">
        <v>-2.29767650614656E-2</v>
      </c>
      <c r="L1167" s="6">
        <v>-2.29767650614656E-2</v>
      </c>
      <c r="M1167" s="6">
        <v>-2.29767650614656E-2</v>
      </c>
      <c r="N1167" s="6">
        <v>-5.2961574096072503</v>
      </c>
      <c r="O1167" s="6">
        <v>-5.2961574096072503</v>
      </c>
      <c r="P1167" s="6">
        <v>-5.2961574096072503</v>
      </c>
      <c r="Q1167" s="6">
        <v>0</v>
      </c>
      <c r="R1167" s="6">
        <v>0</v>
      </c>
      <c r="S1167" s="6">
        <v>0</v>
      </c>
      <c r="T1167" s="6">
        <v>209.964057362548</v>
      </c>
    </row>
    <row r="1168" spans="1:20" ht="13" x14ac:dyDescent="0.15">
      <c r="A1168" s="6">
        <v>1166</v>
      </c>
      <c r="B1168" s="7">
        <v>44851</v>
      </c>
      <c r="C1168" s="6">
        <v>213.91476454947701</v>
      </c>
      <c r="D1168" s="6">
        <v>181.398031054363</v>
      </c>
      <c r="E1168" s="6">
        <v>246.67652311120801</v>
      </c>
      <c r="F1168" s="6">
        <v>213.91476454947701</v>
      </c>
      <c r="G1168" s="6">
        <v>213.91476454947701</v>
      </c>
      <c r="H1168" s="6">
        <v>-0.46614924605852798</v>
      </c>
      <c r="I1168" s="6">
        <v>-0.46614924605852798</v>
      </c>
      <c r="J1168" s="6">
        <v>-0.46614924605852798</v>
      </c>
      <c r="K1168" s="6">
        <v>1.8228906089371999</v>
      </c>
      <c r="L1168" s="6">
        <v>1.8228906089371999</v>
      </c>
      <c r="M1168" s="6">
        <v>1.8228906089371999</v>
      </c>
      <c r="N1168" s="6">
        <v>-2.28903985499573</v>
      </c>
      <c r="O1168" s="6">
        <v>-2.28903985499573</v>
      </c>
      <c r="P1168" s="6">
        <v>-2.28903985499573</v>
      </c>
      <c r="Q1168" s="6">
        <v>0</v>
      </c>
      <c r="R1168" s="6">
        <v>0</v>
      </c>
      <c r="S1168" s="6">
        <v>0</v>
      </c>
      <c r="T1168" s="6">
        <v>213.44861530341799</v>
      </c>
    </row>
    <row r="1169" spans="1:20" ht="13" x14ac:dyDescent="0.15">
      <c r="A1169" s="6">
        <v>1167</v>
      </c>
      <c r="B1169" s="7">
        <v>44852</v>
      </c>
      <c r="C1169" s="6">
        <v>213.45862222023001</v>
      </c>
      <c r="D1169" s="6">
        <v>181.478238845514</v>
      </c>
      <c r="E1169" s="6">
        <v>246.104405112108</v>
      </c>
      <c r="F1169" s="6">
        <v>213.45862222023001</v>
      </c>
      <c r="G1169" s="6">
        <v>213.45862222023001</v>
      </c>
      <c r="H1169" s="6">
        <v>-0.26050800365962501</v>
      </c>
      <c r="I1169" s="6">
        <v>-0.26050800365962501</v>
      </c>
      <c r="J1169" s="6">
        <v>-0.26050800365962501</v>
      </c>
      <c r="K1169" s="6">
        <v>0.84522403106636101</v>
      </c>
      <c r="L1169" s="6">
        <v>0.84522403106636101</v>
      </c>
      <c r="M1169" s="6">
        <v>0.84522403106636101</v>
      </c>
      <c r="N1169" s="6">
        <v>-1.10573203472598</v>
      </c>
      <c r="O1169" s="6">
        <v>-1.10573203472598</v>
      </c>
      <c r="P1169" s="6">
        <v>-1.10573203472598</v>
      </c>
      <c r="Q1169" s="6">
        <v>0</v>
      </c>
      <c r="R1169" s="6">
        <v>0</v>
      </c>
      <c r="S1169" s="6">
        <v>0</v>
      </c>
      <c r="T1169" s="6">
        <v>213.19811421656999</v>
      </c>
    </row>
    <row r="1170" spans="1:20" ht="13" x14ac:dyDescent="0.15">
      <c r="A1170" s="6">
        <v>1168</v>
      </c>
      <c r="B1170" s="7">
        <v>44853</v>
      </c>
      <c r="C1170" s="6">
        <v>213.00247989098301</v>
      </c>
      <c r="D1170" s="6">
        <v>183.368173605279</v>
      </c>
      <c r="E1170" s="6">
        <v>247.31489106040399</v>
      </c>
      <c r="F1170" s="6">
        <v>213.00247989098301</v>
      </c>
      <c r="G1170" s="6">
        <v>213.00247989098301</v>
      </c>
      <c r="H1170" s="6">
        <v>1.07632275275453</v>
      </c>
      <c r="I1170" s="6">
        <v>1.07632275275453</v>
      </c>
      <c r="J1170" s="6">
        <v>1.07632275275453</v>
      </c>
      <c r="K1170" s="6">
        <v>0.94874688043480804</v>
      </c>
      <c r="L1170" s="6">
        <v>0.94874688043480804</v>
      </c>
      <c r="M1170" s="6">
        <v>0.94874688043480804</v>
      </c>
      <c r="N1170" s="6">
        <v>0.127575872319727</v>
      </c>
      <c r="O1170" s="6">
        <v>0.127575872319727</v>
      </c>
      <c r="P1170" s="6">
        <v>0.127575872319727</v>
      </c>
      <c r="Q1170" s="6">
        <v>0</v>
      </c>
      <c r="R1170" s="6">
        <v>0</v>
      </c>
      <c r="S1170" s="6">
        <v>0</v>
      </c>
      <c r="T1170" s="6">
        <v>214.07880264373799</v>
      </c>
    </row>
    <row r="1171" spans="1:20" ht="13" x14ac:dyDescent="0.15">
      <c r="A1171" s="6">
        <v>1169</v>
      </c>
      <c r="B1171" s="7">
        <v>44854</v>
      </c>
      <c r="C1171" s="6">
        <v>212.546337561737</v>
      </c>
      <c r="D1171" s="6">
        <v>180.599090766312</v>
      </c>
      <c r="E1171" s="6">
        <v>245.70266543872</v>
      </c>
      <c r="F1171" s="6">
        <v>212.546337561737</v>
      </c>
      <c r="G1171" s="6">
        <v>212.546337561737</v>
      </c>
      <c r="H1171" s="6">
        <v>1.8753482624694</v>
      </c>
      <c r="I1171" s="6">
        <v>1.8753482624694</v>
      </c>
      <c r="J1171" s="6">
        <v>1.8753482624694</v>
      </c>
      <c r="K1171" s="6">
        <v>0.49015521355652503</v>
      </c>
      <c r="L1171" s="6">
        <v>0.49015521355652503</v>
      </c>
      <c r="M1171" s="6">
        <v>0.49015521355652503</v>
      </c>
      <c r="N1171" s="6">
        <v>1.3851930489128801</v>
      </c>
      <c r="O1171" s="6">
        <v>1.3851930489128801</v>
      </c>
      <c r="P1171" s="6">
        <v>1.3851930489128801</v>
      </c>
      <c r="Q1171" s="6">
        <v>0</v>
      </c>
      <c r="R1171" s="6">
        <v>0</v>
      </c>
      <c r="S1171" s="6">
        <v>0</v>
      </c>
      <c r="T1171" s="6">
        <v>214.42168582420601</v>
      </c>
    </row>
    <row r="1172" spans="1:20" ht="13" x14ac:dyDescent="0.15">
      <c r="A1172" s="6">
        <v>1170</v>
      </c>
      <c r="B1172" s="7">
        <v>44855</v>
      </c>
      <c r="C1172" s="6">
        <v>212.09019523249</v>
      </c>
      <c r="D1172" s="6">
        <v>182.173630605287</v>
      </c>
      <c r="E1172" s="6">
        <v>243.370547624306</v>
      </c>
      <c r="F1172" s="6">
        <v>212.09019523249</v>
      </c>
      <c r="G1172" s="6">
        <v>212.09019523249</v>
      </c>
      <c r="H1172" s="6">
        <v>2.6184348048086199</v>
      </c>
      <c r="I1172" s="6">
        <v>2.6184348048086199</v>
      </c>
      <c r="J1172" s="6">
        <v>2.6184348048086199</v>
      </c>
      <c r="K1172" s="6">
        <v>-2.2976765064077601E-2</v>
      </c>
      <c r="L1172" s="6">
        <v>-2.2976765064077601E-2</v>
      </c>
      <c r="M1172" s="6">
        <v>-2.2976765064077601E-2</v>
      </c>
      <c r="N1172" s="6">
        <v>2.6414115698726999</v>
      </c>
      <c r="O1172" s="6">
        <v>2.6414115698726999</v>
      </c>
      <c r="P1172" s="6">
        <v>2.6414115698726999</v>
      </c>
      <c r="Q1172" s="6">
        <v>0</v>
      </c>
      <c r="R1172" s="6">
        <v>0</v>
      </c>
      <c r="S1172" s="6">
        <v>0</v>
      </c>
      <c r="T1172" s="6">
        <v>214.708630037299</v>
      </c>
    </row>
    <row r="1173" spans="1:20" ht="13" x14ac:dyDescent="0.15">
      <c r="A1173" s="6">
        <v>1171</v>
      </c>
      <c r="B1173" s="7">
        <v>44858</v>
      </c>
      <c r="C1173" s="6">
        <v>210.72176824475</v>
      </c>
      <c r="D1173" s="6">
        <v>185.53029209446601</v>
      </c>
      <c r="E1173" s="6">
        <v>251.808007170792</v>
      </c>
      <c r="F1173" s="6">
        <v>210.72176824475</v>
      </c>
      <c r="G1173" s="6">
        <v>210.72176824475</v>
      </c>
      <c r="H1173" s="6">
        <v>7.9809487783069901</v>
      </c>
      <c r="I1173" s="6">
        <v>7.9809487783069901</v>
      </c>
      <c r="J1173" s="6">
        <v>7.9809487783069901</v>
      </c>
      <c r="K1173" s="6">
        <v>1.82289060894014</v>
      </c>
      <c r="L1173" s="6">
        <v>1.82289060894014</v>
      </c>
      <c r="M1173" s="6">
        <v>1.82289060894014</v>
      </c>
      <c r="N1173" s="6">
        <v>6.1580581693668499</v>
      </c>
      <c r="O1173" s="6">
        <v>6.1580581693668499</v>
      </c>
      <c r="P1173" s="6">
        <v>6.1580581693668499</v>
      </c>
      <c r="Q1173" s="6">
        <v>0</v>
      </c>
      <c r="R1173" s="6">
        <v>0</v>
      </c>
      <c r="S1173" s="6">
        <v>0</v>
      </c>
      <c r="T1173" s="6">
        <v>218.70271702305701</v>
      </c>
    </row>
    <row r="1174" spans="1:20" ht="13" x14ac:dyDescent="0.15">
      <c r="A1174" s="6">
        <v>1172</v>
      </c>
      <c r="B1174" s="7">
        <v>44859</v>
      </c>
      <c r="C1174" s="6">
        <v>210.26562591550299</v>
      </c>
      <c r="D1174" s="6">
        <v>185.60867546492301</v>
      </c>
      <c r="E1174" s="6">
        <v>250.654869532639</v>
      </c>
      <c r="F1174" s="6">
        <v>210.26562591550299</v>
      </c>
      <c r="G1174" s="6">
        <v>210.26562591550299</v>
      </c>
      <c r="H1174" s="6">
        <v>8.0190517541064992</v>
      </c>
      <c r="I1174" s="6">
        <v>8.0190517541064992</v>
      </c>
      <c r="J1174" s="6">
        <v>8.0190517541064992</v>
      </c>
      <c r="K1174" s="6">
        <v>0.84522403106490396</v>
      </c>
      <c r="L1174" s="6">
        <v>0.84522403106490396</v>
      </c>
      <c r="M1174" s="6">
        <v>0.84522403106490396</v>
      </c>
      <c r="N1174" s="6">
        <v>7.1738277230415903</v>
      </c>
      <c r="O1174" s="6">
        <v>7.1738277230415903</v>
      </c>
      <c r="P1174" s="6">
        <v>7.1738277230415903</v>
      </c>
      <c r="Q1174" s="6">
        <v>0</v>
      </c>
      <c r="R1174" s="6">
        <v>0</v>
      </c>
      <c r="S1174" s="6">
        <v>0</v>
      </c>
      <c r="T1174" s="6">
        <v>218.28467766961001</v>
      </c>
    </row>
    <row r="1175" spans="1:20" ht="13" x14ac:dyDescent="0.15">
      <c r="A1175" s="6">
        <v>1173</v>
      </c>
      <c r="B1175" s="7">
        <v>44860</v>
      </c>
      <c r="C1175" s="6">
        <v>209.80948358625699</v>
      </c>
      <c r="D1175" s="6">
        <v>187.60630881471999</v>
      </c>
      <c r="E1175" s="6">
        <v>251.29644425822201</v>
      </c>
      <c r="F1175" s="6">
        <v>209.80948358625699</v>
      </c>
      <c r="G1175" s="6">
        <v>209.80948358625699</v>
      </c>
      <c r="H1175" s="6">
        <v>9.0301694803640604</v>
      </c>
      <c r="I1175" s="6">
        <v>9.0301694803640604</v>
      </c>
      <c r="J1175" s="6">
        <v>9.0301694803640604</v>
      </c>
      <c r="K1175" s="6">
        <v>0.948746880436658</v>
      </c>
      <c r="L1175" s="6">
        <v>0.948746880436658</v>
      </c>
      <c r="M1175" s="6">
        <v>0.948746880436658</v>
      </c>
      <c r="N1175" s="6">
        <v>8.0814225999274001</v>
      </c>
      <c r="O1175" s="6">
        <v>8.0814225999274001</v>
      </c>
      <c r="P1175" s="6">
        <v>8.0814225999274001</v>
      </c>
      <c r="Q1175" s="6">
        <v>0</v>
      </c>
      <c r="R1175" s="6">
        <v>0</v>
      </c>
      <c r="S1175" s="6">
        <v>0</v>
      </c>
      <c r="T1175" s="6">
        <v>218.839653066621</v>
      </c>
    </row>
    <row r="1176" spans="1:20" ht="13" x14ac:dyDescent="0.15">
      <c r="A1176" s="6">
        <v>1174</v>
      </c>
      <c r="B1176" s="7">
        <v>44861</v>
      </c>
      <c r="C1176" s="6">
        <v>209.35334125700999</v>
      </c>
      <c r="D1176" s="6">
        <v>185.18484425941099</v>
      </c>
      <c r="E1176" s="6">
        <v>249.71454578624599</v>
      </c>
      <c r="F1176" s="6">
        <v>209.35334125700999</v>
      </c>
      <c r="G1176" s="6">
        <v>209.35334125700999</v>
      </c>
      <c r="H1176" s="6">
        <v>9.3577191498815804</v>
      </c>
      <c r="I1176" s="6">
        <v>9.3577191498815804</v>
      </c>
      <c r="J1176" s="6">
        <v>9.3577191498815804</v>
      </c>
      <c r="K1176" s="6">
        <v>0.49015521355624603</v>
      </c>
      <c r="L1176" s="6">
        <v>0.49015521355624603</v>
      </c>
      <c r="M1176" s="6">
        <v>0.49015521355624603</v>
      </c>
      <c r="N1176" s="6">
        <v>8.8675639363253307</v>
      </c>
      <c r="O1176" s="6">
        <v>8.8675639363253307</v>
      </c>
      <c r="P1176" s="6">
        <v>8.8675639363253307</v>
      </c>
      <c r="Q1176" s="6">
        <v>0</v>
      </c>
      <c r="R1176" s="6">
        <v>0</v>
      </c>
      <c r="S1176" s="6">
        <v>0</v>
      </c>
      <c r="T1176" s="6">
        <v>218.71106040689099</v>
      </c>
    </row>
    <row r="1177" spans="1:20" ht="13" x14ac:dyDescent="0.15">
      <c r="A1177" s="6">
        <v>1175</v>
      </c>
      <c r="B1177" s="7">
        <v>44862</v>
      </c>
      <c r="C1177" s="6">
        <v>208.89719892776299</v>
      </c>
      <c r="D1177" s="6">
        <v>185.914820621682</v>
      </c>
      <c r="E1177" s="6">
        <v>247.44645202202901</v>
      </c>
      <c r="F1177" s="6">
        <v>208.89719892776299</v>
      </c>
      <c r="G1177" s="6">
        <v>208.89719892776299</v>
      </c>
      <c r="H1177" s="6">
        <v>9.49957976586143</v>
      </c>
      <c r="I1177" s="6">
        <v>9.49957976586143</v>
      </c>
      <c r="J1177" s="6">
        <v>9.49957976586143</v>
      </c>
      <c r="K1177" s="6">
        <v>-2.29767650621313E-2</v>
      </c>
      <c r="L1177" s="6">
        <v>-2.29767650621313E-2</v>
      </c>
      <c r="M1177" s="6">
        <v>-2.29767650621313E-2</v>
      </c>
      <c r="N1177" s="6">
        <v>9.5225565309235591</v>
      </c>
      <c r="O1177" s="6">
        <v>9.5225565309235591</v>
      </c>
      <c r="P1177" s="6">
        <v>9.5225565309235591</v>
      </c>
      <c r="Q1177" s="6">
        <v>0</v>
      </c>
      <c r="R1177" s="6">
        <v>0</v>
      </c>
      <c r="S1177" s="6">
        <v>0</v>
      </c>
      <c r="T1177" s="6">
        <v>218.39677869362501</v>
      </c>
    </row>
    <row r="1178" spans="1:20" ht="13" x14ac:dyDescent="0.15">
      <c r="A1178" s="6">
        <v>1176</v>
      </c>
      <c r="B1178" s="7">
        <v>44865</v>
      </c>
      <c r="C1178" s="6">
        <v>207.52877194002301</v>
      </c>
      <c r="D1178" s="6">
        <v>189.266585278326</v>
      </c>
      <c r="E1178" s="6">
        <v>251.710423430372</v>
      </c>
      <c r="F1178" s="6">
        <v>207.52877194002301</v>
      </c>
      <c r="G1178" s="6">
        <v>207.52877194002301</v>
      </c>
      <c r="H1178" s="6">
        <v>12.4836178533237</v>
      </c>
      <c r="I1178" s="6">
        <v>12.4836178533237</v>
      </c>
      <c r="J1178" s="6">
        <v>12.4836178533237</v>
      </c>
      <c r="K1178" s="6">
        <v>1.82289060894064</v>
      </c>
      <c r="L1178" s="6">
        <v>1.82289060894064</v>
      </c>
      <c r="M1178" s="6">
        <v>1.82289060894064</v>
      </c>
      <c r="N1178" s="6">
        <v>10.6607272443831</v>
      </c>
      <c r="O1178" s="6">
        <v>10.6607272443831</v>
      </c>
      <c r="P1178" s="6">
        <v>10.6607272443831</v>
      </c>
      <c r="Q1178" s="6">
        <v>0</v>
      </c>
      <c r="R1178" s="6">
        <v>0</v>
      </c>
      <c r="S1178" s="6">
        <v>0</v>
      </c>
      <c r="T1178" s="6">
        <v>220.01238979334701</v>
      </c>
    </row>
    <row r="1179" spans="1:20" ht="13" x14ac:dyDescent="0.15">
      <c r="A1179" s="6">
        <v>1177</v>
      </c>
      <c r="B1179" s="7">
        <v>44866</v>
      </c>
      <c r="C1179" s="6">
        <v>207.072629610776</v>
      </c>
      <c r="D1179" s="6">
        <v>185.532708001245</v>
      </c>
      <c r="E1179" s="6">
        <v>250.92900051463999</v>
      </c>
      <c r="F1179" s="6">
        <v>207.072629610776</v>
      </c>
      <c r="G1179" s="6">
        <v>207.072629610776</v>
      </c>
      <c r="H1179" s="6">
        <v>11.6155334287408</v>
      </c>
      <c r="I1179" s="6">
        <v>11.6155334287408</v>
      </c>
      <c r="J1179" s="6">
        <v>11.6155334287408</v>
      </c>
      <c r="K1179" s="6">
        <v>0.84522403106964195</v>
      </c>
      <c r="L1179" s="6">
        <v>0.84522403106964195</v>
      </c>
      <c r="M1179" s="6">
        <v>0.84522403106964195</v>
      </c>
      <c r="N1179" s="6">
        <v>10.770309397671101</v>
      </c>
      <c r="O1179" s="6">
        <v>10.770309397671101</v>
      </c>
      <c r="P1179" s="6">
        <v>10.770309397671101</v>
      </c>
      <c r="Q1179" s="6">
        <v>0</v>
      </c>
      <c r="R1179" s="6">
        <v>0</v>
      </c>
      <c r="S1179" s="6">
        <v>0</v>
      </c>
      <c r="T1179" s="6">
        <v>218.68816303951701</v>
      </c>
    </row>
    <row r="1180" spans="1:20" ht="13" x14ac:dyDescent="0.15">
      <c r="A1180" s="6">
        <v>1178</v>
      </c>
      <c r="B1180" s="7">
        <v>44867</v>
      </c>
      <c r="C1180" s="6">
        <v>206.61648728153</v>
      </c>
      <c r="D1180" s="6">
        <v>185.996248702109</v>
      </c>
      <c r="E1180" s="6">
        <v>248.89005918842301</v>
      </c>
      <c r="F1180" s="6">
        <v>206.61648728153</v>
      </c>
      <c r="G1180" s="6">
        <v>206.61648728153</v>
      </c>
      <c r="H1180" s="6">
        <v>11.705723429591099</v>
      </c>
      <c r="I1180" s="6">
        <v>11.705723429591099</v>
      </c>
      <c r="J1180" s="6">
        <v>11.705723429591099</v>
      </c>
      <c r="K1180" s="6">
        <v>0.94874688043850697</v>
      </c>
      <c r="L1180" s="6">
        <v>0.94874688043850697</v>
      </c>
      <c r="M1180" s="6">
        <v>0.94874688043850697</v>
      </c>
      <c r="N1180" s="6">
        <v>10.756976549152601</v>
      </c>
      <c r="O1180" s="6">
        <v>10.756976549152601</v>
      </c>
      <c r="P1180" s="6">
        <v>10.756976549152601</v>
      </c>
      <c r="Q1180" s="6">
        <v>0</v>
      </c>
      <c r="R1180" s="6">
        <v>0</v>
      </c>
      <c r="S1180" s="6">
        <v>0</v>
      </c>
      <c r="T1180" s="6">
        <v>218.32221071112099</v>
      </c>
    </row>
    <row r="1181" spans="1:20" ht="13" x14ac:dyDescent="0.15">
      <c r="A1181" s="6">
        <v>1179</v>
      </c>
      <c r="B1181" s="7">
        <v>44868</v>
      </c>
      <c r="C1181" s="6">
        <v>206.160344952283</v>
      </c>
      <c r="D1181" s="6">
        <v>184.940823703663</v>
      </c>
      <c r="E1181" s="6">
        <v>250.01834353002999</v>
      </c>
      <c r="F1181" s="6">
        <v>206.160344952283</v>
      </c>
      <c r="G1181" s="6">
        <v>206.160344952283</v>
      </c>
      <c r="H1181" s="6">
        <v>11.1229726545301</v>
      </c>
      <c r="I1181" s="6">
        <v>11.1229726545301</v>
      </c>
      <c r="J1181" s="6">
        <v>11.1229726545301</v>
      </c>
      <c r="K1181" s="6">
        <v>0.49015521355742497</v>
      </c>
      <c r="L1181" s="6">
        <v>0.49015521355742497</v>
      </c>
      <c r="M1181" s="6">
        <v>0.49015521355742497</v>
      </c>
      <c r="N1181" s="6">
        <v>10.6328174409726</v>
      </c>
      <c r="O1181" s="6">
        <v>10.6328174409726</v>
      </c>
      <c r="P1181" s="6">
        <v>10.6328174409726</v>
      </c>
      <c r="Q1181" s="6">
        <v>0</v>
      </c>
      <c r="R1181" s="6">
        <v>0</v>
      </c>
      <c r="S1181" s="6">
        <v>0</v>
      </c>
      <c r="T1181" s="6">
        <v>217.283317606813</v>
      </c>
    </row>
    <row r="1182" spans="1:20" ht="13" x14ac:dyDescent="0.15">
      <c r="A1182" s="6">
        <v>1180</v>
      </c>
      <c r="B1182" s="7">
        <v>44869</v>
      </c>
      <c r="C1182" s="6">
        <v>205.704202623036</v>
      </c>
      <c r="D1182" s="6">
        <v>184.275797031488</v>
      </c>
      <c r="E1182" s="6">
        <v>245.93593642335199</v>
      </c>
      <c r="F1182" s="6">
        <v>205.704202623036</v>
      </c>
      <c r="G1182" s="6">
        <v>205.704202623036</v>
      </c>
      <c r="H1182" s="6">
        <v>10.389663196815301</v>
      </c>
      <c r="I1182" s="6">
        <v>10.389663196815301</v>
      </c>
      <c r="J1182" s="6">
        <v>10.389663196815301</v>
      </c>
      <c r="K1182" s="6">
        <v>-2.29767650693018E-2</v>
      </c>
      <c r="L1182" s="6">
        <v>-2.29767650693018E-2</v>
      </c>
      <c r="M1182" s="6">
        <v>-2.29767650693018E-2</v>
      </c>
      <c r="N1182" s="6">
        <v>10.412639961884601</v>
      </c>
      <c r="O1182" s="6">
        <v>10.412639961884601</v>
      </c>
      <c r="P1182" s="6">
        <v>10.412639961884601</v>
      </c>
      <c r="Q1182" s="6">
        <v>0</v>
      </c>
      <c r="R1182" s="6">
        <v>0</v>
      </c>
      <c r="S1182" s="6">
        <v>0</v>
      </c>
      <c r="T1182" s="6">
        <v>216.093865819852</v>
      </c>
    </row>
    <row r="1183" spans="1:20" ht="13" x14ac:dyDescent="0.15">
      <c r="A1183" s="6">
        <v>1181</v>
      </c>
      <c r="B1183" s="7">
        <v>44872</v>
      </c>
      <c r="C1183" s="6">
        <v>204.33577563529599</v>
      </c>
      <c r="D1183" s="6">
        <v>184.127534152972</v>
      </c>
      <c r="E1183" s="6">
        <v>249.579798950682</v>
      </c>
      <c r="F1183" s="6">
        <v>204.33577563529599</v>
      </c>
      <c r="G1183" s="6">
        <v>204.33577563529599</v>
      </c>
      <c r="H1183" s="6">
        <v>11.1770241833601</v>
      </c>
      <c r="I1183" s="6">
        <v>11.1770241833601</v>
      </c>
      <c r="J1183" s="6">
        <v>11.1770241833601</v>
      </c>
      <c r="K1183" s="6">
        <v>1.8228906089344199</v>
      </c>
      <c r="L1183" s="6">
        <v>1.8228906089344199</v>
      </c>
      <c r="M1183" s="6">
        <v>1.8228906089344199</v>
      </c>
      <c r="N1183" s="6">
        <v>9.3541335744257506</v>
      </c>
      <c r="O1183" s="6">
        <v>9.3541335744257506</v>
      </c>
      <c r="P1183" s="6">
        <v>9.3541335744257506</v>
      </c>
      <c r="Q1183" s="6">
        <v>0</v>
      </c>
      <c r="R1183" s="6">
        <v>0</v>
      </c>
      <c r="S1183" s="6">
        <v>0</v>
      </c>
      <c r="T1183" s="6">
        <v>215.51279981865699</v>
      </c>
    </row>
    <row r="1184" spans="1:20" ht="13" x14ac:dyDescent="0.15">
      <c r="A1184" s="6">
        <v>1182</v>
      </c>
      <c r="B1184" s="7">
        <v>44873</v>
      </c>
      <c r="C1184" s="6">
        <v>203.87963330605001</v>
      </c>
      <c r="D1184" s="6">
        <v>177.47638525378301</v>
      </c>
      <c r="E1184" s="6">
        <v>247.835358534645</v>
      </c>
      <c r="F1184" s="6">
        <v>203.87963330605001</v>
      </c>
      <c r="G1184" s="6">
        <v>203.87963330605001</v>
      </c>
      <c r="H1184" s="6">
        <v>9.7792194653991906</v>
      </c>
      <c r="I1184" s="6">
        <v>9.7792194653991906</v>
      </c>
      <c r="J1184" s="6">
        <v>9.7792194653991906</v>
      </c>
      <c r="K1184" s="6">
        <v>0.845224031068185</v>
      </c>
      <c r="L1184" s="6">
        <v>0.845224031068185</v>
      </c>
      <c r="M1184" s="6">
        <v>0.845224031068185</v>
      </c>
      <c r="N1184" s="6">
        <v>8.9339954343310097</v>
      </c>
      <c r="O1184" s="6">
        <v>8.9339954343310097</v>
      </c>
      <c r="P1184" s="6">
        <v>8.9339954343310097</v>
      </c>
      <c r="Q1184" s="6">
        <v>0</v>
      </c>
      <c r="R1184" s="6">
        <v>0</v>
      </c>
      <c r="S1184" s="6">
        <v>0</v>
      </c>
      <c r="T1184" s="6">
        <v>213.65885277144901</v>
      </c>
    </row>
    <row r="1185" spans="1:20" ht="13" x14ac:dyDescent="0.15">
      <c r="A1185" s="6">
        <v>1183</v>
      </c>
      <c r="B1185" s="7">
        <v>44874</v>
      </c>
      <c r="C1185" s="6">
        <v>203.42349097680301</v>
      </c>
      <c r="D1185" s="6">
        <v>182.08734474615099</v>
      </c>
      <c r="E1185" s="6">
        <v>242.75860602949101</v>
      </c>
      <c r="F1185" s="6">
        <v>203.42349097680301</v>
      </c>
      <c r="G1185" s="6">
        <v>203.42349097680301</v>
      </c>
      <c r="H1185" s="6">
        <v>9.4624666411053298</v>
      </c>
      <c r="I1185" s="6">
        <v>9.4624666411053298</v>
      </c>
      <c r="J1185" s="6">
        <v>9.4624666411053298</v>
      </c>
      <c r="K1185" s="6">
        <v>0.94874688043767597</v>
      </c>
      <c r="L1185" s="6">
        <v>0.94874688043767597</v>
      </c>
      <c r="M1185" s="6">
        <v>0.94874688043767597</v>
      </c>
      <c r="N1185" s="6">
        <v>8.5137197606676498</v>
      </c>
      <c r="O1185" s="6">
        <v>8.5137197606676498</v>
      </c>
      <c r="P1185" s="6">
        <v>8.5137197606676498</v>
      </c>
      <c r="Q1185" s="6">
        <v>0</v>
      </c>
      <c r="R1185" s="6">
        <v>0</v>
      </c>
      <c r="S1185" s="6">
        <v>0</v>
      </c>
      <c r="T1185" s="6">
        <v>212.88595761790799</v>
      </c>
    </row>
    <row r="1186" spans="1:20" ht="13" x14ac:dyDescent="0.15">
      <c r="A1186" s="6">
        <v>1184</v>
      </c>
      <c r="B1186" s="7">
        <v>44875</v>
      </c>
      <c r="C1186" s="6">
        <v>202.96734864755601</v>
      </c>
      <c r="D1186" s="6">
        <v>180.04392864907399</v>
      </c>
      <c r="E1186" s="6">
        <v>243.17772100011501</v>
      </c>
      <c r="F1186" s="6">
        <v>202.96734864755601</v>
      </c>
      <c r="G1186" s="6">
        <v>202.96734864755601</v>
      </c>
      <c r="H1186" s="6">
        <v>8.6027666644169294</v>
      </c>
      <c r="I1186" s="6">
        <v>8.6027666644169294</v>
      </c>
      <c r="J1186" s="6">
        <v>8.6027666644169294</v>
      </c>
      <c r="K1186" s="6">
        <v>0.49015521355860497</v>
      </c>
      <c r="L1186" s="6">
        <v>0.49015521355860497</v>
      </c>
      <c r="M1186" s="6">
        <v>0.49015521355860497</v>
      </c>
      <c r="N1186" s="6">
        <v>8.1126114508583296</v>
      </c>
      <c r="O1186" s="6">
        <v>8.1126114508583296</v>
      </c>
      <c r="P1186" s="6">
        <v>8.1126114508583296</v>
      </c>
      <c r="Q1186" s="6">
        <v>0</v>
      </c>
      <c r="R1186" s="6">
        <v>0</v>
      </c>
      <c r="S1186" s="6">
        <v>0</v>
      </c>
      <c r="T1186" s="6">
        <v>211.57011531197301</v>
      </c>
    </row>
    <row r="1187" spans="1:20" ht="13" x14ac:dyDescent="0.15">
      <c r="A1187" s="6">
        <v>1185</v>
      </c>
      <c r="B1187" s="7">
        <v>44876</v>
      </c>
      <c r="C1187" s="6">
        <v>202.51120631831</v>
      </c>
      <c r="D1187" s="6">
        <v>178.46230930518601</v>
      </c>
      <c r="E1187" s="6">
        <v>242.90936025149699</v>
      </c>
      <c r="F1187" s="6">
        <v>202.51120631831</v>
      </c>
      <c r="G1187" s="6">
        <v>202.51120631831</v>
      </c>
      <c r="H1187" s="6">
        <v>7.7256272867473497</v>
      </c>
      <c r="I1187" s="6">
        <v>7.7256272867473497</v>
      </c>
      <c r="J1187" s="6">
        <v>7.7256272867473497</v>
      </c>
      <c r="K1187" s="6">
        <v>-2.2976765067355399E-2</v>
      </c>
      <c r="L1187" s="6">
        <v>-2.2976765067355399E-2</v>
      </c>
      <c r="M1187" s="6">
        <v>-2.2976765067355399E-2</v>
      </c>
      <c r="N1187" s="6">
        <v>7.7486040518147004</v>
      </c>
      <c r="O1187" s="6">
        <v>7.7486040518147004</v>
      </c>
      <c r="P1187" s="6">
        <v>7.7486040518147004</v>
      </c>
      <c r="Q1187" s="6">
        <v>0</v>
      </c>
      <c r="R1187" s="6">
        <v>0</v>
      </c>
      <c r="S1187" s="6">
        <v>0</v>
      </c>
      <c r="T1187" s="6">
        <v>210.236833605057</v>
      </c>
    </row>
    <row r="1188" spans="1:20" ht="13" x14ac:dyDescent="0.15">
      <c r="A1188" s="6">
        <v>1186</v>
      </c>
      <c r="B1188" s="7">
        <v>44879</v>
      </c>
      <c r="C1188" s="6">
        <v>201.14277933056999</v>
      </c>
      <c r="D1188" s="6">
        <v>177.277206058757</v>
      </c>
      <c r="E1188" s="6">
        <v>241.318429128736</v>
      </c>
      <c r="F1188" s="6">
        <v>201.14277933056999</v>
      </c>
      <c r="G1188" s="6">
        <v>201.14277933056999</v>
      </c>
      <c r="H1188" s="6">
        <v>8.8498944914313196</v>
      </c>
      <c r="I1188" s="6">
        <v>8.8498944914313196</v>
      </c>
      <c r="J1188" s="6">
        <v>8.8498944914313196</v>
      </c>
      <c r="K1188" s="6">
        <v>1.8228906089361401</v>
      </c>
      <c r="L1188" s="6">
        <v>1.8228906089361401</v>
      </c>
      <c r="M1188" s="6">
        <v>1.8228906089361401</v>
      </c>
      <c r="N1188" s="6">
        <v>7.0270038824951699</v>
      </c>
      <c r="O1188" s="6">
        <v>7.0270038824951699</v>
      </c>
      <c r="P1188" s="6">
        <v>7.0270038824951699</v>
      </c>
      <c r="Q1188" s="6">
        <v>0</v>
      </c>
      <c r="R1188" s="6">
        <v>0</v>
      </c>
      <c r="S1188" s="6">
        <v>0</v>
      </c>
      <c r="T1188" s="6">
        <v>209.992673822001</v>
      </c>
    </row>
    <row r="1189" spans="1:20" ht="13" x14ac:dyDescent="0.15">
      <c r="A1189" s="6">
        <v>1187</v>
      </c>
      <c r="B1189" s="7">
        <v>44880</v>
      </c>
      <c r="C1189" s="6">
        <v>200.68663700132299</v>
      </c>
      <c r="D1189" s="6">
        <v>176.150955846378</v>
      </c>
      <c r="E1189" s="6">
        <v>239.33157879295501</v>
      </c>
      <c r="F1189" s="6">
        <v>200.68663700132299</v>
      </c>
      <c r="G1189" s="6">
        <v>200.68663700132299</v>
      </c>
      <c r="H1189" s="6">
        <v>7.7909306806706304</v>
      </c>
      <c r="I1189" s="6">
        <v>7.7909306806706304</v>
      </c>
      <c r="J1189" s="6">
        <v>7.7909306806706304</v>
      </c>
      <c r="K1189" s="6">
        <v>0.84522403106835198</v>
      </c>
      <c r="L1189" s="6">
        <v>0.84522403106835198</v>
      </c>
      <c r="M1189" s="6">
        <v>0.84522403106835198</v>
      </c>
      <c r="N1189" s="6">
        <v>6.9457066496022799</v>
      </c>
      <c r="O1189" s="6">
        <v>6.9457066496022799</v>
      </c>
      <c r="P1189" s="6">
        <v>6.9457066496022799</v>
      </c>
      <c r="Q1189" s="6">
        <v>0</v>
      </c>
      <c r="R1189" s="6">
        <v>0</v>
      </c>
      <c r="S1189" s="6">
        <v>0</v>
      </c>
      <c r="T1189" s="6">
        <v>208.477567681994</v>
      </c>
    </row>
    <row r="1190" spans="1:20" ht="13" x14ac:dyDescent="0.15">
      <c r="A1190" s="6">
        <v>1188</v>
      </c>
      <c r="B1190" s="7">
        <v>44881</v>
      </c>
      <c r="C1190" s="6">
        <v>200.23049467207599</v>
      </c>
      <c r="D1190" s="6">
        <v>177.48954486005599</v>
      </c>
      <c r="E1190" s="6">
        <v>239.268526232114</v>
      </c>
      <c r="F1190" s="6">
        <v>200.23049467207599</v>
      </c>
      <c r="G1190" s="6">
        <v>200.23049467207599</v>
      </c>
      <c r="H1190" s="6">
        <v>7.90279465799318</v>
      </c>
      <c r="I1190" s="6">
        <v>7.90279465799318</v>
      </c>
      <c r="J1190" s="6">
        <v>7.90279465799318</v>
      </c>
      <c r="K1190" s="6">
        <v>0.94874688043684596</v>
      </c>
      <c r="L1190" s="6">
        <v>0.94874688043684596</v>
      </c>
      <c r="M1190" s="6">
        <v>0.94874688043684596</v>
      </c>
      <c r="N1190" s="6">
        <v>6.9540477775563296</v>
      </c>
      <c r="O1190" s="6">
        <v>6.9540477775563296</v>
      </c>
      <c r="P1190" s="6">
        <v>6.9540477775563296</v>
      </c>
      <c r="Q1190" s="6">
        <v>0</v>
      </c>
      <c r="R1190" s="6">
        <v>0</v>
      </c>
      <c r="S1190" s="6">
        <v>0</v>
      </c>
      <c r="T1190" s="6">
        <v>208.13328933007</v>
      </c>
    </row>
    <row r="1191" spans="1:20" ht="13" x14ac:dyDescent="0.15">
      <c r="A1191" s="6">
        <v>1189</v>
      </c>
      <c r="B1191" s="7">
        <v>44882</v>
      </c>
      <c r="C1191" s="6">
        <v>199.77435234283001</v>
      </c>
      <c r="D1191" s="6">
        <v>173.332792833393</v>
      </c>
      <c r="E1191" s="6">
        <v>237.25830480504899</v>
      </c>
      <c r="F1191" s="6">
        <v>199.77435234283001</v>
      </c>
      <c r="G1191" s="6">
        <v>199.77435234283001</v>
      </c>
      <c r="H1191" s="6">
        <v>7.54308504203712</v>
      </c>
      <c r="I1191" s="6">
        <v>7.54308504203712</v>
      </c>
      <c r="J1191" s="6">
        <v>7.54308504203712</v>
      </c>
      <c r="K1191" s="6">
        <v>0.49015521355576702</v>
      </c>
      <c r="L1191" s="6">
        <v>0.49015521355576702</v>
      </c>
      <c r="M1191" s="6">
        <v>0.49015521355576702</v>
      </c>
      <c r="N1191" s="6">
        <v>7.05292982848135</v>
      </c>
      <c r="O1191" s="6">
        <v>7.05292982848135</v>
      </c>
      <c r="P1191" s="6">
        <v>7.05292982848135</v>
      </c>
      <c r="Q1191" s="6">
        <v>0</v>
      </c>
      <c r="R1191" s="6">
        <v>0</v>
      </c>
      <c r="S1191" s="6">
        <v>0</v>
      </c>
      <c r="T1191" s="6">
        <v>207.31743738486699</v>
      </c>
    </row>
    <row r="1192" spans="1:20" ht="13" x14ac:dyDescent="0.15">
      <c r="A1192" s="6">
        <v>1190</v>
      </c>
      <c r="B1192" s="7">
        <v>44883</v>
      </c>
      <c r="C1192" s="6">
        <v>199.31821001358301</v>
      </c>
      <c r="D1192" s="6">
        <v>173.57638512674899</v>
      </c>
      <c r="E1192" s="6">
        <v>237.48241349027199</v>
      </c>
      <c r="F1192" s="6">
        <v>199.31821001358301</v>
      </c>
      <c r="G1192" s="6">
        <v>199.31821001358301</v>
      </c>
      <c r="H1192" s="6">
        <v>7.2168036499895196</v>
      </c>
      <c r="I1192" s="6">
        <v>7.2168036499895196</v>
      </c>
      <c r="J1192" s="6">
        <v>7.2168036499895196</v>
      </c>
      <c r="K1192" s="6">
        <v>-2.2976765065854901E-2</v>
      </c>
      <c r="L1192" s="6">
        <v>-2.2976765065854901E-2</v>
      </c>
      <c r="M1192" s="6">
        <v>-2.2976765065854901E-2</v>
      </c>
      <c r="N1192" s="6">
        <v>7.2397804150553702</v>
      </c>
      <c r="O1192" s="6">
        <v>7.2397804150553702</v>
      </c>
      <c r="P1192" s="6">
        <v>7.2397804150553702</v>
      </c>
      <c r="Q1192" s="6">
        <v>0</v>
      </c>
      <c r="R1192" s="6">
        <v>0</v>
      </c>
      <c r="S1192" s="6">
        <v>0</v>
      </c>
      <c r="T1192" s="6">
        <v>206.53501366357301</v>
      </c>
    </row>
    <row r="1193" spans="1:20" ht="13" x14ac:dyDescent="0.15">
      <c r="A1193" s="6">
        <v>1191</v>
      </c>
      <c r="B1193" s="7">
        <v>44886</v>
      </c>
      <c r="C1193" s="6">
        <v>197.949783025843</v>
      </c>
      <c r="D1193" s="6">
        <v>175.64397842124899</v>
      </c>
      <c r="E1193" s="6">
        <v>241.61793893147501</v>
      </c>
      <c r="F1193" s="6">
        <v>197.949783025843</v>
      </c>
      <c r="G1193" s="6">
        <v>197.949783025843</v>
      </c>
      <c r="H1193" s="6">
        <v>10.0758418760658</v>
      </c>
      <c r="I1193" s="6">
        <v>10.0758418760658</v>
      </c>
      <c r="J1193" s="6">
        <v>10.0758418760658</v>
      </c>
      <c r="K1193" s="6">
        <v>1.82289060893786</v>
      </c>
      <c r="L1193" s="6">
        <v>1.82289060893786</v>
      </c>
      <c r="M1193" s="6">
        <v>1.82289060893786</v>
      </c>
      <c r="N1193" s="6">
        <v>8.2529512671279406</v>
      </c>
      <c r="O1193" s="6">
        <v>8.2529512671279406</v>
      </c>
      <c r="P1193" s="6">
        <v>8.2529512671279406</v>
      </c>
      <c r="Q1193" s="6">
        <v>0</v>
      </c>
      <c r="R1193" s="6">
        <v>0</v>
      </c>
      <c r="S1193" s="6">
        <v>0</v>
      </c>
      <c r="T1193" s="6">
        <v>208.025624901909</v>
      </c>
    </row>
    <row r="1194" spans="1:20" ht="13" x14ac:dyDescent="0.15">
      <c r="A1194" s="6">
        <v>1192</v>
      </c>
      <c r="B1194" s="7">
        <v>44887</v>
      </c>
      <c r="C1194" s="6">
        <v>197.493640696596</v>
      </c>
      <c r="D1194" s="6">
        <v>174.50986860495601</v>
      </c>
      <c r="E1194" s="6">
        <v>237.75198215969499</v>
      </c>
      <c r="F1194" s="6">
        <v>197.493640696596</v>
      </c>
      <c r="G1194" s="6">
        <v>197.493640696596</v>
      </c>
      <c r="H1194" s="6">
        <v>9.5470335221051297</v>
      </c>
      <c r="I1194" s="6">
        <v>9.5470335221051297</v>
      </c>
      <c r="J1194" s="6">
        <v>9.5470335221051297</v>
      </c>
      <c r="K1194" s="6">
        <v>0.84522403106689503</v>
      </c>
      <c r="L1194" s="6">
        <v>0.84522403106689503</v>
      </c>
      <c r="M1194" s="6">
        <v>0.84522403106689503</v>
      </c>
      <c r="N1194" s="6">
        <v>8.7018094910382295</v>
      </c>
      <c r="O1194" s="6">
        <v>8.7018094910382295</v>
      </c>
      <c r="P1194" s="6">
        <v>8.7018094910382295</v>
      </c>
      <c r="Q1194" s="6">
        <v>0</v>
      </c>
      <c r="R1194" s="6">
        <v>0</v>
      </c>
      <c r="S1194" s="6">
        <v>0</v>
      </c>
      <c r="T1194" s="6">
        <v>207.04067421870101</v>
      </c>
    </row>
    <row r="1195" spans="1:20" ht="13" x14ac:dyDescent="0.15">
      <c r="A1195" s="6">
        <v>1193</v>
      </c>
      <c r="B1195" s="7">
        <v>44888</v>
      </c>
      <c r="C1195" s="6">
        <v>197.03749836735</v>
      </c>
      <c r="D1195" s="6">
        <v>174.95890752350999</v>
      </c>
      <c r="E1195" s="6">
        <v>239.01699462058099</v>
      </c>
      <c r="F1195" s="6">
        <v>197.03749836735</v>
      </c>
      <c r="G1195" s="6">
        <v>197.03749836735</v>
      </c>
      <c r="H1195" s="6">
        <v>10.1290999863661</v>
      </c>
      <c r="I1195" s="6">
        <v>10.1290999863661</v>
      </c>
      <c r="J1195" s="6">
        <v>10.1290999863661</v>
      </c>
      <c r="K1195" s="6">
        <v>0.94874688043722899</v>
      </c>
      <c r="L1195" s="6">
        <v>0.94874688043722899</v>
      </c>
      <c r="M1195" s="6">
        <v>0.94874688043722899</v>
      </c>
      <c r="N1195" s="6">
        <v>9.18035310592896</v>
      </c>
      <c r="O1195" s="6">
        <v>9.18035310592896</v>
      </c>
      <c r="P1195" s="6">
        <v>9.18035310592896</v>
      </c>
      <c r="Q1195" s="6">
        <v>0</v>
      </c>
      <c r="R1195" s="6">
        <v>0</v>
      </c>
      <c r="S1195" s="6">
        <v>0</v>
      </c>
      <c r="T1195" s="6">
        <v>207.16659835371601</v>
      </c>
    </row>
    <row r="1196" spans="1:20" ht="13" x14ac:dyDescent="0.15">
      <c r="A1196" s="6">
        <v>1194</v>
      </c>
      <c r="B1196" s="7">
        <v>44890</v>
      </c>
      <c r="C1196" s="6">
        <v>196.12521370885599</v>
      </c>
      <c r="D1196" s="6">
        <v>173.345434831234</v>
      </c>
      <c r="E1196" s="6">
        <v>239.88243724301299</v>
      </c>
      <c r="F1196" s="6">
        <v>196.12521370885599</v>
      </c>
      <c r="G1196" s="6">
        <v>196.12521370885599</v>
      </c>
      <c r="H1196" s="6">
        <v>10.130030786549201</v>
      </c>
      <c r="I1196" s="6">
        <v>10.130030786549201</v>
      </c>
      <c r="J1196" s="6">
        <v>10.130030786549201</v>
      </c>
      <c r="K1196" s="6">
        <v>-2.2976765063908701E-2</v>
      </c>
      <c r="L1196" s="6">
        <v>-2.2976765063908701E-2</v>
      </c>
      <c r="M1196" s="6">
        <v>-2.2976765063908701E-2</v>
      </c>
      <c r="N1196" s="6">
        <v>10.153007551613101</v>
      </c>
      <c r="O1196" s="6">
        <v>10.153007551613101</v>
      </c>
      <c r="P1196" s="6">
        <v>10.153007551613101</v>
      </c>
      <c r="Q1196" s="6">
        <v>0</v>
      </c>
      <c r="R1196" s="6">
        <v>0</v>
      </c>
      <c r="S1196" s="6">
        <v>0</v>
      </c>
      <c r="T1196" s="6">
        <v>206.255244495406</v>
      </c>
    </row>
    <row r="1197" spans="1:20" ht="13" x14ac:dyDescent="0.15">
      <c r="A1197" s="6">
        <v>1195</v>
      </c>
      <c r="B1197" s="7">
        <v>44893</v>
      </c>
      <c r="C1197" s="6">
        <v>194.75678672111599</v>
      </c>
      <c r="D1197" s="6">
        <v>174.09030052239899</v>
      </c>
      <c r="E1197" s="6">
        <v>238.700744169247</v>
      </c>
      <c r="F1197" s="6">
        <v>194.75678672111599</v>
      </c>
      <c r="G1197" s="6">
        <v>194.75678672111599</v>
      </c>
      <c r="H1197" s="6">
        <v>13.1857519518258</v>
      </c>
      <c r="I1197" s="6">
        <v>13.1857519518258</v>
      </c>
      <c r="J1197" s="6">
        <v>13.1857519518258</v>
      </c>
      <c r="K1197" s="6">
        <v>1.8228906089316499</v>
      </c>
      <c r="L1197" s="6">
        <v>1.8228906089316499</v>
      </c>
      <c r="M1197" s="6">
        <v>1.8228906089316499</v>
      </c>
      <c r="N1197" s="6">
        <v>11.362861342894201</v>
      </c>
      <c r="O1197" s="6">
        <v>11.362861342894201</v>
      </c>
      <c r="P1197" s="6">
        <v>11.362861342894201</v>
      </c>
      <c r="Q1197" s="6">
        <v>0</v>
      </c>
      <c r="R1197" s="6">
        <v>0</v>
      </c>
      <c r="S1197" s="6">
        <v>0</v>
      </c>
      <c r="T1197" s="6">
        <v>207.94253867294199</v>
      </c>
    </row>
    <row r="1198" spans="1:20" ht="13" x14ac:dyDescent="0.15">
      <c r="A1198" s="6">
        <v>1196</v>
      </c>
      <c r="B1198" s="7">
        <v>44894</v>
      </c>
      <c r="C1198" s="6">
        <v>194.30064439187001</v>
      </c>
      <c r="D1198" s="6">
        <v>175.75512837634901</v>
      </c>
      <c r="E1198" s="6">
        <v>238.51756224931199</v>
      </c>
      <c r="F1198" s="6">
        <v>194.30064439187001</v>
      </c>
      <c r="G1198" s="6">
        <v>194.30064439187001</v>
      </c>
      <c r="H1198" s="6">
        <v>12.471617889032901</v>
      </c>
      <c r="I1198" s="6">
        <v>12.471617889032901</v>
      </c>
      <c r="J1198" s="6">
        <v>12.471617889032901</v>
      </c>
      <c r="K1198" s="6">
        <v>0.84522403106624999</v>
      </c>
      <c r="L1198" s="6">
        <v>0.84522403106624999</v>
      </c>
      <c r="M1198" s="6">
        <v>0.84522403106624999</v>
      </c>
      <c r="N1198" s="6">
        <v>11.626393857966599</v>
      </c>
      <c r="O1198" s="6">
        <v>11.626393857966599</v>
      </c>
      <c r="P1198" s="6">
        <v>11.626393857966599</v>
      </c>
      <c r="Q1198" s="6">
        <v>0</v>
      </c>
      <c r="R1198" s="6">
        <v>0</v>
      </c>
      <c r="S1198" s="6">
        <v>0</v>
      </c>
      <c r="T1198" s="6">
        <v>206.77226228090299</v>
      </c>
    </row>
    <row r="1199" spans="1:20" ht="13" x14ac:dyDescent="0.15">
      <c r="A1199" s="6">
        <v>1197</v>
      </c>
      <c r="B1199" s="7">
        <v>44895</v>
      </c>
      <c r="C1199" s="6">
        <v>193.84450206262301</v>
      </c>
      <c r="D1199" s="6">
        <v>172.92138413307001</v>
      </c>
      <c r="E1199" s="6">
        <v>237.33817234982499</v>
      </c>
      <c r="F1199" s="6">
        <v>193.84450206262301</v>
      </c>
      <c r="G1199" s="6">
        <v>193.84450206262301</v>
      </c>
      <c r="H1199" s="6">
        <v>12.7424585978225</v>
      </c>
      <c r="I1199" s="6">
        <v>12.7424585978225</v>
      </c>
      <c r="J1199" s="6">
        <v>12.7424585978225</v>
      </c>
      <c r="K1199" s="6">
        <v>0.94874688043907895</v>
      </c>
      <c r="L1199" s="6">
        <v>0.94874688043907895</v>
      </c>
      <c r="M1199" s="6">
        <v>0.94874688043907895</v>
      </c>
      <c r="N1199" s="6">
        <v>11.793711717383401</v>
      </c>
      <c r="O1199" s="6">
        <v>11.793711717383401</v>
      </c>
      <c r="P1199" s="6">
        <v>11.793711717383401</v>
      </c>
      <c r="Q1199" s="6">
        <v>0</v>
      </c>
      <c r="R1199" s="6">
        <v>0</v>
      </c>
      <c r="S1199" s="6">
        <v>0</v>
      </c>
      <c r="T1199" s="6">
        <v>206.58696066044499</v>
      </c>
    </row>
    <row r="1200" spans="1:20" ht="13" x14ac:dyDescent="0.15">
      <c r="A1200" s="6">
        <v>1198</v>
      </c>
      <c r="B1200" s="7">
        <v>44896</v>
      </c>
      <c r="C1200" s="6">
        <v>193.38835973337601</v>
      </c>
      <c r="D1200" s="6">
        <v>174.599742808006</v>
      </c>
      <c r="E1200" s="6">
        <v>236.350903329278</v>
      </c>
      <c r="F1200" s="6">
        <v>193.38835973337601</v>
      </c>
      <c r="G1200" s="6">
        <v>193.38835973337601</v>
      </c>
      <c r="H1200" s="6">
        <v>12.342614598523699</v>
      </c>
      <c r="I1200" s="6">
        <v>12.342614598523699</v>
      </c>
      <c r="J1200" s="6">
        <v>12.342614598523699</v>
      </c>
      <c r="K1200" s="6">
        <v>0.49015521355410802</v>
      </c>
      <c r="L1200" s="6">
        <v>0.49015521355410802</v>
      </c>
      <c r="M1200" s="6">
        <v>0.49015521355410802</v>
      </c>
      <c r="N1200" s="6">
        <v>11.852459384969601</v>
      </c>
      <c r="O1200" s="6">
        <v>11.852459384969601</v>
      </c>
      <c r="P1200" s="6">
        <v>11.852459384969601</v>
      </c>
      <c r="Q1200" s="6">
        <v>0</v>
      </c>
      <c r="R1200" s="6">
        <v>0</v>
      </c>
      <c r="S1200" s="6">
        <v>0</v>
      </c>
      <c r="T1200" s="6">
        <v>205.7309743319</v>
      </c>
    </row>
    <row r="1201" spans="1:20" ht="13" x14ac:dyDescent="0.15">
      <c r="A1201" s="6">
        <v>1199</v>
      </c>
      <c r="B1201" s="7">
        <v>44897</v>
      </c>
      <c r="C1201" s="6">
        <v>192.93221740413</v>
      </c>
      <c r="D1201" s="6">
        <v>174.03129257102501</v>
      </c>
      <c r="E1201" s="6">
        <v>236.27562682609101</v>
      </c>
      <c r="F1201" s="6">
        <v>192.93221740413</v>
      </c>
      <c r="G1201" s="6">
        <v>192.93221740413</v>
      </c>
      <c r="H1201" s="6">
        <v>11.7702241604304</v>
      </c>
      <c r="I1201" s="6">
        <v>11.7702241604304</v>
      </c>
      <c r="J1201" s="6">
        <v>11.7702241604304</v>
      </c>
      <c r="K1201" s="6">
        <v>-2.29767650665209E-2</v>
      </c>
      <c r="L1201" s="6">
        <v>-2.29767650665209E-2</v>
      </c>
      <c r="M1201" s="6">
        <v>-2.29767650665209E-2</v>
      </c>
      <c r="N1201" s="6">
        <v>11.793200925496899</v>
      </c>
      <c r="O1201" s="6">
        <v>11.793200925496899</v>
      </c>
      <c r="P1201" s="6">
        <v>11.793200925496899</v>
      </c>
      <c r="Q1201" s="6">
        <v>0</v>
      </c>
      <c r="R1201" s="6">
        <v>0</v>
      </c>
      <c r="S1201" s="6">
        <v>0</v>
      </c>
      <c r="T1201" s="6">
        <v>204.70244156455999</v>
      </c>
    </row>
    <row r="1202" spans="1:20" ht="13" x14ac:dyDescent="0.15">
      <c r="A1202" s="6">
        <v>1200</v>
      </c>
      <c r="B1202" s="7">
        <v>44900</v>
      </c>
      <c r="C1202" s="6">
        <v>191.56379041638999</v>
      </c>
      <c r="D1202" s="6">
        <v>170.445949109298</v>
      </c>
      <c r="E1202" s="6">
        <v>236.58552042952701</v>
      </c>
      <c r="F1202" s="6">
        <v>191.56379041638999</v>
      </c>
      <c r="G1202" s="6">
        <v>191.56379041638999</v>
      </c>
      <c r="H1202" s="6">
        <v>12.686122899434499</v>
      </c>
      <c r="I1202" s="6">
        <v>12.686122899434499</v>
      </c>
      <c r="J1202" s="6">
        <v>12.686122899434499</v>
      </c>
      <c r="K1202" s="6">
        <v>1.8228906089333601</v>
      </c>
      <c r="L1202" s="6">
        <v>1.8228906089333601</v>
      </c>
      <c r="M1202" s="6">
        <v>1.8228906089333601</v>
      </c>
      <c r="N1202" s="6">
        <v>10.8632322905012</v>
      </c>
      <c r="O1202" s="6">
        <v>10.8632322905012</v>
      </c>
      <c r="P1202" s="6">
        <v>10.8632322905012</v>
      </c>
      <c r="Q1202" s="6">
        <v>0</v>
      </c>
      <c r="R1202" s="6">
        <v>0</v>
      </c>
      <c r="S1202" s="6">
        <v>0</v>
      </c>
      <c r="T1202" s="6">
        <v>204.24991331582399</v>
      </c>
    </row>
    <row r="1203" spans="1:20" ht="13" x14ac:dyDescent="0.15">
      <c r="A1203" s="6">
        <v>1201</v>
      </c>
      <c r="B1203" s="7">
        <v>44901</v>
      </c>
      <c r="C1203" s="6">
        <v>191.10764808714299</v>
      </c>
      <c r="D1203" s="6">
        <v>171.75896481286301</v>
      </c>
      <c r="E1203" s="6">
        <v>232.618085914679</v>
      </c>
      <c r="F1203" s="6">
        <v>191.10764808714299</v>
      </c>
      <c r="G1203" s="6">
        <v>191.10764808714299</v>
      </c>
      <c r="H1203" s="6">
        <v>11.1509734065903</v>
      </c>
      <c r="I1203" s="6">
        <v>11.1509734065903</v>
      </c>
      <c r="J1203" s="6">
        <v>11.1509734065903</v>
      </c>
      <c r="K1203" s="6">
        <v>0.84522403106479205</v>
      </c>
      <c r="L1203" s="6">
        <v>0.84522403106479205</v>
      </c>
      <c r="M1203" s="6">
        <v>0.84522403106479205</v>
      </c>
      <c r="N1203" s="6">
        <v>10.305749375525499</v>
      </c>
      <c r="O1203" s="6">
        <v>10.305749375525499</v>
      </c>
      <c r="P1203" s="6">
        <v>10.305749375525499</v>
      </c>
      <c r="Q1203" s="6">
        <v>0</v>
      </c>
      <c r="R1203" s="6">
        <v>0</v>
      </c>
      <c r="S1203" s="6">
        <v>0</v>
      </c>
      <c r="T1203" s="6">
        <v>202.25862149373299</v>
      </c>
    </row>
    <row r="1204" spans="1:20" ht="13" x14ac:dyDescent="0.15">
      <c r="A1204" s="6">
        <v>1202</v>
      </c>
      <c r="B1204" s="7">
        <v>44902</v>
      </c>
      <c r="C1204" s="6">
        <v>190.65150575789599</v>
      </c>
      <c r="D1204" s="6">
        <v>169.85630527285599</v>
      </c>
      <c r="E1204" s="6">
        <v>234.78891348787599</v>
      </c>
      <c r="F1204" s="6">
        <v>190.65150575789599</v>
      </c>
      <c r="G1204" s="6">
        <v>190.65150575789599</v>
      </c>
      <c r="H1204" s="6">
        <v>10.5839865701482</v>
      </c>
      <c r="I1204" s="6">
        <v>10.5839865701482</v>
      </c>
      <c r="J1204" s="6">
        <v>10.5839865701482</v>
      </c>
      <c r="K1204" s="6">
        <v>0.94874688043556898</v>
      </c>
      <c r="L1204" s="6">
        <v>0.94874688043556898</v>
      </c>
      <c r="M1204" s="6">
        <v>0.94874688043556898</v>
      </c>
      <c r="N1204" s="6">
        <v>9.6352396897126695</v>
      </c>
      <c r="O1204" s="6">
        <v>9.6352396897126695</v>
      </c>
      <c r="P1204" s="6">
        <v>9.6352396897126695</v>
      </c>
      <c r="Q1204" s="6">
        <v>0</v>
      </c>
      <c r="R1204" s="6">
        <v>0</v>
      </c>
      <c r="S1204" s="6">
        <v>0</v>
      </c>
      <c r="T1204" s="6">
        <v>201.23549232804399</v>
      </c>
    </row>
    <row r="1205" spans="1:20" ht="13" x14ac:dyDescent="0.15">
      <c r="A1205" s="6">
        <v>1203</v>
      </c>
      <c r="B1205" s="7">
        <v>44903</v>
      </c>
      <c r="C1205" s="6">
        <v>190.19536342864899</v>
      </c>
      <c r="D1205" s="6">
        <v>168.20444953517699</v>
      </c>
      <c r="E1205" s="6">
        <v>229.40088238569399</v>
      </c>
      <c r="F1205" s="6">
        <v>190.19536342864899</v>
      </c>
      <c r="G1205" s="6">
        <v>190.19536342864899</v>
      </c>
      <c r="H1205" s="6">
        <v>9.3535266010357105</v>
      </c>
      <c r="I1205" s="6">
        <v>9.3535266010357105</v>
      </c>
      <c r="J1205" s="6">
        <v>9.3535266010357105</v>
      </c>
      <c r="K1205" s="6">
        <v>0.49015521355528702</v>
      </c>
      <c r="L1205" s="6">
        <v>0.49015521355528702</v>
      </c>
      <c r="M1205" s="6">
        <v>0.49015521355528702</v>
      </c>
      <c r="N1205" s="6">
        <v>8.8633713874804307</v>
      </c>
      <c r="O1205" s="6">
        <v>8.8633713874804307</v>
      </c>
      <c r="P1205" s="6">
        <v>8.8633713874804307</v>
      </c>
      <c r="Q1205" s="6">
        <v>0</v>
      </c>
      <c r="R1205" s="6">
        <v>0</v>
      </c>
      <c r="S1205" s="6">
        <v>0</v>
      </c>
      <c r="T1205" s="6">
        <v>199.548890029685</v>
      </c>
    </row>
    <row r="1206" spans="1:20" ht="13" x14ac:dyDescent="0.15">
      <c r="A1206" s="6">
        <v>1204</v>
      </c>
      <c r="B1206" s="7">
        <v>44904</v>
      </c>
      <c r="C1206" s="6">
        <v>189.73922109940301</v>
      </c>
      <c r="D1206" s="6">
        <v>167.11296196007601</v>
      </c>
      <c r="E1206" s="6">
        <v>228.36421478864</v>
      </c>
      <c r="F1206" s="6">
        <v>189.73922109940301</v>
      </c>
      <c r="G1206" s="6">
        <v>189.73922109940301</v>
      </c>
      <c r="H1206" s="6">
        <v>7.9819842247857498</v>
      </c>
      <c r="I1206" s="6">
        <v>7.9819842247857498</v>
      </c>
      <c r="J1206" s="6">
        <v>7.9819842247857498</v>
      </c>
      <c r="K1206" s="6">
        <v>-2.2976765060461798E-2</v>
      </c>
      <c r="L1206" s="6">
        <v>-2.2976765060461798E-2</v>
      </c>
      <c r="M1206" s="6">
        <v>-2.2976765060461798E-2</v>
      </c>
      <c r="N1206" s="6">
        <v>8.0049609898462109</v>
      </c>
      <c r="O1206" s="6">
        <v>8.0049609898462109</v>
      </c>
      <c r="P1206" s="6">
        <v>8.0049609898462109</v>
      </c>
      <c r="Q1206" s="6">
        <v>0</v>
      </c>
      <c r="R1206" s="6">
        <v>0</v>
      </c>
      <c r="S1206" s="6">
        <v>0</v>
      </c>
      <c r="T1206" s="6">
        <v>197.72120532418899</v>
      </c>
    </row>
    <row r="1207" spans="1:20" ht="13" x14ac:dyDescent="0.15">
      <c r="A1207" s="6">
        <v>1205</v>
      </c>
      <c r="B1207" s="7">
        <v>44907</v>
      </c>
      <c r="C1207" s="6">
        <v>188.370794111663</v>
      </c>
      <c r="D1207" s="6">
        <v>162.05545376460699</v>
      </c>
      <c r="E1207" s="6">
        <v>228.92780584286601</v>
      </c>
      <c r="F1207" s="6">
        <v>188.370794111663</v>
      </c>
      <c r="G1207" s="6">
        <v>188.370794111663</v>
      </c>
      <c r="H1207" s="6">
        <v>6.9203883843670404</v>
      </c>
      <c r="I1207" s="6">
        <v>6.9203883843670404</v>
      </c>
      <c r="J1207" s="6">
        <v>6.9203883843670404</v>
      </c>
      <c r="K1207" s="6">
        <v>1.8228906089338599</v>
      </c>
      <c r="L1207" s="6">
        <v>1.8228906089338599</v>
      </c>
      <c r="M1207" s="6">
        <v>1.8228906089338599</v>
      </c>
      <c r="N1207" s="6">
        <v>5.0974977754331796</v>
      </c>
      <c r="O1207" s="6">
        <v>5.0974977754331796</v>
      </c>
      <c r="P1207" s="6">
        <v>5.0974977754331796</v>
      </c>
      <c r="Q1207" s="6">
        <v>0</v>
      </c>
      <c r="R1207" s="6">
        <v>0</v>
      </c>
      <c r="S1207" s="6">
        <v>0</v>
      </c>
      <c r="T1207" s="6">
        <v>195.29118249602999</v>
      </c>
    </row>
    <row r="1208" spans="1:20" ht="13" x14ac:dyDescent="0.15">
      <c r="A1208" s="6">
        <v>1206</v>
      </c>
      <c r="B1208" s="7">
        <v>44908</v>
      </c>
      <c r="C1208" s="6">
        <v>187.914651782416</v>
      </c>
      <c r="D1208" s="6">
        <v>162.38233503944701</v>
      </c>
      <c r="E1208" s="6">
        <v>227.73384839915599</v>
      </c>
      <c r="F1208" s="6">
        <v>187.914651782416</v>
      </c>
      <c r="G1208" s="6">
        <v>187.914651782416</v>
      </c>
      <c r="H1208" s="6">
        <v>4.9346240642584203</v>
      </c>
      <c r="I1208" s="6">
        <v>4.9346240642584203</v>
      </c>
      <c r="J1208" s="6">
        <v>4.9346240642584203</v>
      </c>
      <c r="K1208" s="6">
        <v>0.84522403106414701</v>
      </c>
      <c r="L1208" s="6">
        <v>0.84522403106414701</v>
      </c>
      <c r="M1208" s="6">
        <v>0.84522403106414701</v>
      </c>
      <c r="N1208" s="6">
        <v>4.0894000331942699</v>
      </c>
      <c r="O1208" s="6">
        <v>4.0894000331942699</v>
      </c>
      <c r="P1208" s="6">
        <v>4.0894000331942699</v>
      </c>
      <c r="Q1208" s="6">
        <v>0</v>
      </c>
      <c r="R1208" s="6">
        <v>0</v>
      </c>
      <c r="S1208" s="6">
        <v>0</v>
      </c>
      <c r="T1208" s="6">
        <v>192.849275846675</v>
      </c>
    </row>
    <row r="1209" spans="1:20" ht="13" x14ac:dyDescent="0.15">
      <c r="A1209" s="6">
        <v>1207</v>
      </c>
      <c r="B1209" s="7">
        <v>44909</v>
      </c>
      <c r="C1209" s="6">
        <v>187.45850945317</v>
      </c>
      <c r="D1209" s="6">
        <v>158.126059701956</v>
      </c>
      <c r="E1209" s="6">
        <v>222.355351151251</v>
      </c>
      <c r="F1209" s="6">
        <v>187.45850945317</v>
      </c>
      <c r="G1209" s="6">
        <v>187.45850945317</v>
      </c>
      <c r="H1209" s="6">
        <v>4.0491978864042801</v>
      </c>
      <c r="I1209" s="6">
        <v>4.0491978864042801</v>
      </c>
      <c r="J1209" s="6">
        <v>4.0491978864042801</v>
      </c>
      <c r="K1209" s="6">
        <v>0.94874688043741795</v>
      </c>
      <c r="L1209" s="6">
        <v>0.94874688043741795</v>
      </c>
      <c r="M1209" s="6">
        <v>0.94874688043741795</v>
      </c>
      <c r="N1209" s="6">
        <v>3.10045100596686</v>
      </c>
      <c r="O1209" s="6">
        <v>3.10045100596686</v>
      </c>
      <c r="P1209" s="6">
        <v>3.10045100596686</v>
      </c>
      <c r="Q1209" s="6">
        <v>0</v>
      </c>
      <c r="R1209" s="6">
        <v>0</v>
      </c>
      <c r="S1209" s="6">
        <v>0</v>
      </c>
      <c r="T1209" s="6">
        <v>191.50770733957401</v>
      </c>
    </row>
    <row r="1210" spans="1:20" ht="13" x14ac:dyDescent="0.15">
      <c r="A1210" s="6">
        <v>1208</v>
      </c>
      <c r="B1210" s="7">
        <v>44910</v>
      </c>
      <c r="C1210" s="6">
        <v>187.00236712392299</v>
      </c>
      <c r="D1210" s="6">
        <v>156.87264975964101</v>
      </c>
      <c r="E1210" s="6">
        <v>219.84570640330901</v>
      </c>
      <c r="F1210" s="6">
        <v>187.00236712392299</v>
      </c>
      <c r="G1210" s="6">
        <v>187.00236712392299</v>
      </c>
      <c r="H1210" s="6">
        <v>2.6443044336925898</v>
      </c>
      <c r="I1210" s="6">
        <v>2.6443044336925898</v>
      </c>
      <c r="J1210" s="6">
        <v>2.6443044336925898</v>
      </c>
      <c r="K1210" s="6">
        <v>0.49015521355902503</v>
      </c>
      <c r="L1210" s="6">
        <v>0.49015521355902503</v>
      </c>
      <c r="M1210" s="6">
        <v>0.49015521355902503</v>
      </c>
      <c r="N1210" s="6">
        <v>2.1541492201335699</v>
      </c>
      <c r="O1210" s="6">
        <v>2.1541492201335699</v>
      </c>
      <c r="P1210" s="6">
        <v>2.1541492201335699</v>
      </c>
      <c r="Q1210" s="6">
        <v>0</v>
      </c>
      <c r="R1210" s="6">
        <v>0</v>
      </c>
      <c r="S1210" s="6">
        <v>0</v>
      </c>
      <c r="T1210" s="6">
        <v>189.64667155761501</v>
      </c>
    </row>
    <row r="1211" spans="1:20" ht="13" x14ac:dyDescent="0.15">
      <c r="A1211" s="6">
        <v>1209</v>
      </c>
      <c r="B1211" s="7">
        <v>44911</v>
      </c>
      <c r="C1211" s="6">
        <v>186.54622479467599</v>
      </c>
      <c r="D1211" s="6">
        <v>156.158710671634</v>
      </c>
      <c r="E1211" s="6">
        <v>221.642577433155</v>
      </c>
      <c r="F1211" s="6">
        <v>186.54622479467599</v>
      </c>
      <c r="G1211" s="6">
        <v>186.54622479467599</v>
      </c>
      <c r="H1211" s="6">
        <v>1.25033971256472</v>
      </c>
      <c r="I1211" s="6">
        <v>1.25033971256472</v>
      </c>
      <c r="J1211" s="6">
        <v>1.25033971256472</v>
      </c>
      <c r="K1211" s="6">
        <v>-2.2976765063073799E-2</v>
      </c>
      <c r="L1211" s="6">
        <v>-2.2976765063073799E-2</v>
      </c>
      <c r="M1211" s="6">
        <v>-2.2976765063073799E-2</v>
      </c>
      <c r="N1211" s="6">
        <v>1.2733164776278001</v>
      </c>
      <c r="O1211" s="6">
        <v>1.2733164776278001</v>
      </c>
      <c r="P1211" s="6">
        <v>1.2733164776278001</v>
      </c>
      <c r="Q1211" s="6">
        <v>0</v>
      </c>
      <c r="R1211" s="6">
        <v>0</v>
      </c>
      <c r="S1211" s="6">
        <v>0</v>
      </c>
      <c r="T1211" s="6">
        <v>187.79656450724099</v>
      </c>
    </row>
    <row r="1212" spans="1:20" ht="13" x14ac:dyDescent="0.15">
      <c r="A1212" s="6">
        <v>1210</v>
      </c>
      <c r="B1212" s="7">
        <v>44914</v>
      </c>
      <c r="C1212" s="6">
        <v>185.17779780693601</v>
      </c>
      <c r="D1212" s="6">
        <v>153.99047803318999</v>
      </c>
      <c r="E1212" s="6">
        <v>217.82288264249101</v>
      </c>
      <c r="F1212" s="6">
        <v>185.17779780693601</v>
      </c>
      <c r="G1212" s="6">
        <v>185.17779780693601</v>
      </c>
      <c r="H1212" s="6">
        <v>1.05173562163532</v>
      </c>
      <c r="I1212" s="6">
        <v>1.05173562163532</v>
      </c>
      <c r="J1212" s="6">
        <v>1.05173562163532</v>
      </c>
      <c r="K1212" s="6">
        <v>1.8228906089368</v>
      </c>
      <c r="L1212" s="6">
        <v>1.8228906089368</v>
      </c>
      <c r="M1212" s="6">
        <v>1.8228906089368</v>
      </c>
      <c r="N1212" s="6">
        <v>-0.77115498730147003</v>
      </c>
      <c r="O1212" s="6">
        <v>-0.77115498730147003</v>
      </c>
      <c r="P1212" s="6">
        <v>-0.77115498730147003</v>
      </c>
      <c r="Q1212" s="6">
        <v>0</v>
      </c>
      <c r="R1212" s="6">
        <v>0</v>
      </c>
      <c r="S1212" s="6">
        <v>0</v>
      </c>
      <c r="T1212" s="6">
        <v>186.22953342857099</v>
      </c>
    </row>
    <row r="1213" spans="1:20" ht="13" x14ac:dyDescent="0.15">
      <c r="A1213" s="6">
        <v>1211</v>
      </c>
      <c r="B1213" s="7">
        <v>44915</v>
      </c>
      <c r="C1213" s="6">
        <v>184.72165547768901</v>
      </c>
      <c r="D1213" s="6">
        <v>152.81095546018301</v>
      </c>
      <c r="E1213" s="6">
        <v>219.09332791741201</v>
      </c>
      <c r="F1213" s="6">
        <v>184.72165547768901</v>
      </c>
      <c r="G1213" s="6">
        <v>184.72165547768901</v>
      </c>
      <c r="H1213" s="6">
        <v>-0.35122080964971403</v>
      </c>
      <c r="I1213" s="6">
        <v>-0.35122080964971403</v>
      </c>
      <c r="J1213" s="6">
        <v>-0.35122080964971403</v>
      </c>
      <c r="K1213" s="6">
        <v>0.84522403106807298</v>
      </c>
      <c r="L1213" s="6">
        <v>0.84522403106807298</v>
      </c>
      <c r="M1213" s="6">
        <v>0.84522403106807298</v>
      </c>
      <c r="N1213" s="6">
        <v>-1.1964448407177799</v>
      </c>
      <c r="O1213" s="6">
        <v>-1.1964448407177799</v>
      </c>
      <c r="P1213" s="6">
        <v>-1.1964448407177799</v>
      </c>
      <c r="Q1213" s="6">
        <v>0</v>
      </c>
      <c r="R1213" s="6">
        <v>0</v>
      </c>
      <c r="S1213" s="6">
        <v>0</v>
      </c>
      <c r="T1213" s="6">
        <v>184.37043466803999</v>
      </c>
    </row>
    <row r="1214" spans="1:20" ht="13" x14ac:dyDescent="0.15">
      <c r="A1214" s="6">
        <v>1212</v>
      </c>
      <c r="B1214" s="7">
        <v>44916</v>
      </c>
      <c r="C1214" s="6">
        <v>184.26551314844301</v>
      </c>
      <c r="D1214" s="6">
        <v>153.722949370941</v>
      </c>
      <c r="E1214" s="6">
        <v>215.705195942524</v>
      </c>
      <c r="F1214" s="6">
        <v>184.26551314844301</v>
      </c>
      <c r="G1214" s="6">
        <v>184.26551314844301</v>
      </c>
      <c r="H1214" s="6">
        <v>-0.52387081746809006</v>
      </c>
      <c r="I1214" s="6">
        <v>-0.52387081746809006</v>
      </c>
      <c r="J1214" s="6">
        <v>-0.52387081746809006</v>
      </c>
      <c r="K1214" s="6">
        <v>0.94874688043658795</v>
      </c>
      <c r="L1214" s="6">
        <v>0.94874688043658795</v>
      </c>
      <c r="M1214" s="6">
        <v>0.94874688043658795</v>
      </c>
      <c r="N1214" s="6">
        <v>-1.4726176979046699</v>
      </c>
      <c r="O1214" s="6">
        <v>-1.4726176979046699</v>
      </c>
      <c r="P1214" s="6">
        <v>-1.4726176979046699</v>
      </c>
      <c r="Q1214" s="6">
        <v>0</v>
      </c>
      <c r="R1214" s="6">
        <v>0</v>
      </c>
      <c r="S1214" s="6">
        <v>0</v>
      </c>
      <c r="T1214" s="6">
        <v>183.741642330975</v>
      </c>
    </row>
    <row r="1215" spans="1:20" ht="13" x14ac:dyDescent="0.15">
      <c r="A1215" s="6">
        <v>1213</v>
      </c>
      <c r="B1215" s="7">
        <v>44917</v>
      </c>
      <c r="C1215" s="6">
        <v>183.809370819196</v>
      </c>
      <c r="D1215" s="6">
        <v>150.979588240163</v>
      </c>
      <c r="E1215" s="6">
        <v>214.062295419968</v>
      </c>
      <c r="F1215" s="6">
        <v>183.809370819196</v>
      </c>
      <c r="G1215" s="6">
        <v>183.809370819196</v>
      </c>
      <c r="H1215" s="6">
        <v>-1.1021113659725399</v>
      </c>
      <c r="I1215" s="6">
        <v>-1.1021113659725399</v>
      </c>
      <c r="J1215" s="6">
        <v>-1.1021113659725399</v>
      </c>
      <c r="K1215" s="6">
        <v>0.49015521355618802</v>
      </c>
      <c r="L1215" s="6">
        <v>0.49015521355618802</v>
      </c>
      <c r="M1215" s="6">
        <v>0.49015521355618802</v>
      </c>
      <c r="N1215" s="6">
        <v>-1.5922665795287301</v>
      </c>
      <c r="O1215" s="6">
        <v>-1.5922665795287301</v>
      </c>
      <c r="P1215" s="6">
        <v>-1.5922665795287301</v>
      </c>
      <c r="Q1215" s="6">
        <v>0</v>
      </c>
      <c r="R1215" s="6">
        <v>0</v>
      </c>
      <c r="S1215" s="6">
        <v>0</v>
      </c>
      <c r="T1215" s="6">
        <v>182.707259453224</v>
      </c>
    </row>
    <row r="1216" spans="1:20" ht="13" x14ac:dyDescent="0.15">
      <c r="A1216" s="6">
        <v>1214</v>
      </c>
      <c r="B1216" s="7">
        <v>44918</v>
      </c>
      <c r="C1216" s="6">
        <v>183.353228489949</v>
      </c>
      <c r="D1216" s="6">
        <v>151.99088038610299</v>
      </c>
      <c r="E1216" s="6">
        <v>215.24458118475701</v>
      </c>
      <c r="F1216" s="6">
        <v>183.353228489949</v>
      </c>
      <c r="G1216" s="6">
        <v>183.353228489949</v>
      </c>
      <c r="H1216" s="6">
        <v>-1.57475589479422</v>
      </c>
      <c r="I1216" s="6">
        <v>-1.57475589479422</v>
      </c>
      <c r="J1216" s="6">
        <v>-1.57475589479422</v>
      </c>
      <c r="K1216" s="6">
        <v>-2.2976765061127599E-2</v>
      </c>
      <c r="L1216" s="6">
        <v>-2.2976765061127599E-2</v>
      </c>
      <c r="M1216" s="6">
        <v>-2.2976765061127599E-2</v>
      </c>
      <c r="N1216" s="6">
        <v>-1.5517791297330901</v>
      </c>
      <c r="O1216" s="6">
        <v>-1.5517791297330901</v>
      </c>
      <c r="P1216" s="6">
        <v>-1.5517791297330901</v>
      </c>
      <c r="Q1216" s="6">
        <v>0</v>
      </c>
      <c r="R1216" s="6">
        <v>0</v>
      </c>
      <c r="S1216" s="6">
        <v>0</v>
      </c>
      <c r="T1216" s="6">
        <v>181.77847259515499</v>
      </c>
    </row>
    <row r="1217" spans="1:20" ht="13" x14ac:dyDescent="0.15">
      <c r="A1217" s="6">
        <v>1215</v>
      </c>
      <c r="B1217" s="7">
        <v>44922</v>
      </c>
      <c r="C1217" s="6">
        <v>181.52865917296299</v>
      </c>
      <c r="D1217" s="6">
        <v>151.47765959716199</v>
      </c>
      <c r="E1217" s="6">
        <v>216.86015633174401</v>
      </c>
      <c r="F1217" s="6">
        <v>181.52865917296299</v>
      </c>
      <c r="G1217" s="6">
        <v>181.52865917296299</v>
      </c>
      <c r="H1217" s="6">
        <v>0.994011811945537</v>
      </c>
      <c r="I1217" s="6">
        <v>0.994011811945537</v>
      </c>
      <c r="J1217" s="6">
        <v>0.994011811945537</v>
      </c>
      <c r="K1217" s="6">
        <v>0.84522403106742805</v>
      </c>
      <c r="L1217" s="6">
        <v>0.84522403106742805</v>
      </c>
      <c r="M1217" s="6">
        <v>0.84522403106742805</v>
      </c>
      <c r="N1217" s="6">
        <v>0.14878778087810901</v>
      </c>
      <c r="O1217" s="6">
        <v>0.14878778087810901</v>
      </c>
      <c r="P1217" s="6">
        <v>0.14878778087810901</v>
      </c>
      <c r="Q1217" s="6">
        <v>0</v>
      </c>
      <c r="R1217" s="6">
        <v>0</v>
      </c>
      <c r="S1217" s="6">
        <v>0</v>
      </c>
      <c r="T1217" s="6">
        <v>182.52267098490799</v>
      </c>
    </row>
    <row r="1218" spans="1:20" ht="13" x14ac:dyDescent="0.15">
      <c r="A1218" s="6">
        <v>1216</v>
      </c>
      <c r="B1218" s="7">
        <v>44923</v>
      </c>
      <c r="C1218" s="6">
        <v>181.07251684371599</v>
      </c>
      <c r="D1218" s="6">
        <v>152.40261645825399</v>
      </c>
      <c r="E1218" s="6">
        <v>213.39137619195299</v>
      </c>
      <c r="F1218" s="6">
        <v>181.07251684371599</v>
      </c>
      <c r="G1218" s="6">
        <v>181.07251684371599</v>
      </c>
      <c r="H1218" s="6">
        <v>1.8596137514861699</v>
      </c>
      <c r="I1218" s="6">
        <v>1.8596137514861699</v>
      </c>
      <c r="J1218" s="6">
        <v>1.8596137514861699</v>
      </c>
      <c r="K1218" s="6">
        <v>0.94874688043843702</v>
      </c>
      <c r="L1218" s="6">
        <v>0.94874688043843702</v>
      </c>
      <c r="M1218" s="6">
        <v>0.94874688043843702</v>
      </c>
      <c r="N1218" s="6">
        <v>0.910866871047739</v>
      </c>
      <c r="O1218" s="6">
        <v>0.910866871047739</v>
      </c>
      <c r="P1218" s="6">
        <v>0.910866871047739</v>
      </c>
      <c r="Q1218" s="6">
        <v>0</v>
      </c>
      <c r="R1218" s="6">
        <v>0</v>
      </c>
      <c r="S1218" s="6">
        <v>0</v>
      </c>
      <c r="T1218" s="6">
        <v>182.93213059520201</v>
      </c>
    </row>
    <row r="1219" spans="1:20" ht="13" x14ac:dyDescent="0.15">
      <c r="A1219" s="6">
        <v>1217</v>
      </c>
      <c r="B1219" s="7">
        <v>44924</v>
      </c>
      <c r="C1219" s="6">
        <v>180.61637451446899</v>
      </c>
      <c r="D1219" s="6">
        <v>150.74701585167901</v>
      </c>
      <c r="E1219" s="6">
        <v>214.62484550300701</v>
      </c>
      <c r="F1219" s="6">
        <v>180.61637451446899</v>
      </c>
      <c r="G1219" s="6">
        <v>180.61637451446899</v>
      </c>
      <c r="H1219" s="6">
        <v>2.2675234579798</v>
      </c>
      <c r="I1219" s="6">
        <v>2.2675234579798</v>
      </c>
      <c r="J1219" s="6">
        <v>2.2675234579798</v>
      </c>
      <c r="K1219" s="6">
        <v>0.49015521355736702</v>
      </c>
      <c r="L1219" s="6">
        <v>0.49015521355736702</v>
      </c>
      <c r="M1219" s="6">
        <v>0.49015521355736702</v>
      </c>
      <c r="N1219" s="6">
        <v>1.7773682444224299</v>
      </c>
      <c r="O1219" s="6">
        <v>1.7773682444224299</v>
      </c>
      <c r="P1219" s="6">
        <v>1.7773682444224299</v>
      </c>
      <c r="Q1219" s="6">
        <v>0</v>
      </c>
      <c r="R1219" s="6">
        <v>0</v>
      </c>
      <c r="S1219" s="6">
        <v>0</v>
      </c>
      <c r="T1219" s="6">
        <v>182.88389797244901</v>
      </c>
    </row>
    <row r="1220" spans="1:20" ht="13" x14ac:dyDescent="0.15">
      <c r="A1220" s="6">
        <v>1218</v>
      </c>
      <c r="B1220" s="7">
        <v>44925</v>
      </c>
      <c r="C1220" s="6">
        <v>180.16023218522301</v>
      </c>
      <c r="D1220" s="6">
        <v>151.44284772595401</v>
      </c>
      <c r="E1220" s="6">
        <v>215.37832722856001</v>
      </c>
      <c r="F1220" s="6">
        <v>180.16023218522301</v>
      </c>
      <c r="G1220" s="6">
        <v>180.16023218522301</v>
      </c>
      <c r="H1220" s="6">
        <v>2.7056610105711201</v>
      </c>
      <c r="I1220" s="6">
        <v>2.7056610105711201</v>
      </c>
      <c r="J1220" s="6">
        <v>2.7056610105711201</v>
      </c>
      <c r="K1220" s="6">
        <v>-2.29767650682981E-2</v>
      </c>
      <c r="L1220" s="6">
        <v>-2.29767650682981E-2</v>
      </c>
      <c r="M1220" s="6">
        <v>-2.29767650682981E-2</v>
      </c>
      <c r="N1220" s="6">
        <v>2.72863777563941</v>
      </c>
      <c r="O1220" s="6">
        <v>2.72863777563941</v>
      </c>
      <c r="P1220" s="6">
        <v>2.72863777563941</v>
      </c>
      <c r="Q1220" s="6">
        <v>0</v>
      </c>
      <c r="R1220" s="6">
        <v>0</v>
      </c>
      <c r="S1220" s="6">
        <v>0</v>
      </c>
      <c r="T1220" s="6">
        <v>182.865893195794</v>
      </c>
    </row>
    <row r="1221" spans="1:20" ht="13" x14ac:dyDescent="0.15">
      <c r="A1221" s="6">
        <v>1219</v>
      </c>
      <c r="B1221" s="7">
        <v>44929</v>
      </c>
      <c r="C1221" s="6">
        <v>178.335662868236</v>
      </c>
      <c r="D1221" s="6">
        <v>151.07631253202501</v>
      </c>
      <c r="E1221" s="6">
        <v>219.12680728078399</v>
      </c>
      <c r="F1221" s="6">
        <v>178.335662868236</v>
      </c>
      <c r="G1221" s="6">
        <v>178.335662868236</v>
      </c>
      <c r="H1221" s="6">
        <v>7.78622239490588</v>
      </c>
      <c r="I1221" s="6">
        <v>7.78622239490588</v>
      </c>
      <c r="J1221" s="6">
        <v>7.78622239490588</v>
      </c>
      <c r="K1221" s="6">
        <v>0.84522403106597099</v>
      </c>
      <c r="L1221" s="6">
        <v>0.84522403106597099</v>
      </c>
      <c r="M1221" s="6">
        <v>0.84522403106597099</v>
      </c>
      <c r="N1221" s="6">
        <v>6.9409983638399098</v>
      </c>
      <c r="O1221" s="6">
        <v>6.9409983638399098</v>
      </c>
      <c r="P1221" s="6">
        <v>6.9409983638399098</v>
      </c>
      <c r="Q1221" s="6">
        <v>0</v>
      </c>
      <c r="R1221" s="6">
        <v>0</v>
      </c>
      <c r="S1221" s="6">
        <v>0</v>
      </c>
      <c r="T1221" s="6">
        <v>186.12188526314199</v>
      </c>
    </row>
    <row r="1222" spans="1:20" ht="13" x14ac:dyDescent="0.15">
      <c r="A1222" s="6">
        <v>1220</v>
      </c>
      <c r="B1222" s="7">
        <v>44930</v>
      </c>
      <c r="C1222" s="6">
        <v>177.879520538989</v>
      </c>
      <c r="D1222" s="6">
        <v>154.90536825652501</v>
      </c>
      <c r="E1222" s="6">
        <v>217.65398006136101</v>
      </c>
      <c r="F1222" s="6">
        <v>177.879520538989</v>
      </c>
      <c r="G1222" s="6">
        <v>177.879520538989</v>
      </c>
      <c r="H1222" s="6">
        <v>8.9314924483272602</v>
      </c>
      <c r="I1222" s="6">
        <v>8.9314924483272602</v>
      </c>
      <c r="J1222" s="6">
        <v>8.9314924483272602</v>
      </c>
      <c r="K1222" s="6">
        <v>0.94874688043760702</v>
      </c>
      <c r="L1222" s="6">
        <v>0.94874688043760702</v>
      </c>
      <c r="M1222" s="6">
        <v>0.94874688043760702</v>
      </c>
      <c r="N1222" s="6">
        <v>7.9827455678896504</v>
      </c>
      <c r="O1222" s="6">
        <v>7.9827455678896504</v>
      </c>
      <c r="P1222" s="6">
        <v>7.9827455678896504</v>
      </c>
      <c r="Q1222" s="6">
        <v>0</v>
      </c>
      <c r="R1222" s="6">
        <v>0</v>
      </c>
      <c r="S1222" s="6">
        <v>0</v>
      </c>
      <c r="T1222" s="6">
        <v>186.81101298731701</v>
      </c>
    </row>
    <row r="1223" spans="1:20" ht="13" x14ac:dyDescent="0.15">
      <c r="A1223" s="6">
        <v>1221</v>
      </c>
      <c r="B1223" s="7">
        <v>44931</v>
      </c>
      <c r="C1223" s="6">
        <v>177.42337820974299</v>
      </c>
      <c r="D1223" s="6">
        <v>155.27494253575401</v>
      </c>
      <c r="E1223" s="6">
        <v>222.47832136908701</v>
      </c>
      <c r="F1223" s="6">
        <v>177.42337820974299</v>
      </c>
      <c r="G1223" s="6">
        <v>177.42337820974299</v>
      </c>
      <c r="H1223" s="6">
        <v>9.4671739436522202</v>
      </c>
      <c r="I1223" s="6">
        <v>9.4671739436522202</v>
      </c>
      <c r="J1223" s="6">
        <v>9.4671739436522202</v>
      </c>
      <c r="K1223" s="6">
        <v>0.49015521355307101</v>
      </c>
      <c r="L1223" s="6">
        <v>0.49015521355307101</v>
      </c>
      <c r="M1223" s="6">
        <v>0.49015521355307101</v>
      </c>
      <c r="N1223" s="6">
        <v>8.9770187300991502</v>
      </c>
      <c r="O1223" s="6">
        <v>8.9770187300991502</v>
      </c>
      <c r="P1223" s="6">
        <v>8.9770187300991502</v>
      </c>
      <c r="Q1223" s="6">
        <v>0</v>
      </c>
      <c r="R1223" s="6">
        <v>0</v>
      </c>
      <c r="S1223" s="6">
        <v>0</v>
      </c>
      <c r="T1223" s="6">
        <v>186.89055215339499</v>
      </c>
    </row>
    <row r="1224" spans="1:20" ht="13" x14ac:dyDescent="0.15">
      <c r="A1224" s="6">
        <v>1222</v>
      </c>
      <c r="B1224" s="7">
        <v>44932</v>
      </c>
      <c r="C1224" s="6">
        <v>176.96723588049599</v>
      </c>
      <c r="D1224" s="6">
        <v>154.92484552206199</v>
      </c>
      <c r="E1224" s="6">
        <v>220.184459977979</v>
      </c>
      <c r="F1224" s="6">
        <v>176.96723588049599</v>
      </c>
      <c r="G1224" s="6">
        <v>176.96723588049599</v>
      </c>
      <c r="H1224" s="6">
        <v>9.8822276614053699</v>
      </c>
      <c r="I1224" s="6">
        <v>9.8822276614053699</v>
      </c>
      <c r="J1224" s="6">
        <v>9.8822276614053699</v>
      </c>
      <c r="K1224" s="6">
        <v>-2.2976765066351601E-2</v>
      </c>
      <c r="L1224" s="6">
        <v>-2.2976765066351601E-2</v>
      </c>
      <c r="M1224" s="6">
        <v>-2.2976765066351601E-2</v>
      </c>
      <c r="N1224" s="6">
        <v>9.9052044264717196</v>
      </c>
      <c r="O1224" s="6">
        <v>9.9052044264717196</v>
      </c>
      <c r="P1224" s="6">
        <v>9.9052044264717196</v>
      </c>
      <c r="Q1224" s="6">
        <v>0</v>
      </c>
      <c r="R1224" s="6">
        <v>0</v>
      </c>
      <c r="S1224" s="6">
        <v>0</v>
      </c>
      <c r="T1224" s="6">
        <v>186.849463541901</v>
      </c>
    </row>
    <row r="1225" spans="1:20" ht="13" x14ac:dyDescent="0.15">
      <c r="A1225" s="6">
        <v>1223</v>
      </c>
      <c r="B1225" s="7">
        <v>44935</v>
      </c>
      <c r="C1225" s="6">
        <v>175.59880889275601</v>
      </c>
      <c r="D1225" s="6">
        <v>155.884647970663</v>
      </c>
      <c r="E1225" s="6">
        <v>221.82735448557199</v>
      </c>
      <c r="F1225" s="6">
        <v>175.59880889275601</v>
      </c>
      <c r="G1225" s="6">
        <v>175.59880889275601</v>
      </c>
      <c r="H1225" s="6">
        <v>13.969818886853799</v>
      </c>
      <c r="I1225" s="6">
        <v>13.969818886853799</v>
      </c>
      <c r="J1225" s="6">
        <v>13.969818886853799</v>
      </c>
      <c r="K1225" s="6">
        <v>1.82289060893951</v>
      </c>
      <c r="L1225" s="6">
        <v>1.82289060893951</v>
      </c>
      <c r="M1225" s="6">
        <v>1.82289060893951</v>
      </c>
      <c r="N1225" s="6">
        <v>12.1469282779143</v>
      </c>
      <c r="O1225" s="6">
        <v>12.1469282779143</v>
      </c>
      <c r="P1225" s="6">
        <v>12.1469282779143</v>
      </c>
      <c r="Q1225" s="6">
        <v>0</v>
      </c>
      <c r="R1225" s="6">
        <v>0</v>
      </c>
      <c r="S1225" s="6">
        <v>0</v>
      </c>
      <c r="T1225" s="6">
        <v>189.56862777961001</v>
      </c>
    </row>
    <row r="1226" spans="1:20" ht="13" x14ac:dyDescent="0.15">
      <c r="A1226" s="6">
        <v>1224</v>
      </c>
      <c r="B1226" s="7">
        <v>44936</v>
      </c>
      <c r="C1226" s="6">
        <v>175.14266656350901</v>
      </c>
      <c r="D1226" s="6">
        <v>157.653212893779</v>
      </c>
      <c r="E1226" s="6">
        <v>220.42414315324399</v>
      </c>
      <c r="F1226" s="6">
        <v>175.14266656350901</v>
      </c>
      <c r="G1226" s="6">
        <v>175.14266656350901</v>
      </c>
      <c r="H1226" s="6">
        <v>13.5255646297301</v>
      </c>
      <c r="I1226" s="6">
        <v>13.5255646297301</v>
      </c>
      <c r="J1226" s="6">
        <v>13.5255646297301</v>
      </c>
      <c r="K1226" s="6">
        <v>0.84522403106613797</v>
      </c>
      <c r="L1226" s="6">
        <v>0.84522403106613797</v>
      </c>
      <c r="M1226" s="6">
        <v>0.84522403106613797</v>
      </c>
      <c r="N1226" s="6">
        <v>12.680340598663999</v>
      </c>
      <c r="O1226" s="6">
        <v>12.680340598663999</v>
      </c>
      <c r="P1226" s="6">
        <v>12.680340598663999</v>
      </c>
      <c r="Q1226" s="6">
        <v>0</v>
      </c>
      <c r="R1226" s="6">
        <v>0</v>
      </c>
      <c r="S1226" s="6">
        <v>0</v>
      </c>
      <c r="T1226" s="6">
        <v>188.66823119323999</v>
      </c>
    </row>
    <row r="1227" spans="1:20" ht="13" x14ac:dyDescent="0.15">
      <c r="A1227" s="6">
        <v>1225</v>
      </c>
      <c r="B1227" s="7">
        <v>44937</v>
      </c>
      <c r="C1227" s="6">
        <v>174.686524234263</v>
      </c>
      <c r="D1227" s="6">
        <v>158.31859965495201</v>
      </c>
      <c r="E1227" s="6">
        <v>221.38207587669601</v>
      </c>
      <c r="F1227" s="6">
        <v>174.686524234263</v>
      </c>
      <c r="G1227" s="6">
        <v>174.686524234263</v>
      </c>
      <c r="H1227" s="6">
        <v>14.047944520740099</v>
      </c>
      <c r="I1227" s="6">
        <v>14.047944520740099</v>
      </c>
      <c r="J1227" s="6">
        <v>14.047944520740099</v>
      </c>
      <c r="K1227" s="6">
        <v>0.94874688043530997</v>
      </c>
      <c r="L1227" s="6">
        <v>0.94874688043530997</v>
      </c>
      <c r="M1227" s="6">
        <v>0.94874688043530997</v>
      </c>
      <c r="N1227" s="6">
        <v>13.0991976403047</v>
      </c>
      <c r="O1227" s="6">
        <v>13.0991976403047</v>
      </c>
      <c r="P1227" s="6">
        <v>13.0991976403047</v>
      </c>
      <c r="Q1227" s="6">
        <v>0</v>
      </c>
      <c r="R1227" s="6">
        <v>0</v>
      </c>
      <c r="S1227" s="6">
        <v>0</v>
      </c>
      <c r="T1227" s="6">
        <v>188.73446875500301</v>
      </c>
    </row>
    <row r="1228" spans="1:20" ht="13" x14ac:dyDescent="0.15">
      <c r="A1228" s="6">
        <v>1226</v>
      </c>
      <c r="B1228" s="7">
        <v>44938</v>
      </c>
      <c r="C1228" s="6">
        <v>174.230381905016</v>
      </c>
      <c r="D1228" s="6">
        <v>157.99396939287899</v>
      </c>
      <c r="E1228" s="6">
        <v>220.472207956945</v>
      </c>
      <c r="F1228" s="6">
        <v>174.230381905016</v>
      </c>
      <c r="G1228" s="6">
        <v>174.230381905016</v>
      </c>
      <c r="H1228" s="6">
        <v>13.894573108060101</v>
      </c>
      <c r="I1228" s="6">
        <v>13.894573108060101</v>
      </c>
      <c r="J1228" s="6">
        <v>13.894573108060101</v>
      </c>
      <c r="K1228" s="6">
        <v>0.49015521355826702</v>
      </c>
      <c r="L1228" s="6">
        <v>0.49015521355826702</v>
      </c>
      <c r="M1228" s="6">
        <v>0.49015521355826702</v>
      </c>
      <c r="N1228" s="6">
        <v>13.404417894501799</v>
      </c>
      <c r="O1228" s="6">
        <v>13.404417894501799</v>
      </c>
      <c r="P1228" s="6">
        <v>13.404417894501799</v>
      </c>
      <c r="Q1228" s="6">
        <v>0</v>
      </c>
      <c r="R1228" s="6">
        <v>0</v>
      </c>
      <c r="S1228" s="6">
        <v>0</v>
      </c>
      <c r="T1228" s="6">
        <v>188.124955013076</v>
      </c>
    </row>
    <row r="1229" spans="1:20" ht="13" x14ac:dyDescent="0.15">
      <c r="A1229" s="6">
        <v>1227</v>
      </c>
      <c r="B1229" s="7">
        <v>44939</v>
      </c>
      <c r="C1229" s="6">
        <v>173.774239575769</v>
      </c>
      <c r="D1229" s="6">
        <v>153.625158739223</v>
      </c>
      <c r="E1229" s="6">
        <v>219.275804442653</v>
      </c>
      <c r="F1229" s="6">
        <v>173.774239575769</v>
      </c>
      <c r="G1229" s="6">
        <v>173.774239575769</v>
      </c>
      <c r="H1229" s="6">
        <v>13.5775560989405</v>
      </c>
      <c r="I1229" s="6">
        <v>13.5775560989405</v>
      </c>
      <c r="J1229" s="6">
        <v>13.5775560989405</v>
      </c>
      <c r="K1229" s="6">
        <v>-2.2976765064405401E-2</v>
      </c>
      <c r="L1229" s="6">
        <v>-2.2976765064405401E-2</v>
      </c>
      <c r="M1229" s="6">
        <v>-2.2976765064405401E-2</v>
      </c>
      <c r="N1229" s="6">
        <v>13.600532864004901</v>
      </c>
      <c r="O1229" s="6">
        <v>13.600532864004901</v>
      </c>
      <c r="P1229" s="6">
        <v>13.600532864004901</v>
      </c>
      <c r="Q1229" s="6">
        <v>0</v>
      </c>
      <c r="R1229" s="6">
        <v>0</v>
      </c>
      <c r="S1229" s="6">
        <v>0</v>
      </c>
      <c r="T1229" s="6">
        <v>187.35179567470999</v>
      </c>
    </row>
    <row r="1230" spans="1:20" ht="13" x14ac:dyDescent="0.15">
      <c r="A1230" s="6">
        <v>1228</v>
      </c>
      <c r="B1230" s="7">
        <v>44943</v>
      </c>
      <c r="C1230" s="6">
        <v>171.94967025878299</v>
      </c>
      <c r="D1230" s="6">
        <v>154.77180374232199</v>
      </c>
      <c r="E1230" s="6">
        <v>219.09754553714799</v>
      </c>
      <c r="F1230" s="6">
        <v>171.94967025878299</v>
      </c>
      <c r="G1230" s="6">
        <v>171.94967025878299</v>
      </c>
      <c r="H1230" s="6">
        <v>14.343124789825801</v>
      </c>
      <c r="I1230" s="6">
        <v>14.343124789825801</v>
      </c>
      <c r="J1230" s="6">
        <v>14.343124789825801</v>
      </c>
      <c r="K1230" s="6">
        <v>0.84522403106468003</v>
      </c>
      <c r="L1230" s="6">
        <v>0.84522403106468003</v>
      </c>
      <c r="M1230" s="6">
        <v>0.84522403106468003</v>
      </c>
      <c r="N1230" s="6">
        <v>13.4979007587611</v>
      </c>
      <c r="O1230" s="6">
        <v>13.4979007587611</v>
      </c>
      <c r="P1230" s="6">
        <v>13.4979007587611</v>
      </c>
      <c r="Q1230" s="6">
        <v>0</v>
      </c>
      <c r="R1230" s="6">
        <v>0</v>
      </c>
      <c r="S1230" s="6">
        <v>0</v>
      </c>
      <c r="T1230" s="6">
        <v>186.29279504860801</v>
      </c>
    </row>
    <row r="1231" spans="1:20" ht="13" x14ac:dyDescent="0.15">
      <c r="A1231" s="6">
        <v>1229</v>
      </c>
      <c r="B1231" s="7">
        <v>44944</v>
      </c>
      <c r="C1231" s="6">
        <v>171.49352792953599</v>
      </c>
      <c r="D1231" s="6">
        <v>152.52881084823801</v>
      </c>
      <c r="E1231" s="6">
        <v>218.21862971988801</v>
      </c>
      <c r="F1231" s="6">
        <v>171.49352792953599</v>
      </c>
      <c r="G1231" s="6">
        <v>171.49352792953599</v>
      </c>
      <c r="H1231" s="6">
        <v>14.2732703460903</v>
      </c>
      <c r="I1231" s="6">
        <v>14.2732703460903</v>
      </c>
      <c r="J1231" s="6">
        <v>14.2732703460903</v>
      </c>
      <c r="K1231" s="6">
        <v>0.94874688043447997</v>
      </c>
      <c r="L1231" s="6">
        <v>0.94874688043447997</v>
      </c>
      <c r="M1231" s="6">
        <v>0.94874688043447997</v>
      </c>
      <c r="N1231" s="6">
        <v>13.324523465655799</v>
      </c>
      <c r="O1231" s="6">
        <v>13.324523465655799</v>
      </c>
      <c r="P1231" s="6">
        <v>13.324523465655799</v>
      </c>
      <c r="Q1231" s="6">
        <v>0</v>
      </c>
      <c r="R1231" s="6">
        <v>0</v>
      </c>
      <c r="S1231" s="6">
        <v>0</v>
      </c>
      <c r="T1231" s="6">
        <v>185.766798275626</v>
      </c>
    </row>
    <row r="1232" spans="1:20" ht="13" x14ac:dyDescent="0.15">
      <c r="A1232" s="6">
        <v>1230</v>
      </c>
      <c r="B1232" s="7">
        <v>44945</v>
      </c>
      <c r="C1232" s="6">
        <v>171.03738560028901</v>
      </c>
      <c r="D1232" s="6">
        <v>153.807856044018</v>
      </c>
      <c r="E1232" s="6">
        <v>215.71731432088399</v>
      </c>
      <c r="F1232" s="6">
        <v>171.03738560028901</v>
      </c>
      <c r="G1232" s="6">
        <v>171.03738560028901</v>
      </c>
      <c r="H1232" s="6">
        <v>13.618292137184801</v>
      </c>
      <c r="I1232" s="6">
        <v>13.618292137184801</v>
      </c>
      <c r="J1232" s="6">
        <v>13.618292137184801</v>
      </c>
      <c r="K1232" s="6">
        <v>0.49015521355542901</v>
      </c>
      <c r="L1232" s="6">
        <v>0.49015521355542901</v>
      </c>
      <c r="M1232" s="6">
        <v>0.49015521355542901</v>
      </c>
      <c r="N1232" s="6">
        <v>13.128136923629301</v>
      </c>
      <c r="O1232" s="6">
        <v>13.128136923629301</v>
      </c>
      <c r="P1232" s="6">
        <v>13.128136923629301</v>
      </c>
      <c r="Q1232" s="6">
        <v>0</v>
      </c>
      <c r="R1232" s="6">
        <v>0</v>
      </c>
      <c r="S1232" s="6">
        <v>0</v>
      </c>
      <c r="T1232" s="6">
        <v>184.65567773747401</v>
      </c>
    </row>
    <row r="1233" spans="1:20" ht="13" x14ac:dyDescent="0.15">
      <c r="A1233" s="6">
        <v>1231</v>
      </c>
      <c r="B1233" s="7">
        <v>44946</v>
      </c>
      <c r="C1233" s="6">
        <v>170.58124327104301</v>
      </c>
      <c r="D1233" s="6">
        <v>152.90926784896999</v>
      </c>
      <c r="E1233" s="6">
        <v>216.491549477105</v>
      </c>
      <c r="F1233" s="6">
        <v>170.58124327104301</v>
      </c>
      <c r="G1233" s="6">
        <v>170.58124327104301</v>
      </c>
      <c r="H1233" s="6">
        <v>12.905403596217001</v>
      </c>
      <c r="I1233" s="6">
        <v>12.905403596217001</v>
      </c>
      <c r="J1233" s="6">
        <v>12.905403596217001</v>
      </c>
      <c r="K1233" s="6">
        <v>-2.2976765067017599E-2</v>
      </c>
      <c r="L1233" s="6">
        <v>-2.2976765067017599E-2</v>
      </c>
      <c r="M1233" s="6">
        <v>-2.2976765067017599E-2</v>
      </c>
      <c r="N1233" s="6">
        <v>12.928380361284001</v>
      </c>
      <c r="O1233" s="6">
        <v>12.928380361284001</v>
      </c>
      <c r="P1233" s="6">
        <v>12.928380361284001</v>
      </c>
      <c r="Q1233" s="6">
        <v>0</v>
      </c>
      <c r="R1233" s="6">
        <v>0</v>
      </c>
      <c r="S1233" s="6">
        <v>0</v>
      </c>
      <c r="T1233" s="6">
        <v>183.48664686725999</v>
      </c>
    </row>
    <row r="1234" spans="1:20" ht="13" x14ac:dyDescent="0.15">
      <c r="A1234" s="6">
        <v>1232</v>
      </c>
      <c r="B1234" s="7">
        <v>44949</v>
      </c>
      <c r="C1234" s="6">
        <v>169.212816283303</v>
      </c>
      <c r="D1234" s="6">
        <v>150.58056201331701</v>
      </c>
      <c r="E1234" s="6">
        <v>217.839111014357</v>
      </c>
      <c r="F1234" s="6">
        <v>169.212816283303</v>
      </c>
      <c r="G1234" s="6">
        <v>169.212816283303</v>
      </c>
      <c r="H1234" s="6">
        <v>14.3228450042595</v>
      </c>
      <c r="I1234" s="6">
        <v>14.3228450042595</v>
      </c>
      <c r="J1234" s="6">
        <v>14.3228450042595</v>
      </c>
      <c r="K1234" s="6">
        <v>1.8228906089350201</v>
      </c>
      <c r="L1234" s="6">
        <v>1.8228906089350201</v>
      </c>
      <c r="M1234" s="6">
        <v>1.8228906089350201</v>
      </c>
      <c r="N1234" s="6">
        <v>12.499954395324499</v>
      </c>
      <c r="O1234" s="6">
        <v>12.499954395324499</v>
      </c>
      <c r="P1234" s="6">
        <v>12.499954395324499</v>
      </c>
      <c r="Q1234" s="6">
        <v>0</v>
      </c>
      <c r="R1234" s="6">
        <v>0</v>
      </c>
      <c r="S1234" s="6">
        <v>0</v>
      </c>
      <c r="T1234" s="6">
        <v>183.53566128756199</v>
      </c>
    </row>
    <row r="1235" spans="1:20" ht="13" x14ac:dyDescent="0.15">
      <c r="A1235" s="6">
        <v>1233</v>
      </c>
      <c r="B1235" s="7">
        <v>44950</v>
      </c>
      <c r="C1235" s="6">
        <v>168.756673954056</v>
      </c>
      <c r="D1235" s="6">
        <v>149.67561530963701</v>
      </c>
      <c r="E1235" s="6">
        <v>212.34566537320401</v>
      </c>
      <c r="F1235" s="6">
        <v>168.756673954056</v>
      </c>
      <c r="G1235" s="6">
        <v>168.756673954056</v>
      </c>
      <c r="H1235" s="6">
        <v>13.316819657002201</v>
      </c>
      <c r="I1235" s="6">
        <v>13.316819657002201</v>
      </c>
      <c r="J1235" s="6">
        <v>13.316819657002201</v>
      </c>
      <c r="K1235" s="6">
        <v>0.84522403106322297</v>
      </c>
      <c r="L1235" s="6">
        <v>0.84522403106322297</v>
      </c>
      <c r="M1235" s="6">
        <v>0.84522403106322297</v>
      </c>
      <c r="N1235" s="6">
        <v>12.471595625939001</v>
      </c>
      <c r="O1235" s="6">
        <v>12.471595625939001</v>
      </c>
      <c r="P1235" s="6">
        <v>12.471595625939001</v>
      </c>
      <c r="Q1235" s="6">
        <v>0</v>
      </c>
      <c r="R1235" s="6">
        <v>0</v>
      </c>
      <c r="S1235" s="6">
        <v>0</v>
      </c>
      <c r="T1235" s="6">
        <v>182.07349361105801</v>
      </c>
    </row>
    <row r="1236" spans="1:20" ht="13" x14ac:dyDescent="0.15">
      <c r="A1236" s="6">
        <v>1234</v>
      </c>
      <c r="B1236" s="7">
        <v>44951</v>
      </c>
      <c r="C1236" s="6">
        <v>168.300531624809</v>
      </c>
      <c r="D1236" s="6">
        <v>150.29640076787001</v>
      </c>
      <c r="E1236" s="6">
        <v>211.647481052014</v>
      </c>
      <c r="F1236" s="6">
        <v>168.300531624809</v>
      </c>
      <c r="G1236" s="6">
        <v>168.300531624809</v>
      </c>
      <c r="H1236" s="6">
        <v>13.4728221545681</v>
      </c>
      <c r="I1236" s="6">
        <v>13.4728221545681</v>
      </c>
      <c r="J1236" s="6">
        <v>13.4728221545681</v>
      </c>
      <c r="K1236" s="6">
        <v>0.94874688043632904</v>
      </c>
      <c r="L1236" s="6">
        <v>0.94874688043632904</v>
      </c>
      <c r="M1236" s="6">
        <v>0.94874688043632904</v>
      </c>
      <c r="N1236" s="6">
        <v>12.5240752741318</v>
      </c>
      <c r="O1236" s="6">
        <v>12.5240752741318</v>
      </c>
      <c r="P1236" s="6">
        <v>12.5240752741318</v>
      </c>
      <c r="Q1236" s="6">
        <v>0</v>
      </c>
      <c r="R1236" s="6">
        <v>0</v>
      </c>
      <c r="S1236" s="6">
        <v>0</v>
      </c>
      <c r="T1236" s="6">
        <v>181.773353779377</v>
      </c>
    </row>
    <row r="1237" spans="1:20" ht="13" x14ac:dyDescent="0.15">
      <c r="A1237" s="6">
        <v>1235</v>
      </c>
      <c r="B1237" s="7">
        <v>44952</v>
      </c>
      <c r="C1237" s="6">
        <v>167.844389295562</v>
      </c>
      <c r="D1237" s="6">
        <v>149.24284982493</v>
      </c>
      <c r="E1237" s="6">
        <v>213.75815513096001</v>
      </c>
      <c r="F1237" s="6">
        <v>167.844389295562</v>
      </c>
      <c r="G1237" s="6">
        <v>167.844389295562</v>
      </c>
      <c r="H1237" s="6">
        <v>13.157565810416401</v>
      </c>
      <c r="I1237" s="6">
        <v>13.157565810416401</v>
      </c>
      <c r="J1237" s="6">
        <v>13.157565810416401</v>
      </c>
      <c r="K1237" s="6">
        <v>0.49015521355660802</v>
      </c>
      <c r="L1237" s="6">
        <v>0.49015521355660802</v>
      </c>
      <c r="M1237" s="6">
        <v>0.49015521355660802</v>
      </c>
      <c r="N1237" s="6">
        <v>12.667410596859799</v>
      </c>
      <c r="O1237" s="6">
        <v>12.667410596859799</v>
      </c>
      <c r="P1237" s="6">
        <v>12.667410596859799</v>
      </c>
      <c r="Q1237" s="6">
        <v>0</v>
      </c>
      <c r="R1237" s="6">
        <v>0</v>
      </c>
      <c r="S1237" s="6">
        <v>0</v>
      </c>
      <c r="T1237" s="6">
        <v>181.00195510597899</v>
      </c>
    </row>
    <row r="1238" spans="1:20" ht="13" x14ac:dyDescent="0.15">
      <c r="A1238" s="6">
        <v>1236</v>
      </c>
      <c r="B1238" s="7">
        <v>44953</v>
      </c>
      <c r="C1238" s="6">
        <v>167.38824696631599</v>
      </c>
      <c r="D1238" s="6">
        <v>148.87296135419001</v>
      </c>
      <c r="E1238" s="6">
        <v>211.856892284324</v>
      </c>
      <c r="F1238" s="6">
        <v>167.38824696631599</v>
      </c>
      <c r="G1238" s="6">
        <v>167.38824696631599</v>
      </c>
      <c r="H1238" s="6">
        <v>12.885305029544901</v>
      </c>
      <c r="I1238" s="6">
        <v>12.885305029544901</v>
      </c>
      <c r="J1238" s="6">
        <v>12.885305029544901</v>
      </c>
      <c r="K1238" s="6">
        <v>-2.2976765056400401E-2</v>
      </c>
      <c r="L1238" s="6">
        <v>-2.2976765056400401E-2</v>
      </c>
      <c r="M1238" s="6">
        <v>-2.2976765056400401E-2</v>
      </c>
      <c r="N1238" s="6">
        <v>12.908281794601301</v>
      </c>
      <c r="O1238" s="6">
        <v>12.908281794601301</v>
      </c>
      <c r="P1238" s="6">
        <v>12.908281794601301</v>
      </c>
      <c r="Q1238" s="6">
        <v>0</v>
      </c>
      <c r="R1238" s="6">
        <v>0</v>
      </c>
      <c r="S1238" s="6">
        <v>0</v>
      </c>
      <c r="T1238" s="6">
        <v>180.273551995861</v>
      </c>
    </row>
    <row r="1239" spans="1:20" ht="13" x14ac:dyDescent="0.15">
      <c r="A1239" s="6">
        <v>1237</v>
      </c>
      <c r="B1239" s="7">
        <v>44956</v>
      </c>
      <c r="C1239" s="6">
        <v>166.01981997857601</v>
      </c>
      <c r="D1239" s="6">
        <v>149.626230090631</v>
      </c>
      <c r="E1239" s="6">
        <v>214.19370367173201</v>
      </c>
      <c r="F1239" s="6">
        <v>166.01981997857601</v>
      </c>
      <c r="G1239" s="6">
        <v>166.01981997857601</v>
      </c>
      <c r="H1239" s="6">
        <v>16.050532093703101</v>
      </c>
      <c r="I1239" s="6">
        <v>16.050532093703101</v>
      </c>
      <c r="J1239" s="6">
        <v>16.050532093703101</v>
      </c>
      <c r="K1239" s="6">
        <v>1.8228906089355199</v>
      </c>
      <c r="L1239" s="6">
        <v>1.8228906089355199</v>
      </c>
      <c r="M1239" s="6">
        <v>1.8228906089355199</v>
      </c>
      <c r="N1239" s="6">
        <v>14.2276414847676</v>
      </c>
      <c r="O1239" s="6">
        <v>14.2276414847676</v>
      </c>
      <c r="P1239" s="6">
        <v>14.2276414847676</v>
      </c>
      <c r="Q1239" s="6">
        <v>0</v>
      </c>
      <c r="R1239" s="6">
        <v>0</v>
      </c>
      <c r="S1239" s="6">
        <v>0</v>
      </c>
      <c r="T1239" s="6">
        <v>182.07035207227901</v>
      </c>
    </row>
    <row r="1240" spans="1:20" ht="13" x14ac:dyDescent="0.15">
      <c r="A1240" s="6">
        <v>1238</v>
      </c>
      <c r="B1240" s="7">
        <v>44957</v>
      </c>
      <c r="C1240" s="6">
        <v>165.56367764932901</v>
      </c>
      <c r="D1240" s="6">
        <v>150.61171231033501</v>
      </c>
      <c r="E1240" s="6">
        <v>213.12321084485399</v>
      </c>
      <c r="F1240" s="6">
        <v>165.56367764932901</v>
      </c>
      <c r="G1240" s="6">
        <v>165.56367764932901</v>
      </c>
      <c r="H1240" s="6">
        <v>15.6962552815907</v>
      </c>
      <c r="I1240" s="6">
        <v>15.6962552815907</v>
      </c>
      <c r="J1240" s="6">
        <v>15.6962552815907</v>
      </c>
      <c r="K1240" s="6">
        <v>0.84522403106257904</v>
      </c>
      <c r="L1240" s="6">
        <v>0.84522403106257904</v>
      </c>
      <c r="M1240" s="6">
        <v>0.84522403106257904</v>
      </c>
      <c r="N1240" s="6">
        <v>14.8510312505281</v>
      </c>
      <c r="O1240" s="6">
        <v>14.8510312505281</v>
      </c>
      <c r="P1240" s="6">
        <v>14.8510312505281</v>
      </c>
      <c r="Q1240" s="6">
        <v>0</v>
      </c>
      <c r="R1240" s="6">
        <v>0</v>
      </c>
      <c r="S1240" s="6">
        <v>0</v>
      </c>
      <c r="T1240" s="6">
        <v>181.25993293092</v>
      </c>
    </row>
    <row r="1241" spans="1:20" ht="13" x14ac:dyDescent="0.15">
      <c r="A1241" s="6">
        <v>1239</v>
      </c>
      <c r="B1241" s="7">
        <v>44958</v>
      </c>
      <c r="C1241" s="6">
        <v>165.10753532008201</v>
      </c>
      <c r="D1241" s="6">
        <v>150.30773752654201</v>
      </c>
      <c r="E1241" s="6">
        <v>213.38570524350001</v>
      </c>
      <c r="F1241" s="6">
        <v>165.10753532008201</v>
      </c>
      <c r="G1241" s="6">
        <v>165.10753532008201</v>
      </c>
      <c r="H1241" s="6">
        <v>16.497893658460999</v>
      </c>
      <c r="I1241" s="6">
        <v>16.497893658460999</v>
      </c>
      <c r="J1241" s="6">
        <v>16.497893658460999</v>
      </c>
      <c r="K1241" s="6">
        <v>0.94874688043671196</v>
      </c>
      <c r="L1241" s="6">
        <v>0.94874688043671196</v>
      </c>
      <c r="M1241" s="6">
        <v>0.94874688043671196</v>
      </c>
      <c r="N1241" s="6">
        <v>15.5491467780243</v>
      </c>
      <c r="O1241" s="6">
        <v>15.5491467780243</v>
      </c>
      <c r="P1241" s="6">
        <v>15.5491467780243</v>
      </c>
      <c r="Q1241" s="6">
        <v>0</v>
      </c>
      <c r="R1241" s="6">
        <v>0</v>
      </c>
      <c r="S1241" s="6">
        <v>0</v>
      </c>
      <c r="T1241" s="6">
        <v>181.60542897854299</v>
      </c>
    </row>
    <row r="1242" spans="1:20" ht="13" x14ac:dyDescent="0.15">
      <c r="A1242" s="6">
        <v>1240</v>
      </c>
      <c r="B1242" s="7">
        <v>44959</v>
      </c>
      <c r="C1242" s="6">
        <v>164.651392990836</v>
      </c>
      <c r="D1242" s="6">
        <v>148.54919241788701</v>
      </c>
      <c r="E1242" s="6">
        <v>214.10877440256999</v>
      </c>
      <c r="F1242" s="6">
        <v>164.651392990836</v>
      </c>
      <c r="G1242" s="6">
        <v>164.651392990836</v>
      </c>
      <c r="H1242" s="6">
        <v>16.796653511422999</v>
      </c>
      <c r="I1242" s="6">
        <v>16.796653511422999</v>
      </c>
      <c r="J1242" s="6">
        <v>16.796653511422999</v>
      </c>
      <c r="K1242" s="6">
        <v>0.49015521355778802</v>
      </c>
      <c r="L1242" s="6">
        <v>0.49015521355778802</v>
      </c>
      <c r="M1242" s="6">
        <v>0.49015521355778802</v>
      </c>
      <c r="N1242" s="6">
        <v>16.3064982978652</v>
      </c>
      <c r="O1242" s="6">
        <v>16.3064982978652</v>
      </c>
      <c r="P1242" s="6">
        <v>16.3064982978652</v>
      </c>
      <c r="Q1242" s="6">
        <v>0</v>
      </c>
      <c r="R1242" s="6">
        <v>0</v>
      </c>
      <c r="S1242" s="6">
        <v>0</v>
      </c>
      <c r="T1242" s="6">
        <v>181.44804650225899</v>
      </c>
    </row>
    <row r="1243" spans="1:20" ht="13" x14ac:dyDescent="0.15">
      <c r="A1243" s="6">
        <v>1241</v>
      </c>
      <c r="B1243" s="7">
        <v>44960</v>
      </c>
      <c r="C1243" s="6">
        <v>164.195250661589</v>
      </c>
      <c r="D1243" s="6">
        <v>147.72389861418301</v>
      </c>
      <c r="E1243" s="6">
        <v>215.277504612549</v>
      </c>
      <c r="F1243" s="6">
        <v>164.195250661589</v>
      </c>
      <c r="G1243" s="6">
        <v>164.195250661589</v>
      </c>
      <c r="H1243" s="6">
        <v>17.081592558295799</v>
      </c>
      <c r="I1243" s="6">
        <v>17.081592558295799</v>
      </c>
      <c r="J1243" s="6">
        <v>17.081592558295799</v>
      </c>
      <c r="K1243" s="6">
        <v>-2.2976765063570801E-2</v>
      </c>
      <c r="L1243" s="6">
        <v>-2.2976765063570801E-2</v>
      </c>
      <c r="M1243" s="6">
        <v>-2.2976765063570801E-2</v>
      </c>
      <c r="N1243" s="6">
        <v>17.104569323359399</v>
      </c>
      <c r="O1243" s="6">
        <v>17.104569323359399</v>
      </c>
      <c r="P1243" s="6">
        <v>17.104569323359399</v>
      </c>
      <c r="Q1243" s="6">
        <v>0</v>
      </c>
      <c r="R1243" s="6">
        <v>0</v>
      </c>
      <c r="S1243" s="6">
        <v>0</v>
      </c>
      <c r="T1243" s="6">
        <v>181.276843219885</v>
      </c>
    </row>
    <row r="1244" spans="1:20" ht="13" x14ac:dyDescent="0.15">
      <c r="A1244" s="6">
        <v>1242</v>
      </c>
      <c r="B1244" s="7">
        <v>44963</v>
      </c>
      <c r="C1244" s="6">
        <v>162.82682367384899</v>
      </c>
      <c r="D1244" s="6">
        <v>151.50525910340301</v>
      </c>
      <c r="E1244" s="6">
        <v>216.08730514856299</v>
      </c>
      <c r="F1244" s="6">
        <v>162.82682367384899</v>
      </c>
      <c r="G1244" s="6">
        <v>162.82682367384899</v>
      </c>
      <c r="H1244" s="6">
        <v>21.345681206845601</v>
      </c>
      <c r="I1244" s="6">
        <v>21.345681206845601</v>
      </c>
      <c r="J1244" s="6">
        <v>21.345681206845601</v>
      </c>
      <c r="K1244" s="6">
        <v>1.8228906089372301</v>
      </c>
      <c r="L1244" s="6">
        <v>1.8228906089372301</v>
      </c>
      <c r="M1244" s="6">
        <v>1.8228906089372301</v>
      </c>
      <c r="N1244" s="6">
        <v>19.522790597908301</v>
      </c>
      <c r="O1244" s="6">
        <v>19.522790597908301</v>
      </c>
      <c r="P1244" s="6">
        <v>19.522790597908301</v>
      </c>
      <c r="Q1244" s="6">
        <v>0</v>
      </c>
      <c r="R1244" s="6">
        <v>0</v>
      </c>
      <c r="S1244" s="6">
        <v>0</v>
      </c>
      <c r="T1244" s="6">
        <v>184.17250488069499</v>
      </c>
    </row>
    <row r="1245" spans="1:20" ht="13" x14ac:dyDescent="0.15">
      <c r="A1245" s="6">
        <v>1243</v>
      </c>
      <c r="B1245" s="7">
        <v>44964</v>
      </c>
      <c r="C1245" s="6">
        <v>162.37068134460199</v>
      </c>
      <c r="D1245" s="6">
        <v>150.68535352580801</v>
      </c>
      <c r="E1245" s="6">
        <v>215.29481261855</v>
      </c>
      <c r="F1245" s="6">
        <v>162.37068134460199</v>
      </c>
      <c r="G1245" s="6">
        <v>162.37068134460199</v>
      </c>
      <c r="H1245" s="6">
        <v>21.101027360626201</v>
      </c>
      <c r="I1245" s="6">
        <v>21.101027360626201</v>
      </c>
      <c r="J1245" s="6">
        <v>21.101027360626201</v>
      </c>
      <c r="K1245" s="6">
        <v>0.84522403106569199</v>
      </c>
      <c r="L1245" s="6">
        <v>0.84522403106569199</v>
      </c>
      <c r="M1245" s="6">
        <v>0.84522403106569199</v>
      </c>
      <c r="N1245" s="6">
        <v>20.255803329560599</v>
      </c>
      <c r="O1245" s="6">
        <v>20.255803329560599</v>
      </c>
      <c r="P1245" s="6">
        <v>20.255803329560599</v>
      </c>
      <c r="Q1245" s="6">
        <v>0</v>
      </c>
      <c r="R1245" s="6">
        <v>0</v>
      </c>
      <c r="S1245" s="6">
        <v>0</v>
      </c>
      <c r="T1245" s="6">
        <v>183.47170870522899</v>
      </c>
    </row>
    <row r="1246" spans="1:20" ht="13" x14ac:dyDescent="0.15">
      <c r="A1246" s="6">
        <v>1244</v>
      </c>
      <c r="B1246" s="7">
        <v>44965</v>
      </c>
      <c r="C1246" s="6">
        <v>161.91453901535601</v>
      </c>
      <c r="D1246" s="6">
        <v>149.34485635289499</v>
      </c>
      <c r="E1246" s="6">
        <v>216.46140319162501</v>
      </c>
      <c r="F1246" s="6">
        <v>161.91453901535601</v>
      </c>
      <c r="G1246" s="6">
        <v>161.91453901535601</v>
      </c>
      <c r="H1246" s="6">
        <v>21.858968217970599</v>
      </c>
      <c r="I1246" s="6">
        <v>21.858968217970599</v>
      </c>
      <c r="J1246" s="6">
        <v>21.858968217970599</v>
      </c>
      <c r="K1246" s="6">
        <v>0.94874688043856203</v>
      </c>
      <c r="L1246" s="6">
        <v>0.94874688043856203</v>
      </c>
      <c r="M1246" s="6">
        <v>0.94874688043856203</v>
      </c>
      <c r="N1246" s="6">
        <v>20.910221337532001</v>
      </c>
      <c r="O1246" s="6">
        <v>20.910221337532001</v>
      </c>
      <c r="P1246" s="6">
        <v>20.910221337532001</v>
      </c>
      <c r="Q1246" s="6">
        <v>0</v>
      </c>
      <c r="R1246" s="6">
        <v>0</v>
      </c>
      <c r="S1246" s="6">
        <v>0</v>
      </c>
      <c r="T1246" s="6">
        <v>183.773507233326</v>
      </c>
    </row>
    <row r="1247" spans="1:20" ht="13" x14ac:dyDescent="0.15">
      <c r="A1247" s="6">
        <v>1245</v>
      </c>
      <c r="B1247" s="7">
        <v>44966</v>
      </c>
      <c r="C1247" s="6">
        <v>161.45839668610901</v>
      </c>
      <c r="D1247" s="6">
        <v>152.29908424511399</v>
      </c>
      <c r="E1247" s="6">
        <v>215.98553934424999</v>
      </c>
      <c r="F1247" s="6">
        <v>161.45839668610901</v>
      </c>
      <c r="G1247" s="6">
        <v>161.45839668610901</v>
      </c>
      <c r="H1247" s="6">
        <v>21.951489061673101</v>
      </c>
      <c r="I1247" s="6">
        <v>21.951489061673101</v>
      </c>
      <c r="J1247" s="6">
        <v>21.951489061673101</v>
      </c>
      <c r="K1247" s="6">
        <v>0.49015521355896702</v>
      </c>
      <c r="L1247" s="6">
        <v>0.49015521355896702</v>
      </c>
      <c r="M1247" s="6">
        <v>0.49015521355896702</v>
      </c>
      <c r="N1247" s="6">
        <v>21.461333848114101</v>
      </c>
      <c r="O1247" s="6">
        <v>21.461333848114101</v>
      </c>
      <c r="P1247" s="6">
        <v>21.461333848114101</v>
      </c>
      <c r="Q1247" s="6">
        <v>0</v>
      </c>
      <c r="R1247" s="6">
        <v>0</v>
      </c>
      <c r="S1247" s="6">
        <v>0</v>
      </c>
      <c r="T1247" s="6">
        <v>183.409885747782</v>
      </c>
    </row>
    <row r="1248" spans="1:20" ht="13" x14ac:dyDescent="0.15">
      <c r="A1248" s="6">
        <v>1246</v>
      </c>
      <c r="B1248" s="7">
        <v>44967</v>
      </c>
      <c r="C1248" s="6">
        <v>161.00225435686301</v>
      </c>
      <c r="D1248" s="6">
        <v>148.47065103990101</v>
      </c>
      <c r="E1248" s="6">
        <v>217.423874980639</v>
      </c>
      <c r="F1248" s="6">
        <v>161.00225435686301</v>
      </c>
      <c r="G1248" s="6">
        <v>161.00225435686301</v>
      </c>
      <c r="H1248" s="6">
        <v>21.8627766424679</v>
      </c>
      <c r="I1248" s="6">
        <v>21.8627766424679</v>
      </c>
      <c r="J1248" s="6">
        <v>21.8627766424679</v>
      </c>
      <c r="K1248" s="6">
        <v>-2.29767650616245E-2</v>
      </c>
      <c r="L1248" s="6">
        <v>-2.29767650616245E-2</v>
      </c>
      <c r="M1248" s="6">
        <v>-2.29767650616245E-2</v>
      </c>
      <c r="N1248" s="6">
        <v>21.885753407529499</v>
      </c>
      <c r="O1248" s="6">
        <v>21.885753407529499</v>
      </c>
      <c r="P1248" s="6">
        <v>21.885753407529499</v>
      </c>
      <c r="Q1248" s="6">
        <v>0</v>
      </c>
      <c r="R1248" s="6">
        <v>0</v>
      </c>
      <c r="S1248" s="6">
        <v>0</v>
      </c>
      <c r="T1248" s="6">
        <v>182.86503099933</v>
      </c>
    </row>
    <row r="1249" spans="1:20" ht="13" x14ac:dyDescent="0.15">
      <c r="A1249" s="6">
        <v>1247</v>
      </c>
      <c r="B1249" s="7">
        <v>44970</v>
      </c>
      <c r="C1249" s="6">
        <v>159.633827369122</v>
      </c>
      <c r="D1249" s="6">
        <v>151.54673985433499</v>
      </c>
      <c r="E1249" s="6">
        <v>215.379591467805</v>
      </c>
      <c r="F1249" s="6">
        <v>159.633827369122</v>
      </c>
      <c r="G1249" s="6">
        <v>159.633827369122</v>
      </c>
      <c r="H1249" s="6">
        <v>24.021369159187</v>
      </c>
      <c r="I1249" s="6">
        <v>24.021369159187</v>
      </c>
      <c r="J1249" s="6">
        <v>24.021369159187</v>
      </c>
      <c r="K1249" s="6">
        <v>1.8228906089389501</v>
      </c>
      <c r="L1249" s="6">
        <v>1.8228906089389501</v>
      </c>
      <c r="M1249" s="6">
        <v>1.8228906089389501</v>
      </c>
      <c r="N1249" s="6">
        <v>22.198478550248101</v>
      </c>
      <c r="O1249" s="6">
        <v>22.198478550248101</v>
      </c>
      <c r="P1249" s="6">
        <v>22.198478550248101</v>
      </c>
      <c r="Q1249" s="6">
        <v>0</v>
      </c>
      <c r="R1249" s="6">
        <v>0</v>
      </c>
      <c r="S1249" s="6">
        <v>0</v>
      </c>
      <c r="T1249" s="6">
        <v>183.65519652830901</v>
      </c>
    </row>
    <row r="1250" spans="1:20" ht="13" x14ac:dyDescent="0.15">
      <c r="A1250" s="6">
        <v>1248</v>
      </c>
      <c r="B1250" s="7">
        <v>44971</v>
      </c>
      <c r="C1250" s="6">
        <v>159.177685039876</v>
      </c>
      <c r="D1250" s="6">
        <v>150.00783948461199</v>
      </c>
      <c r="E1250" s="6">
        <v>214.359239288504</v>
      </c>
      <c r="F1250" s="6">
        <v>159.177685039876</v>
      </c>
      <c r="G1250" s="6">
        <v>159.177685039876</v>
      </c>
      <c r="H1250" s="6">
        <v>22.776179447192401</v>
      </c>
      <c r="I1250" s="6">
        <v>22.776179447192401</v>
      </c>
      <c r="J1250" s="6">
        <v>22.776179447192401</v>
      </c>
      <c r="K1250" s="6">
        <v>0.84522403106667099</v>
      </c>
      <c r="L1250" s="6">
        <v>0.84522403106667099</v>
      </c>
      <c r="M1250" s="6">
        <v>0.84522403106667099</v>
      </c>
      <c r="N1250" s="6">
        <v>21.930955416125698</v>
      </c>
      <c r="O1250" s="6">
        <v>21.930955416125698</v>
      </c>
      <c r="P1250" s="6">
        <v>21.930955416125698</v>
      </c>
      <c r="Q1250" s="6">
        <v>0</v>
      </c>
      <c r="R1250" s="6">
        <v>0</v>
      </c>
      <c r="S1250" s="6">
        <v>0</v>
      </c>
      <c r="T1250" s="6">
        <v>181.95386448706799</v>
      </c>
    </row>
    <row r="1251" spans="1:20" ht="13" x14ac:dyDescent="0.15">
      <c r="A1251" s="6">
        <v>1249</v>
      </c>
      <c r="B1251" s="7">
        <v>44972</v>
      </c>
      <c r="C1251" s="6">
        <v>158.721542710629</v>
      </c>
      <c r="D1251" s="6">
        <v>147.99262339158699</v>
      </c>
      <c r="E1251" s="6">
        <v>213.99889901037099</v>
      </c>
      <c r="F1251" s="6">
        <v>158.721542710629</v>
      </c>
      <c r="G1251" s="6">
        <v>158.721542710629</v>
      </c>
      <c r="H1251" s="6">
        <v>22.409774063079901</v>
      </c>
      <c r="I1251" s="6">
        <v>22.409774063079901</v>
      </c>
      <c r="J1251" s="6">
        <v>22.409774063079901</v>
      </c>
      <c r="K1251" s="6">
        <v>0.94874688043505195</v>
      </c>
      <c r="L1251" s="6">
        <v>0.94874688043505195</v>
      </c>
      <c r="M1251" s="6">
        <v>0.94874688043505195</v>
      </c>
      <c r="N1251" s="6">
        <v>21.461027182644902</v>
      </c>
      <c r="O1251" s="6">
        <v>21.461027182644902</v>
      </c>
      <c r="P1251" s="6">
        <v>21.461027182644902</v>
      </c>
      <c r="Q1251" s="6">
        <v>0</v>
      </c>
      <c r="R1251" s="6">
        <v>0</v>
      </c>
      <c r="S1251" s="6">
        <v>0</v>
      </c>
      <c r="T1251" s="6">
        <v>181.13131677370899</v>
      </c>
    </row>
    <row r="1252" spans="1:20" ht="13" x14ac:dyDescent="0.15">
      <c r="A1252" s="6">
        <v>1250</v>
      </c>
      <c r="B1252" s="7">
        <v>44973</v>
      </c>
      <c r="C1252" s="6">
        <v>158.26540038138199</v>
      </c>
      <c r="D1252" s="6">
        <v>145.185888586613</v>
      </c>
      <c r="E1252" s="6">
        <v>212.833084837738</v>
      </c>
      <c r="F1252" s="6">
        <v>158.26540038138199</v>
      </c>
      <c r="G1252" s="6">
        <v>158.26540038138199</v>
      </c>
      <c r="H1252" s="6">
        <v>21.2752403619644</v>
      </c>
      <c r="I1252" s="6">
        <v>21.2752403619644</v>
      </c>
      <c r="J1252" s="6">
        <v>21.2752403619644</v>
      </c>
      <c r="K1252" s="6">
        <v>0.49015521355612901</v>
      </c>
      <c r="L1252" s="6">
        <v>0.49015521355612901</v>
      </c>
      <c r="M1252" s="6">
        <v>0.49015521355612901</v>
      </c>
      <c r="N1252" s="6">
        <v>20.7850851484082</v>
      </c>
      <c r="O1252" s="6">
        <v>20.7850851484082</v>
      </c>
      <c r="P1252" s="6">
        <v>20.7850851484082</v>
      </c>
      <c r="Q1252" s="6">
        <v>0</v>
      </c>
      <c r="R1252" s="6">
        <v>0</v>
      </c>
      <c r="S1252" s="6">
        <v>0</v>
      </c>
      <c r="T1252" s="6">
        <v>179.54064074334701</v>
      </c>
    </row>
    <row r="1253" spans="1:20" ht="13" x14ac:dyDescent="0.15">
      <c r="A1253" s="6">
        <v>1251</v>
      </c>
      <c r="B1253" s="7">
        <v>44974</v>
      </c>
      <c r="C1253" s="6">
        <v>157.80925805213599</v>
      </c>
      <c r="D1253" s="6">
        <v>147.56585773718601</v>
      </c>
      <c r="E1253" s="6">
        <v>210.00975132594499</v>
      </c>
      <c r="F1253" s="6">
        <v>157.80925805213599</v>
      </c>
      <c r="G1253" s="6">
        <v>157.80925805213599</v>
      </c>
      <c r="H1253" s="6">
        <v>19.8810452089051</v>
      </c>
      <c r="I1253" s="6">
        <v>19.8810452089051</v>
      </c>
      <c r="J1253" s="6">
        <v>19.8810452089051</v>
      </c>
      <c r="K1253" s="6">
        <v>-2.2976765064236699E-2</v>
      </c>
      <c r="L1253" s="6">
        <v>-2.2976765064236699E-2</v>
      </c>
      <c r="M1253" s="6">
        <v>-2.2976765064236699E-2</v>
      </c>
      <c r="N1253" s="6">
        <v>19.9040219739693</v>
      </c>
      <c r="O1253" s="6">
        <v>19.9040219739693</v>
      </c>
      <c r="P1253" s="6">
        <v>19.9040219739693</v>
      </c>
      <c r="Q1253" s="6">
        <v>0</v>
      </c>
      <c r="R1253" s="6">
        <v>0</v>
      </c>
      <c r="S1253" s="6">
        <v>0</v>
      </c>
      <c r="T1253" s="6">
        <v>177.69030326104101</v>
      </c>
    </row>
    <row r="1254" spans="1:20" ht="13" x14ac:dyDescent="0.15">
      <c r="A1254" s="6">
        <v>1252</v>
      </c>
      <c r="B1254" s="7">
        <v>44978</v>
      </c>
      <c r="C1254" s="6">
        <v>155.98468873514901</v>
      </c>
      <c r="D1254" s="6">
        <v>140.427863735362</v>
      </c>
      <c r="E1254" s="6">
        <v>203.27923901941301</v>
      </c>
      <c r="F1254" s="6">
        <v>155.98468873514901</v>
      </c>
      <c r="G1254" s="6">
        <v>155.98468873514901</v>
      </c>
      <c r="H1254" s="6">
        <v>15.349324462401899</v>
      </c>
      <c r="I1254" s="6">
        <v>15.349324462401899</v>
      </c>
      <c r="J1254" s="6">
        <v>15.349324462401899</v>
      </c>
      <c r="K1254" s="6">
        <v>0.84522403106521404</v>
      </c>
      <c r="L1254" s="6">
        <v>0.84522403106521404</v>
      </c>
      <c r="M1254" s="6">
        <v>0.84522403106521404</v>
      </c>
      <c r="N1254" s="6">
        <v>14.504100431336701</v>
      </c>
      <c r="O1254" s="6">
        <v>14.504100431336701</v>
      </c>
      <c r="P1254" s="6">
        <v>14.504100431336701</v>
      </c>
      <c r="Q1254" s="6">
        <v>0</v>
      </c>
      <c r="R1254" s="6">
        <v>0</v>
      </c>
      <c r="S1254" s="6">
        <v>0</v>
      </c>
      <c r="T1254" s="6">
        <v>171.334013197551</v>
      </c>
    </row>
    <row r="1255" spans="1:20" ht="13" x14ac:dyDescent="0.15">
      <c r="A1255" s="6">
        <v>1253</v>
      </c>
      <c r="B1255" s="7">
        <v>44979</v>
      </c>
      <c r="C1255" s="6">
        <v>155.52854640590201</v>
      </c>
      <c r="D1255" s="6">
        <v>136.42935185895001</v>
      </c>
      <c r="E1255" s="6">
        <v>202.62186021642799</v>
      </c>
      <c r="F1255" s="6">
        <v>155.52854640590201</v>
      </c>
      <c r="G1255" s="6">
        <v>155.52854640590201</v>
      </c>
      <c r="H1255" s="6">
        <v>13.7148711518001</v>
      </c>
      <c r="I1255" s="6">
        <v>13.7148711518001</v>
      </c>
      <c r="J1255" s="6">
        <v>13.7148711518001</v>
      </c>
      <c r="K1255" s="6">
        <v>0.94874688043690103</v>
      </c>
      <c r="L1255" s="6">
        <v>0.94874688043690103</v>
      </c>
      <c r="M1255" s="6">
        <v>0.94874688043690103</v>
      </c>
      <c r="N1255" s="6">
        <v>12.7661242713632</v>
      </c>
      <c r="O1255" s="6">
        <v>12.7661242713632</v>
      </c>
      <c r="P1255" s="6">
        <v>12.7661242713632</v>
      </c>
      <c r="Q1255" s="6">
        <v>0</v>
      </c>
      <c r="R1255" s="6">
        <v>0</v>
      </c>
      <c r="S1255" s="6">
        <v>0</v>
      </c>
      <c r="T1255" s="6">
        <v>169.243417557703</v>
      </c>
    </row>
    <row r="1256" spans="1:20" ht="13" x14ac:dyDescent="0.15">
      <c r="A1256" s="6">
        <v>1254</v>
      </c>
      <c r="B1256" s="7">
        <v>44980</v>
      </c>
      <c r="C1256" s="6">
        <v>155.072404076656</v>
      </c>
      <c r="D1256" s="6">
        <v>134.72874408403899</v>
      </c>
      <c r="E1256" s="6">
        <v>198.75868322665701</v>
      </c>
      <c r="F1256" s="6">
        <v>155.072404076656</v>
      </c>
      <c r="G1256" s="6">
        <v>155.072404076656</v>
      </c>
      <c r="H1256" s="6">
        <v>11.408421726910399</v>
      </c>
      <c r="I1256" s="6">
        <v>11.408421726910399</v>
      </c>
      <c r="J1256" s="6">
        <v>11.408421726910399</v>
      </c>
      <c r="K1256" s="6">
        <v>0.49015521355585001</v>
      </c>
      <c r="L1256" s="6">
        <v>0.49015521355585001</v>
      </c>
      <c r="M1256" s="6">
        <v>0.49015521355585001</v>
      </c>
      <c r="N1256" s="6">
        <v>10.918266513354601</v>
      </c>
      <c r="O1256" s="6">
        <v>10.918266513354601</v>
      </c>
      <c r="P1256" s="6">
        <v>10.918266513354601</v>
      </c>
      <c r="Q1256" s="6">
        <v>0</v>
      </c>
      <c r="R1256" s="6">
        <v>0</v>
      </c>
      <c r="S1256" s="6">
        <v>0</v>
      </c>
      <c r="T1256" s="6">
        <v>166.48082580356601</v>
      </c>
    </row>
    <row r="1257" spans="1:20" ht="13" x14ac:dyDescent="0.15">
      <c r="A1257" s="6">
        <v>1255</v>
      </c>
      <c r="B1257" s="7">
        <v>44981</v>
      </c>
      <c r="C1257" s="6">
        <v>154.616261747409</v>
      </c>
      <c r="D1257" s="6">
        <v>132.22845570097101</v>
      </c>
      <c r="E1257" s="6">
        <v>196.8980451747</v>
      </c>
      <c r="F1257" s="6">
        <v>154.616261747409</v>
      </c>
      <c r="G1257" s="6">
        <v>154.616261747409</v>
      </c>
      <c r="H1257" s="6">
        <v>8.9653467809122809</v>
      </c>
      <c r="I1257" s="6">
        <v>8.9653467809122809</v>
      </c>
      <c r="J1257" s="6">
        <v>8.9653467809122809</v>
      </c>
      <c r="K1257" s="6">
        <v>-2.2976765058177698E-2</v>
      </c>
      <c r="L1257" s="6">
        <v>-2.2976765058177698E-2</v>
      </c>
      <c r="M1257" s="6">
        <v>-2.2976765058177698E-2</v>
      </c>
      <c r="N1257" s="6">
        <v>8.9883235459704593</v>
      </c>
      <c r="O1257" s="6">
        <v>8.9883235459704593</v>
      </c>
      <c r="P1257" s="6">
        <v>8.9883235459704593</v>
      </c>
      <c r="Q1257" s="6">
        <v>0</v>
      </c>
      <c r="R1257" s="6">
        <v>0</v>
      </c>
      <c r="S1257" s="6">
        <v>0</v>
      </c>
      <c r="T1257" s="6">
        <v>163.581608528321</v>
      </c>
    </row>
    <row r="1258" spans="1:20" ht="13" x14ac:dyDescent="0.15">
      <c r="A1258" s="6">
        <v>1256</v>
      </c>
      <c r="B1258" s="7">
        <v>44984</v>
      </c>
      <c r="C1258" s="6">
        <v>153.24783475966899</v>
      </c>
      <c r="D1258" s="6">
        <v>124.27882747428499</v>
      </c>
      <c r="E1258" s="6">
        <v>189.77639442313199</v>
      </c>
      <c r="F1258" s="6">
        <v>153.24783475966899</v>
      </c>
      <c r="G1258" s="6">
        <v>153.24783475966899</v>
      </c>
      <c r="H1258" s="6">
        <v>4.8325032256306697</v>
      </c>
      <c r="I1258" s="6">
        <v>4.8325032256306697</v>
      </c>
      <c r="J1258" s="6">
        <v>4.8325032256306697</v>
      </c>
      <c r="K1258" s="6">
        <v>1.8228906089411701</v>
      </c>
      <c r="L1258" s="6">
        <v>1.8228906089411701</v>
      </c>
      <c r="M1258" s="6">
        <v>1.8228906089411701</v>
      </c>
      <c r="N1258" s="6">
        <v>3.0096126166895001</v>
      </c>
      <c r="O1258" s="6">
        <v>3.0096126166895001</v>
      </c>
      <c r="P1258" s="6">
        <v>3.0096126166895001</v>
      </c>
      <c r="Q1258" s="6">
        <v>0</v>
      </c>
      <c r="R1258" s="6">
        <v>0</v>
      </c>
      <c r="S1258" s="6">
        <v>0</v>
      </c>
      <c r="T1258" s="6">
        <v>158.08033798529999</v>
      </c>
    </row>
    <row r="1259" spans="1:20" ht="13" x14ac:dyDescent="0.15">
      <c r="A1259" s="6">
        <v>1257</v>
      </c>
      <c r="B1259" s="7">
        <v>44985</v>
      </c>
      <c r="C1259" s="6">
        <v>152.79169243042199</v>
      </c>
      <c r="D1259" s="6">
        <v>121.40429422998299</v>
      </c>
      <c r="E1259" s="6">
        <v>187.60311083228001</v>
      </c>
      <c r="F1259" s="6">
        <v>152.79169243042199</v>
      </c>
      <c r="G1259" s="6">
        <v>152.79169243042199</v>
      </c>
      <c r="H1259" s="6">
        <v>1.9038555743585299</v>
      </c>
      <c r="I1259" s="6">
        <v>1.9038555743585299</v>
      </c>
      <c r="J1259" s="6">
        <v>1.9038555743585299</v>
      </c>
      <c r="K1259" s="6">
        <v>0.84522403106914001</v>
      </c>
      <c r="L1259" s="6">
        <v>0.84522403106914001</v>
      </c>
      <c r="M1259" s="6">
        <v>0.84522403106914001</v>
      </c>
      <c r="N1259" s="6">
        <v>1.05863154328939</v>
      </c>
      <c r="O1259" s="6">
        <v>1.05863154328939</v>
      </c>
      <c r="P1259" s="6">
        <v>1.05863154328939</v>
      </c>
      <c r="Q1259" s="6">
        <v>0</v>
      </c>
      <c r="R1259" s="6">
        <v>0</v>
      </c>
      <c r="S1259" s="6">
        <v>0</v>
      </c>
      <c r="T1259" s="6">
        <v>154.69554800478099</v>
      </c>
    </row>
    <row r="1260" spans="1:20" ht="13" x14ac:dyDescent="0.15">
      <c r="A1260" s="6">
        <v>1258</v>
      </c>
      <c r="B1260" s="7">
        <v>44986</v>
      </c>
      <c r="C1260" s="6">
        <v>152.33555010117601</v>
      </c>
      <c r="D1260" s="6">
        <v>119.865499942594</v>
      </c>
      <c r="E1260" s="6">
        <v>180.981858501293</v>
      </c>
      <c r="F1260" s="6">
        <v>152.33555010117601</v>
      </c>
      <c r="G1260" s="6">
        <v>152.33555010117601</v>
      </c>
      <c r="H1260" s="6">
        <v>0.12912477142186801</v>
      </c>
      <c r="I1260" s="6">
        <v>0.12912477142186801</v>
      </c>
      <c r="J1260" s="6">
        <v>0.12912477142186801</v>
      </c>
      <c r="K1260" s="6">
        <v>0.94874688043875</v>
      </c>
      <c r="L1260" s="6">
        <v>0.94874688043875</v>
      </c>
      <c r="M1260" s="6">
        <v>0.94874688043875</v>
      </c>
      <c r="N1260" s="6">
        <v>-0.81962210901688204</v>
      </c>
      <c r="O1260" s="6">
        <v>-0.81962210901688204</v>
      </c>
      <c r="P1260" s="6">
        <v>-0.81962210901688204</v>
      </c>
      <c r="Q1260" s="6">
        <v>0</v>
      </c>
      <c r="R1260" s="6">
        <v>0</v>
      </c>
      <c r="S1260" s="6">
        <v>0</v>
      </c>
      <c r="T1260" s="6">
        <v>152.46467487259699</v>
      </c>
    </row>
    <row r="1261" spans="1:20" ht="13" x14ac:dyDescent="0.15">
      <c r="A1261" s="6">
        <v>1259</v>
      </c>
      <c r="B1261" s="7">
        <v>44987</v>
      </c>
      <c r="C1261" s="6">
        <v>151.87940777192901</v>
      </c>
      <c r="D1261" s="6">
        <v>115.64129153479399</v>
      </c>
      <c r="E1261" s="6">
        <v>181.04496308548201</v>
      </c>
      <c r="F1261" s="6">
        <v>151.87940777192901</v>
      </c>
      <c r="G1261" s="6">
        <v>151.87940777192901</v>
      </c>
      <c r="H1261" s="6">
        <v>-2.1058211516108001</v>
      </c>
      <c r="I1261" s="6">
        <v>-2.1058211516108001</v>
      </c>
      <c r="J1261" s="6">
        <v>-2.1058211516108001</v>
      </c>
      <c r="K1261" s="6">
        <v>0.490155213553012</v>
      </c>
      <c r="L1261" s="6">
        <v>0.490155213553012</v>
      </c>
      <c r="M1261" s="6">
        <v>0.490155213553012</v>
      </c>
      <c r="N1261" s="6">
        <v>-2.5959763651638101</v>
      </c>
      <c r="O1261" s="6">
        <v>-2.5959763651638101</v>
      </c>
      <c r="P1261" s="6">
        <v>-2.5959763651638101</v>
      </c>
      <c r="Q1261" s="6">
        <v>0</v>
      </c>
      <c r="R1261" s="6">
        <v>0</v>
      </c>
      <c r="S1261" s="6">
        <v>0</v>
      </c>
      <c r="T1261" s="6">
        <v>149.77358662031801</v>
      </c>
    </row>
    <row r="1262" spans="1:20" ht="13" x14ac:dyDescent="0.15">
      <c r="A1262" s="6">
        <v>1260</v>
      </c>
      <c r="B1262" s="7">
        <v>44988</v>
      </c>
      <c r="C1262" s="6">
        <v>151.42326544268201</v>
      </c>
      <c r="D1262" s="6">
        <v>118.47409134979701</v>
      </c>
      <c r="E1262" s="6">
        <v>180.696236161272</v>
      </c>
      <c r="F1262" s="6">
        <v>151.42326544268201</v>
      </c>
      <c r="G1262" s="6">
        <v>151.42326544268201</v>
      </c>
      <c r="H1262" s="6">
        <v>-4.2664219923664497</v>
      </c>
      <c r="I1262" s="6">
        <v>-4.2664219923664497</v>
      </c>
      <c r="J1262" s="6">
        <v>-4.2664219923664497</v>
      </c>
      <c r="K1262" s="6">
        <v>-2.29767650607898E-2</v>
      </c>
      <c r="L1262" s="6">
        <v>-2.29767650607898E-2</v>
      </c>
      <c r="M1262" s="6">
        <v>-2.29767650607898E-2</v>
      </c>
      <c r="N1262" s="6">
        <v>-4.24344522730566</v>
      </c>
      <c r="O1262" s="6">
        <v>-4.24344522730566</v>
      </c>
      <c r="P1262" s="6">
        <v>-4.24344522730566</v>
      </c>
      <c r="Q1262" s="6">
        <v>0</v>
      </c>
      <c r="R1262" s="6">
        <v>0</v>
      </c>
      <c r="S1262" s="6">
        <v>0</v>
      </c>
      <c r="T1262" s="6">
        <v>147.15684345031599</v>
      </c>
    </row>
    <row r="1263" spans="1:20" ht="13" x14ac:dyDescent="0.15">
      <c r="A1263" s="6">
        <v>1261</v>
      </c>
      <c r="B1263" s="7">
        <v>44989</v>
      </c>
      <c r="C1263" s="6">
        <v>150.967123113436</v>
      </c>
      <c r="D1263" s="6">
        <v>109.875132964819</v>
      </c>
      <c r="E1263" s="6">
        <v>174.01389135301699</v>
      </c>
      <c r="F1263" s="6">
        <v>150.967123113436</v>
      </c>
      <c r="G1263" s="6">
        <v>150.967123113436</v>
      </c>
      <c r="H1263" s="6">
        <v>-7.7798377382204604</v>
      </c>
      <c r="I1263" s="6">
        <v>-7.7798377382204604</v>
      </c>
      <c r="J1263" s="6">
        <v>-7.7798377382204604</v>
      </c>
      <c r="K1263" s="6">
        <v>-2.04201943110189</v>
      </c>
      <c r="L1263" s="6">
        <v>-2.04201943110189</v>
      </c>
      <c r="M1263" s="6">
        <v>-2.04201943110189</v>
      </c>
      <c r="N1263" s="6">
        <v>-5.7378183071185598</v>
      </c>
      <c r="O1263" s="6">
        <v>-5.7378183071185598</v>
      </c>
      <c r="P1263" s="6">
        <v>-5.7378183071185598</v>
      </c>
      <c r="Q1263" s="6">
        <v>0</v>
      </c>
      <c r="R1263" s="6">
        <v>0</v>
      </c>
      <c r="S1263" s="6">
        <v>0</v>
      </c>
      <c r="T1263" s="6">
        <v>143.187285375215</v>
      </c>
    </row>
    <row r="1264" spans="1:20" ht="13" x14ac:dyDescent="0.15">
      <c r="A1264" s="6">
        <v>1262</v>
      </c>
      <c r="B1264" s="7">
        <v>44990</v>
      </c>
      <c r="C1264" s="6">
        <v>150.510980784189</v>
      </c>
      <c r="D1264" s="6">
        <v>110.42821234228499</v>
      </c>
      <c r="E1264" s="6">
        <v>175.79175850595499</v>
      </c>
      <c r="F1264" s="6">
        <v>150.510980784189</v>
      </c>
      <c r="G1264" s="6">
        <v>150.510980784189</v>
      </c>
      <c r="H1264" s="6">
        <v>-9.1001967260987602</v>
      </c>
      <c r="I1264" s="6">
        <v>-9.1001967260987602</v>
      </c>
      <c r="J1264" s="6">
        <v>-9.1001967260987602</v>
      </c>
      <c r="K1264" s="6">
        <v>-2.0420205378310601</v>
      </c>
      <c r="L1264" s="6">
        <v>-2.0420205378310601</v>
      </c>
      <c r="M1264" s="6">
        <v>-2.0420205378310601</v>
      </c>
      <c r="N1264" s="6">
        <v>-7.0581761882676997</v>
      </c>
      <c r="O1264" s="6">
        <v>-7.0581761882676997</v>
      </c>
      <c r="P1264" s="6">
        <v>-7.0581761882676997</v>
      </c>
      <c r="Q1264" s="6">
        <v>0</v>
      </c>
      <c r="R1264" s="6">
        <v>0</v>
      </c>
      <c r="S1264" s="6">
        <v>0</v>
      </c>
      <c r="T1264" s="6">
        <v>141.41078405809</v>
      </c>
    </row>
    <row r="1265" spans="1:20" ht="13" x14ac:dyDescent="0.15">
      <c r="A1265" s="6">
        <v>1263</v>
      </c>
      <c r="B1265" s="7">
        <v>44991</v>
      </c>
      <c r="C1265" s="6">
        <v>150.054838454942</v>
      </c>
      <c r="D1265" s="6">
        <v>114.261907880195</v>
      </c>
      <c r="E1265" s="6">
        <v>176.78046314397201</v>
      </c>
      <c r="F1265" s="6">
        <v>150.054838454942</v>
      </c>
      <c r="G1265" s="6">
        <v>150.054838454942</v>
      </c>
      <c r="H1265" s="6">
        <v>-6.3644282234102798</v>
      </c>
      <c r="I1265" s="6">
        <v>-6.3644282234102798</v>
      </c>
      <c r="J1265" s="6">
        <v>-6.3644282234102798</v>
      </c>
      <c r="K1265" s="6">
        <v>1.8228906089349499</v>
      </c>
      <c r="L1265" s="6">
        <v>1.8228906089349499</v>
      </c>
      <c r="M1265" s="6">
        <v>1.8228906089349499</v>
      </c>
      <c r="N1265" s="6">
        <v>-8.1873188323452393</v>
      </c>
      <c r="O1265" s="6">
        <v>-8.1873188323452393</v>
      </c>
      <c r="P1265" s="6">
        <v>-8.1873188323452393</v>
      </c>
      <c r="Q1265" s="6">
        <v>0</v>
      </c>
      <c r="R1265" s="6">
        <v>0</v>
      </c>
      <c r="S1265" s="6">
        <v>0</v>
      </c>
      <c r="T1265" s="6">
        <v>143.69041023153201</v>
      </c>
    </row>
    <row r="1266" spans="1:20" ht="13" x14ac:dyDescent="0.15">
      <c r="A1266" s="6">
        <v>1264</v>
      </c>
      <c r="B1266" s="7">
        <v>44992</v>
      </c>
      <c r="C1266" s="6">
        <v>149.59869612569599</v>
      </c>
      <c r="D1266" s="6">
        <v>110.41154423299299</v>
      </c>
      <c r="E1266" s="6">
        <v>171.60935623787699</v>
      </c>
      <c r="F1266" s="6">
        <v>149.59869612569599</v>
      </c>
      <c r="G1266" s="6">
        <v>149.59869612569599</v>
      </c>
      <c r="H1266" s="6">
        <v>-8.2668727907203898</v>
      </c>
      <c r="I1266" s="6">
        <v>-8.2668727907203898</v>
      </c>
      <c r="J1266" s="6">
        <v>-8.2668727907203898</v>
      </c>
      <c r="K1266" s="6">
        <v>0.84522403106768296</v>
      </c>
      <c r="L1266" s="6">
        <v>0.84522403106768296</v>
      </c>
      <c r="M1266" s="6">
        <v>0.84522403106768296</v>
      </c>
      <c r="N1266" s="6">
        <v>-9.1120968217880698</v>
      </c>
      <c r="O1266" s="6">
        <v>-9.1120968217880698</v>
      </c>
      <c r="P1266" s="6">
        <v>-9.1120968217880698</v>
      </c>
      <c r="Q1266" s="6">
        <v>0</v>
      </c>
      <c r="R1266" s="6">
        <v>0</v>
      </c>
      <c r="S1266" s="6">
        <v>0</v>
      </c>
      <c r="T1266" s="6">
        <v>141.33182333497501</v>
      </c>
    </row>
    <row r="1267" spans="1:20" ht="13" x14ac:dyDescent="0.15">
      <c r="A1267" s="6">
        <v>1265</v>
      </c>
      <c r="B1267" s="7">
        <v>44993</v>
      </c>
      <c r="C1267" s="6">
        <v>149.14255379644899</v>
      </c>
      <c r="D1267" s="6">
        <v>107.60680481245601</v>
      </c>
      <c r="E1267" s="6">
        <v>174.80692531358</v>
      </c>
      <c r="F1267" s="6">
        <v>149.14255379644899</v>
      </c>
      <c r="G1267" s="6">
        <v>149.14255379644899</v>
      </c>
      <c r="H1267" s="6">
        <v>-8.8748910958801908</v>
      </c>
      <c r="I1267" s="6">
        <v>-8.8748910958801908</v>
      </c>
      <c r="J1267" s="6">
        <v>-8.8748910958801908</v>
      </c>
      <c r="K1267" s="6">
        <v>0.94874688043524003</v>
      </c>
      <c r="L1267" s="6">
        <v>0.94874688043524003</v>
      </c>
      <c r="M1267" s="6">
        <v>0.94874688043524003</v>
      </c>
      <c r="N1267" s="6">
        <v>-9.82363797631543</v>
      </c>
      <c r="O1267" s="6">
        <v>-9.82363797631543</v>
      </c>
      <c r="P1267" s="6">
        <v>-9.82363797631543</v>
      </c>
      <c r="Q1267" s="6">
        <v>0</v>
      </c>
      <c r="R1267" s="6">
        <v>0</v>
      </c>
      <c r="S1267" s="6">
        <v>0</v>
      </c>
      <c r="T1267" s="6">
        <v>140.26766270056899</v>
      </c>
    </row>
    <row r="1268" spans="1:20" ht="13" x14ac:dyDescent="0.15">
      <c r="A1268" s="6">
        <v>1266</v>
      </c>
      <c r="B1268" s="7">
        <v>44994</v>
      </c>
      <c r="C1268" s="6">
        <v>148.68641146720199</v>
      </c>
      <c r="D1268" s="6">
        <v>106.225291820587</v>
      </c>
      <c r="E1268" s="6">
        <v>171.55750343974199</v>
      </c>
      <c r="F1268" s="6">
        <v>148.68641146720199</v>
      </c>
      <c r="G1268" s="6">
        <v>148.68641146720199</v>
      </c>
      <c r="H1268" s="6">
        <v>-9.8273095915263795</v>
      </c>
      <c r="I1268" s="6">
        <v>-9.8273095915263795</v>
      </c>
      <c r="J1268" s="6">
        <v>-9.8273095915263795</v>
      </c>
      <c r="K1268" s="6">
        <v>0.49015521355820801</v>
      </c>
      <c r="L1268" s="6">
        <v>0.49015521355820801</v>
      </c>
      <c r="M1268" s="6">
        <v>0.49015521355820801</v>
      </c>
      <c r="N1268" s="6">
        <v>-10.3174648050845</v>
      </c>
      <c r="O1268" s="6">
        <v>-10.3174648050845</v>
      </c>
      <c r="P1268" s="6">
        <v>-10.3174648050845</v>
      </c>
      <c r="Q1268" s="6">
        <v>0</v>
      </c>
      <c r="R1268" s="6">
        <v>0</v>
      </c>
      <c r="S1268" s="6">
        <v>0</v>
      </c>
      <c r="T1268" s="6">
        <v>138.859101875676</v>
      </c>
    </row>
    <row r="1269" spans="1:20" ht="13" x14ac:dyDescent="0.15">
      <c r="A1269" s="6">
        <v>1267</v>
      </c>
      <c r="B1269" s="7">
        <v>44995</v>
      </c>
      <c r="C1269" s="6">
        <v>148.23026913795599</v>
      </c>
      <c r="D1269" s="6">
        <v>105.766842763219</v>
      </c>
      <c r="E1269" s="6">
        <v>170.37359320674699</v>
      </c>
      <c r="F1269" s="6">
        <v>148.23026913795599</v>
      </c>
      <c r="G1269" s="6">
        <v>148.23026913795599</v>
      </c>
      <c r="H1269" s="6">
        <v>-10.6164780466466</v>
      </c>
      <c r="I1269" s="6">
        <v>-10.6164780466466</v>
      </c>
      <c r="J1269" s="6">
        <v>-10.6164780466466</v>
      </c>
      <c r="K1269" s="6">
        <v>-2.2976765063401901E-2</v>
      </c>
      <c r="L1269" s="6">
        <v>-2.2976765063401901E-2</v>
      </c>
      <c r="M1269" s="6">
        <v>-2.2976765063401901E-2</v>
      </c>
      <c r="N1269" s="6">
        <v>-10.593501281583199</v>
      </c>
      <c r="O1269" s="6">
        <v>-10.593501281583199</v>
      </c>
      <c r="P1269" s="6">
        <v>-10.593501281583199</v>
      </c>
      <c r="Q1269" s="6">
        <v>0</v>
      </c>
      <c r="R1269" s="6">
        <v>0</v>
      </c>
      <c r="S1269" s="6">
        <v>0</v>
      </c>
      <c r="T1269" s="6">
        <v>137.613791091309</v>
      </c>
    </row>
    <row r="1270" spans="1:20" ht="13" x14ac:dyDescent="0.15">
      <c r="A1270" s="6">
        <v>1268</v>
      </c>
      <c r="B1270" s="7">
        <v>44996</v>
      </c>
      <c r="C1270" s="6">
        <v>147.77412680870901</v>
      </c>
      <c r="D1270" s="6">
        <v>103.477165004547</v>
      </c>
      <c r="E1270" s="6">
        <v>167.77673030544901</v>
      </c>
      <c r="F1270" s="6">
        <v>147.77412680870901</v>
      </c>
      <c r="G1270" s="6">
        <v>147.77412680870901</v>
      </c>
      <c r="H1270" s="6">
        <v>-12.6979898965108</v>
      </c>
      <c r="I1270" s="6">
        <v>-12.6979898965108</v>
      </c>
      <c r="J1270" s="6">
        <v>-12.6979898965108</v>
      </c>
      <c r="K1270" s="6">
        <v>-2.0420194310964699</v>
      </c>
      <c r="L1270" s="6">
        <v>-2.0420194310964699</v>
      </c>
      <c r="M1270" s="6">
        <v>-2.0420194310964699</v>
      </c>
      <c r="N1270" s="6">
        <v>-10.655970465414301</v>
      </c>
      <c r="O1270" s="6">
        <v>-10.655970465414301</v>
      </c>
      <c r="P1270" s="6">
        <v>-10.655970465414301</v>
      </c>
      <c r="Q1270" s="6">
        <v>0</v>
      </c>
      <c r="R1270" s="6">
        <v>0</v>
      </c>
      <c r="S1270" s="6">
        <v>0</v>
      </c>
      <c r="T1270" s="6">
        <v>135.076136912198</v>
      </c>
    </row>
    <row r="1271" spans="1:20" ht="13" x14ac:dyDescent="0.15">
      <c r="A1271" s="6">
        <v>1269</v>
      </c>
      <c r="B1271" s="7">
        <v>44997</v>
      </c>
      <c r="C1271" s="6">
        <v>147.31798447946201</v>
      </c>
      <c r="D1271" s="6">
        <v>101.93479587137</v>
      </c>
      <c r="E1271" s="6">
        <v>165.31036856141</v>
      </c>
      <c r="F1271" s="6">
        <v>147.31798447946201</v>
      </c>
      <c r="G1271" s="6">
        <v>147.31798447946201</v>
      </c>
      <c r="H1271" s="6">
        <v>-12.5552079965495</v>
      </c>
      <c r="I1271" s="6">
        <v>-12.5552079965495</v>
      </c>
      <c r="J1271" s="6">
        <v>-12.5552079965495</v>
      </c>
      <c r="K1271" s="6">
        <v>-2.0420205378268301</v>
      </c>
      <c r="L1271" s="6">
        <v>-2.0420205378268301</v>
      </c>
      <c r="M1271" s="6">
        <v>-2.0420205378268301</v>
      </c>
      <c r="N1271" s="6">
        <v>-10.513187458722699</v>
      </c>
      <c r="O1271" s="6">
        <v>-10.513187458722699</v>
      </c>
      <c r="P1271" s="6">
        <v>-10.513187458722699</v>
      </c>
      <c r="Q1271" s="6">
        <v>0</v>
      </c>
      <c r="R1271" s="6">
        <v>0</v>
      </c>
      <c r="S1271" s="6">
        <v>0</v>
      </c>
      <c r="T1271" s="6">
        <v>134.76277648291301</v>
      </c>
    </row>
    <row r="1272" spans="1:20" ht="13" x14ac:dyDescent="0.15">
      <c r="A1272" s="6">
        <v>1270</v>
      </c>
      <c r="B1272" s="7">
        <v>44998</v>
      </c>
      <c r="C1272" s="6">
        <v>146.86184215021601</v>
      </c>
      <c r="D1272" s="6">
        <v>107.55234608939099</v>
      </c>
      <c r="E1272" s="6">
        <v>171.75676953223899</v>
      </c>
      <c r="F1272" s="6">
        <v>146.86184215021601</v>
      </c>
      <c r="G1272" s="6">
        <v>146.86184215021601</v>
      </c>
      <c r="H1272" s="6">
        <v>-8.3543643825954792</v>
      </c>
      <c r="I1272" s="6">
        <v>-8.3543643825954792</v>
      </c>
      <c r="J1272" s="6">
        <v>-8.3543643825954792</v>
      </c>
      <c r="K1272" s="6">
        <v>1.8228906089366701</v>
      </c>
      <c r="L1272" s="6">
        <v>1.8228906089366701</v>
      </c>
      <c r="M1272" s="6">
        <v>1.8228906089366701</v>
      </c>
      <c r="N1272" s="6">
        <v>-10.1772549915321</v>
      </c>
      <c r="O1272" s="6">
        <v>-10.1772549915321</v>
      </c>
      <c r="P1272" s="6">
        <v>-10.1772549915321</v>
      </c>
      <c r="Q1272" s="6">
        <v>0</v>
      </c>
      <c r="R1272" s="6">
        <v>0</v>
      </c>
      <c r="S1272" s="6">
        <v>0</v>
      </c>
      <c r="T1272" s="6">
        <v>138.50747776762</v>
      </c>
    </row>
    <row r="1273" spans="1:20" ht="13" x14ac:dyDescent="0.15">
      <c r="A1273" s="6">
        <v>1271</v>
      </c>
      <c r="B1273" s="7">
        <v>44999</v>
      </c>
      <c r="C1273" s="6">
        <v>146.40569982096901</v>
      </c>
      <c r="D1273" s="6">
        <v>106.488410862192</v>
      </c>
      <c r="E1273" s="6">
        <v>172.61500639162</v>
      </c>
      <c r="F1273" s="6">
        <v>146.40569982096901</v>
      </c>
      <c r="G1273" s="6">
        <v>146.40569982096901</v>
      </c>
      <c r="H1273" s="6">
        <v>-8.8184474702864595</v>
      </c>
      <c r="I1273" s="6">
        <v>-8.8184474702864595</v>
      </c>
      <c r="J1273" s="6">
        <v>-8.8184474702864595</v>
      </c>
      <c r="K1273" s="6">
        <v>0.84522403106703803</v>
      </c>
      <c r="L1273" s="6">
        <v>0.84522403106703803</v>
      </c>
      <c r="M1273" s="6">
        <v>0.84522403106703803</v>
      </c>
      <c r="N1273" s="6">
        <v>-9.6636715013534893</v>
      </c>
      <c r="O1273" s="6">
        <v>-9.6636715013534893</v>
      </c>
      <c r="P1273" s="6">
        <v>-9.6636715013534893</v>
      </c>
      <c r="Q1273" s="6">
        <v>0</v>
      </c>
      <c r="R1273" s="6">
        <v>0</v>
      </c>
      <c r="S1273" s="6">
        <v>0</v>
      </c>
      <c r="T1273" s="6">
        <v>137.58725235068201</v>
      </c>
    </row>
    <row r="1274" spans="1:20" ht="13" x14ac:dyDescent="0.15">
      <c r="A1274" s="6">
        <v>1272</v>
      </c>
      <c r="B1274" s="7">
        <v>45000</v>
      </c>
      <c r="C1274" s="6">
        <v>145.949557491722</v>
      </c>
      <c r="D1274" s="6">
        <v>103.890599354934</v>
      </c>
      <c r="E1274" s="6">
        <v>168.30910574250899</v>
      </c>
      <c r="F1274" s="6">
        <v>145.949557491722</v>
      </c>
      <c r="G1274" s="6">
        <v>145.949557491722</v>
      </c>
      <c r="H1274" s="6">
        <v>-8.0421169568625395</v>
      </c>
      <c r="I1274" s="6">
        <v>-8.0421169568625395</v>
      </c>
      <c r="J1274" s="6">
        <v>-8.0421169568625395</v>
      </c>
      <c r="K1274" s="6">
        <v>0.94874688043708999</v>
      </c>
      <c r="L1274" s="6">
        <v>0.94874688043708999</v>
      </c>
      <c r="M1274" s="6">
        <v>0.94874688043708999</v>
      </c>
      <c r="N1274" s="6">
        <v>-8.9908638372996297</v>
      </c>
      <c r="O1274" s="6">
        <v>-8.9908638372996297</v>
      </c>
      <c r="P1274" s="6">
        <v>-8.9908638372996297</v>
      </c>
      <c r="Q1274" s="6">
        <v>0</v>
      </c>
      <c r="R1274" s="6">
        <v>0</v>
      </c>
      <c r="S1274" s="6">
        <v>0</v>
      </c>
      <c r="T1274" s="6">
        <v>137.90744053485901</v>
      </c>
    </row>
    <row r="1275" spans="1:20" ht="13" x14ac:dyDescent="0.15">
      <c r="A1275" s="6">
        <v>1273</v>
      </c>
      <c r="B1275" s="7">
        <v>45001</v>
      </c>
      <c r="C1275" s="6">
        <v>145.493415162476</v>
      </c>
      <c r="D1275" s="6">
        <v>104.252539845299</v>
      </c>
      <c r="E1275" s="6">
        <v>168.68110252825599</v>
      </c>
      <c r="F1275" s="6">
        <v>145.49332404243199</v>
      </c>
      <c r="G1275" s="6">
        <v>145.493494499934</v>
      </c>
      <c r="H1275" s="6">
        <v>-7.6895034020568298</v>
      </c>
      <c r="I1275" s="6">
        <v>-7.6895034020568298</v>
      </c>
      <c r="J1275" s="6">
        <v>-7.6895034020568298</v>
      </c>
      <c r="K1275" s="6">
        <v>0.49015521355537101</v>
      </c>
      <c r="L1275" s="6">
        <v>0.49015521355537101</v>
      </c>
      <c r="M1275" s="6">
        <v>0.49015521355537101</v>
      </c>
      <c r="N1275" s="6">
        <v>-8.1796586156121993</v>
      </c>
      <c r="O1275" s="6">
        <v>-8.1796586156121993</v>
      </c>
      <c r="P1275" s="6">
        <v>-8.1796586156121993</v>
      </c>
      <c r="Q1275" s="6">
        <v>0</v>
      </c>
      <c r="R1275" s="6">
        <v>0</v>
      </c>
      <c r="S1275" s="6">
        <v>0</v>
      </c>
      <c r="T1275" s="6">
        <v>137.803911760419</v>
      </c>
    </row>
    <row r="1276" spans="1:20" ht="13" x14ac:dyDescent="0.15">
      <c r="A1276" s="6">
        <v>1274</v>
      </c>
      <c r="B1276" s="7">
        <v>45002</v>
      </c>
      <c r="C1276" s="6">
        <v>145.037272833229</v>
      </c>
      <c r="D1276" s="6">
        <v>102.011127604354</v>
      </c>
      <c r="E1276" s="6">
        <v>168.699529528098</v>
      </c>
      <c r="F1276" s="6">
        <v>145.018808048279</v>
      </c>
      <c r="G1276" s="6">
        <v>145.062625196157</v>
      </c>
      <c r="H1276" s="6">
        <v>-7.2756844968278402</v>
      </c>
      <c r="I1276" s="6">
        <v>-7.2756844968278402</v>
      </c>
      <c r="J1276" s="6">
        <v>-7.2756844968278402</v>
      </c>
      <c r="K1276" s="6">
        <v>-2.29767650660141E-2</v>
      </c>
      <c r="L1276" s="6">
        <v>-2.29767650660141E-2</v>
      </c>
      <c r="M1276" s="6">
        <v>-2.29767650660141E-2</v>
      </c>
      <c r="N1276" s="6">
        <v>-7.2527077317618298</v>
      </c>
      <c r="O1276" s="6">
        <v>-7.2527077317618298</v>
      </c>
      <c r="P1276" s="6">
        <v>-7.2527077317618298</v>
      </c>
      <c r="Q1276" s="6">
        <v>0</v>
      </c>
      <c r="R1276" s="6">
        <v>0</v>
      </c>
      <c r="S1276" s="6">
        <v>0</v>
      </c>
      <c r="T1276" s="6">
        <v>137.76158833640099</v>
      </c>
    </row>
    <row r="1277" spans="1:20" ht="13" x14ac:dyDescent="0.15">
      <c r="A1277" s="6">
        <v>1275</v>
      </c>
      <c r="B1277" s="7">
        <v>45003</v>
      </c>
      <c r="C1277" s="6">
        <v>144.581130503982</v>
      </c>
      <c r="D1277" s="6">
        <v>103.360261978184</v>
      </c>
      <c r="E1277" s="6">
        <v>168.97508209115699</v>
      </c>
      <c r="F1277" s="6">
        <v>144.54274966307901</v>
      </c>
      <c r="G1277" s="6">
        <v>144.62070699664301</v>
      </c>
      <c r="H1277" s="6">
        <v>-8.2759039867906701</v>
      </c>
      <c r="I1277" s="6">
        <v>-8.2759039867906701</v>
      </c>
      <c r="J1277" s="6">
        <v>-8.2759039867906701</v>
      </c>
      <c r="K1277" s="6">
        <v>-2.0420194311006998</v>
      </c>
      <c r="L1277" s="6">
        <v>-2.0420194311006998</v>
      </c>
      <c r="M1277" s="6">
        <v>-2.0420194311006998</v>
      </c>
      <c r="N1277" s="6">
        <v>-6.2338845556899702</v>
      </c>
      <c r="O1277" s="6">
        <v>-6.2338845556899702</v>
      </c>
      <c r="P1277" s="6">
        <v>-6.2338845556899702</v>
      </c>
      <c r="Q1277" s="6">
        <v>0</v>
      </c>
      <c r="R1277" s="6">
        <v>0</v>
      </c>
      <c r="S1277" s="6">
        <v>0</v>
      </c>
      <c r="T1277" s="6">
        <v>136.30522651719099</v>
      </c>
    </row>
    <row r="1278" spans="1:20" ht="13" x14ac:dyDescent="0.15">
      <c r="A1278" s="6">
        <v>1276</v>
      </c>
      <c r="B1278" s="7">
        <v>45004</v>
      </c>
      <c r="C1278" s="6">
        <v>144.12498817473599</v>
      </c>
      <c r="D1278" s="6">
        <v>109.01550816493</v>
      </c>
      <c r="E1278" s="6">
        <v>169.93480499946099</v>
      </c>
      <c r="F1278" s="6">
        <v>144.044799282062</v>
      </c>
      <c r="G1278" s="6">
        <v>144.18726352414899</v>
      </c>
      <c r="H1278" s="6">
        <v>-7.1896884146379199</v>
      </c>
      <c r="I1278" s="6">
        <v>-7.1896884146379199</v>
      </c>
      <c r="J1278" s="6">
        <v>-7.1896884146379199</v>
      </c>
      <c r="K1278" s="6">
        <v>-2.04202053782861</v>
      </c>
      <c r="L1278" s="6">
        <v>-2.04202053782861</v>
      </c>
      <c r="M1278" s="6">
        <v>-2.04202053782861</v>
      </c>
      <c r="N1278" s="6">
        <v>-5.1476678768093</v>
      </c>
      <c r="O1278" s="6">
        <v>-5.1476678768093</v>
      </c>
      <c r="P1278" s="6">
        <v>-5.1476678768093</v>
      </c>
      <c r="Q1278" s="6">
        <v>0</v>
      </c>
      <c r="R1278" s="6">
        <v>0</v>
      </c>
      <c r="S1278" s="6">
        <v>0</v>
      </c>
      <c r="T1278" s="6">
        <v>136.93529976009799</v>
      </c>
    </row>
    <row r="1279" spans="1:20" ht="13" x14ac:dyDescent="0.15">
      <c r="A1279" s="6">
        <v>1277</v>
      </c>
      <c r="B1279" s="7">
        <v>45005</v>
      </c>
      <c r="C1279" s="6">
        <v>143.66884584548899</v>
      </c>
      <c r="D1279" s="6">
        <v>106.218926755647</v>
      </c>
      <c r="E1279" s="6">
        <v>175.50208325350599</v>
      </c>
      <c r="F1279" s="6">
        <v>143.564507852106</v>
      </c>
      <c r="G1279" s="6">
        <v>143.748759644323</v>
      </c>
      <c r="H1279" s="6">
        <v>-2.1956401044005802</v>
      </c>
      <c r="I1279" s="6">
        <v>-2.1956401044005802</v>
      </c>
      <c r="J1279" s="6">
        <v>-2.1956401044005802</v>
      </c>
      <c r="K1279" s="6">
        <v>1.8228906089396</v>
      </c>
      <c r="L1279" s="6">
        <v>1.8228906089396</v>
      </c>
      <c r="M1279" s="6">
        <v>1.8228906089396</v>
      </c>
      <c r="N1279" s="6">
        <v>-4.0185307133401897</v>
      </c>
      <c r="O1279" s="6">
        <v>-4.0185307133401897</v>
      </c>
      <c r="P1279" s="6">
        <v>-4.0185307133401897</v>
      </c>
      <c r="Q1279" s="6">
        <v>0</v>
      </c>
      <c r="R1279" s="6">
        <v>0</v>
      </c>
      <c r="S1279" s="6">
        <v>0</v>
      </c>
      <c r="T1279" s="6">
        <v>141.47320574108801</v>
      </c>
    </row>
    <row r="1280" spans="1:20" ht="13" x14ac:dyDescent="0.15">
      <c r="A1280" s="6">
        <v>1278</v>
      </c>
      <c r="B1280" s="7">
        <v>45006</v>
      </c>
      <c r="C1280" s="6">
        <v>143.21270351624199</v>
      </c>
      <c r="D1280" s="6">
        <v>108.674216300816</v>
      </c>
      <c r="E1280" s="6">
        <v>173.083552815704</v>
      </c>
      <c r="F1280" s="6">
        <v>143.08080979914499</v>
      </c>
      <c r="G1280" s="6">
        <v>143.31831568535699</v>
      </c>
      <c r="H1280" s="6">
        <v>-2.0251266291270098</v>
      </c>
      <c r="I1280" s="6">
        <v>-2.0251266291270098</v>
      </c>
      <c r="J1280" s="6">
        <v>-2.0251266291270098</v>
      </c>
      <c r="K1280" s="6">
        <v>0.84522403106639299</v>
      </c>
      <c r="L1280" s="6">
        <v>0.84522403106639299</v>
      </c>
      <c r="M1280" s="6">
        <v>0.84522403106639299</v>
      </c>
      <c r="N1280" s="6">
        <v>-2.8703506601934001</v>
      </c>
      <c r="O1280" s="6">
        <v>-2.8703506601934001</v>
      </c>
      <c r="P1280" s="6">
        <v>-2.8703506601934001</v>
      </c>
      <c r="Q1280" s="6">
        <v>0</v>
      </c>
      <c r="R1280" s="6">
        <v>0</v>
      </c>
      <c r="S1280" s="6">
        <v>0</v>
      </c>
      <c r="T1280" s="6">
        <v>141.187576887115</v>
      </c>
    </row>
    <row r="1281" spans="1:20" ht="13" x14ac:dyDescent="0.15">
      <c r="A1281" s="6">
        <v>1279</v>
      </c>
      <c r="B1281" s="7">
        <v>45007</v>
      </c>
      <c r="C1281" s="6">
        <v>142.75656118699499</v>
      </c>
      <c r="D1281" s="6">
        <v>109.230325302688</v>
      </c>
      <c r="E1281" s="6">
        <v>172.99184429765899</v>
      </c>
      <c r="F1281" s="6">
        <v>142.58627202162899</v>
      </c>
      <c r="G1281" s="6">
        <v>142.877947954994</v>
      </c>
      <c r="H1281" s="6">
        <v>-0.77711065846670502</v>
      </c>
      <c r="I1281" s="6">
        <v>-0.77711065846670502</v>
      </c>
      <c r="J1281" s="6">
        <v>-0.77711065846670502</v>
      </c>
      <c r="K1281" s="6">
        <v>0.94874688043747302</v>
      </c>
      <c r="L1281" s="6">
        <v>0.94874688043747302</v>
      </c>
      <c r="M1281" s="6">
        <v>0.94874688043747302</v>
      </c>
      <c r="N1281" s="6">
        <v>-1.7258575389041699</v>
      </c>
      <c r="O1281" s="6">
        <v>-1.7258575389041699</v>
      </c>
      <c r="P1281" s="6">
        <v>-1.7258575389041699</v>
      </c>
      <c r="Q1281" s="6">
        <v>0</v>
      </c>
      <c r="R1281" s="6">
        <v>0</v>
      </c>
      <c r="S1281" s="6">
        <v>0</v>
      </c>
      <c r="T1281" s="6">
        <v>141.97945052852899</v>
      </c>
    </row>
    <row r="1282" spans="1:20" ht="13" x14ac:dyDescent="0.15">
      <c r="A1282" s="6">
        <v>1280</v>
      </c>
      <c r="B1282" s="7">
        <v>45008</v>
      </c>
      <c r="C1282" s="6">
        <v>142.30041885774901</v>
      </c>
      <c r="D1282" s="6">
        <v>110.08675227433</v>
      </c>
      <c r="E1282" s="6">
        <v>174.23148050903399</v>
      </c>
      <c r="F1282" s="6">
        <v>142.085668067791</v>
      </c>
      <c r="G1282" s="6">
        <v>142.44299252808199</v>
      </c>
      <c r="H1282" s="6">
        <v>-0.11597754929192899</v>
      </c>
      <c r="I1282" s="6">
        <v>-0.11597754929192899</v>
      </c>
      <c r="J1282" s="6">
        <v>-0.11597754929192899</v>
      </c>
      <c r="K1282" s="6">
        <v>0.490155213552533</v>
      </c>
      <c r="L1282" s="6">
        <v>0.490155213552533</v>
      </c>
      <c r="M1282" s="6">
        <v>0.490155213552533</v>
      </c>
      <c r="N1282" s="6">
        <v>-0.60613276284446305</v>
      </c>
      <c r="O1282" s="6">
        <v>-0.60613276284446305</v>
      </c>
      <c r="P1282" s="6">
        <v>-0.60613276284446305</v>
      </c>
      <c r="Q1282" s="6">
        <v>0</v>
      </c>
      <c r="R1282" s="6">
        <v>0</v>
      </c>
      <c r="S1282" s="6">
        <v>0</v>
      </c>
      <c r="T1282" s="6">
        <v>142.184441308457</v>
      </c>
    </row>
    <row r="1283" spans="1:20" ht="13" x14ac:dyDescent="0.15">
      <c r="A1283" s="6">
        <v>1281</v>
      </c>
      <c r="B1283" s="7">
        <v>45009</v>
      </c>
      <c r="C1283" s="6">
        <v>141.84427652850201</v>
      </c>
      <c r="D1283" s="6">
        <v>111.108457575811</v>
      </c>
      <c r="E1283" s="6">
        <v>176.05082945959899</v>
      </c>
      <c r="F1283" s="6">
        <v>141.58913722943601</v>
      </c>
      <c r="G1283" s="6">
        <v>142.00741331043</v>
      </c>
      <c r="H1283" s="6">
        <v>0.44685014946166401</v>
      </c>
      <c r="I1283" s="6">
        <v>0.44685014946166401</v>
      </c>
      <c r="J1283" s="6">
        <v>0.44685014946166401</v>
      </c>
      <c r="K1283" s="6">
        <v>-2.2976765064067602E-2</v>
      </c>
      <c r="L1283" s="6">
        <v>-2.2976765064067602E-2</v>
      </c>
      <c r="M1283" s="6">
        <v>-2.2976765064067602E-2</v>
      </c>
      <c r="N1283" s="6">
        <v>0.469826914525732</v>
      </c>
      <c r="O1283" s="6">
        <v>0.469826914525732</v>
      </c>
      <c r="P1283" s="6">
        <v>0.469826914525732</v>
      </c>
      <c r="Q1283" s="6">
        <v>0</v>
      </c>
      <c r="R1283" s="6">
        <v>0</v>
      </c>
      <c r="S1283" s="6">
        <v>0</v>
      </c>
      <c r="T1283" s="6">
        <v>142.291126677964</v>
      </c>
    </row>
    <row r="1284" spans="1:20" ht="13" x14ac:dyDescent="0.15">
      <c r="A1284" s="6">
        <v>1282</v>
      </c>
      <c r="B1284" s="7">
        <v>45010</v>
      </c>
      <c r="C1284" s="6">
        <v>141.38813419925501</v>
      </c>
      <c r="D1284" s="6">
        <v>109.14332746489301</v>
      </c>
      <c r="E1284" s="6">
        <v>171.41171077112699</v>
      </c>
      <c r="F1284" s="6">
        <v>141.075614940371</v>
      </c>
      <c r="G1284" s="6">
        <v>141.569629907771</v>
      </c>
      <c r="H1284" s="6">
        <v>-0.55654874418685796</v>
      </c>
      <c r="I1284" s="6">
        <v>-0.55654874418685796</v>
      </c>
      <c r="J1284" s="6">
        <v>-0.55654874418685796</v>
      </c>
      <c r="K1284" s="6">
        <v>-2.0420194311007398</v>
      </c>
      <c r="L1284" s="6">
        <v>-2.0420194311007398</v>
      </c>
      <c r="M1284" s="6">
        <v>-2.0420194311007398</v>
      </c>
      <c r="N1284" s="6">
        <v>1.4854706869138801</v>
      </c>
      <c r="O1284" s="6">
        <v>1.4854706869138801</v>
      </c>
      <c r="P1284" s="6">
        <v>1.4854706869138801</v>
      </c>
      <c r="Q1284" s="6">
        <v>0</v>
      </c>
      <c r="R1284" s="6">
        <v>0</v>
      </c>
      <c r="S1284" s="6">
        <v>0</v>
      </c>
      <c r="T1284" s="6">
        <v>140.83158545506899</v>
      </c>
    </row>
    <row r="1285" spans="1:20" ht="13" x14ac:dyDescent="0.15">
      <c r="A1285" s="6">
        <v>1283</v>
      </c>
      <c r="B1285" s="7">
        <v>45011</v>
      </c>
      <c r="C1285" s="6">
        <v>140.931991870009</v>
      </c>
      <c r="D1285" s="6">
        <v>108.36738015975899</v>
      </c>
      <c r="E1285" s="6">
        <v>172.05868203188101</v>
      </c>
      <c r="F1285" s="6">
        <v>140.57719893733901</v>
      </c>
      <c r="G1285" s="6">
        <v>141.14449113172</v>
      </c>
      <c r="H1285" s="6">
        <v>0.38495126126123702</v>
      </c>
      <c r="I1285" s="6">
        <v>0.38495126126123702</v>
      </c>
      <c r="J1285" s="6">
        <v>0.38495126126123702</v>
      </c>
      <c r="K1285" s="6">
        <v>-2.0420205378243801</v>
      </c>
      <c r="L1285" s="6">
        <v>-2.0420205378243801</v>
      </c>
      <c r="M1285" s="6">
        <v>-2.0420205378243801</v>
      </c>
      <c r="N1285" s="6">
        <v>2.4269717990856101</v>
      </c>
      <c r="O1285" s="6">
        <v>2.4269717990856101</v>
      </c>
      <c r="P1285" s="6">
        <v>2.4269717990856101</v>
      </c>
      <c r="Q1285" s="6">
        <v>0</v>
      </c>
      <c r="R1285" s="6">
        <v>0</v>
      </c>
      <c r="S1285" s="6">
        <v>0</v>
      </c>
      <c r="T1285" s="6">
        <v>141.31694313126999</v>
      </c>
    </row>
    <row r="1286" spans="1:20" ht="13" x14ac:dyDescent="0.15">
      <c r="A1286" s="6">
        <v>1284</v>
      </c>
      <c r="B1286" s="7">
        <v>45012</v>
      </c>
      <c r="C1286" s="6">
        <v>140.475849540762</v>
      </c>
      <c r="D1286" s="6">
        <v>111.197614096641</v>
      </c>
      <c r="E1286" s="6">
        <v>177.6521080469</v>
      </c>
      <c r="F1286" s="6">
        <v>140.062696369837</v>
      </c>
      <c r="G1286" s="6">
        <v>140.71764705029199</v>
      </c>
      <c r="H1286" s="6">
        <v>5.1063074247340996</v>
      </c>
      <c r="I1286" s="6">
        <v>5.1063074247340996</v>
      </c>
      <c r="J1286" s="6">
        <v>5.1063074247340996</v>
      </c>
      <c r="K1286" s="6">
        <v>1.8228906089321799</v>
      </c>
      <c r="L1286" s="6">
        <v>1.8228906089321799</v>
      </c>
      <c r="M1286" s="6">
        <v>1.8228906089321799</v>
      </c>
      <c r="N1286" s="6">
        <v>3.2834168158019201</v>
      </c>
      <c r="O1286" s="6">
        <v>3.2834168158019201</v>
      </c>
      <c r="P1286" s="6">
        <v>3.2834168158019201</v>
      </c>
      <c r="Q1286" s="6">
        <v>0</v>
      </c>
      <c r="R1286" s="6">
        <v>0</v>
      </c>
      <c r="S1286" s="6">
        <v>0</v>
      </c>
      <c r="T1286" s="6">
        <v>145.58215696549601</v>
      </c>
    </row>
    <row r="1287" spans="1:20" ht="13" x14ac:dyDescent="0.15">
      <c r="A1287" s="6">
        <v>1285</v>
      </c>
      <c r="B1287" s="7">
        <v>45013</v>
      </c>
      <c r="C1287" s="6">
        <v>140.019707211515</v>
      </c>
      <c r="D1287" s="6">
        <v>111.14127625702901</v>
      </c>
      <c r="E1287" s="6">
        <v>174.956407295742</v>
      </c>
      <c r="F1287" s="6">
        <v>139.56393595121199</v>
      </c>
      <c r="G1287" s="6">
        <v>140.27542219989499</v>
      </c>
      <c r="H1287" s="6">
        <v>4.8921271299982401</v>
      </c>
      <c r="I1287" s="6">
        <v>4.8921271299982401</v>
      </c>
      <c r="J1287" s="6">
        <v>4.8921271299982401</v>
      </c>
      <c r="K1287" s="6">
        <v>0.84522403106574795</v>
      </c>
      <c r="L1287" s="6">
        <v>0.84522403106574795</v>
      </c>
      <c r="M1287" s="6">
        <v>0.84522403106574795</v>
      </c>
      <c r="N1287" s="6">
        <v>4.0469030989324999</v>
      </c>
      <c r="O1287" s="6">
        <v>4.0469030989324999</v>
      </c>
      <c r="P1287" s="6">
        <v>4.0469030989324999</v>
      </c>
      <c r="Q1287" s="6">
        <v>0</v>
      </c>
      <c r="R1287" s="6">
        <v>0</v>
      </c>
      <c r="S1287" s="6">
        <v>0</v>
      </c>
      <c r="T1287" s="6">
        <v>144.91183434151401</v>
      </c>
    </row>
    <row r="1288" spans="1:20" ht="13" x14ac:dyDescent="0.15">
      <c r="A1288" s="6">
        <v>1286</v>
      </c>
      <c r="B1288" s="7">
        <v>45014</v>
      </c>
      <c r="C1288" s="6">
        <v>139.56356488226899</v>
      </c>
      <c r="D1288" s="6">
        <v>111.551294604492</v>
      </c>
      <c r="E1288" s="6">
        <v>177.19119276303201</v>
      </c>
      <c r="F1288" s="6">
        <v>139.02521321265499</v>
      </c>
      <c r="G1288" s="6">
        <v>139.87582637166801</v>
      </c>
      <c r="H1288" s="6">
        <v>5.6612911583514602</v>
      </c>
      <c r="I1288" s="6">
        <v>5.6612911583514602</v>
      </c>
      <c r="J1288" s="6">
        <v>5.6612911583514602</v>
      </c>
      <c r="K1288" s="6">
        <v>0.94874688043932198</v>
      </c>
      <c r="L1288" s="6">
        <v>0.94874688043932198</v>
      </c>
      <c r="M1288" s="6">
        <v>0.94874688043932198</v>
      </c>
      <c r="N1288" s="6">
        <v>4.71254427791213</v>
      </c>
      <c r="O1288" s="6">
        <v>4.71254427791213</v>
      </c>
      <c r="P1288" s="6">
        <v>4.71254427791213</v>
      </c>
      <c r="Q1288" s="6">
        <v>0</v>
      </c>
      <c r="R1288" s="6">
        <v>0</v>
      </c>
      <c r="S1288" s="6">
        <v>0</v>
      </c>
      <c r="T1288" s="6">
        <v>145.22485604062001</v>
      </c>
    </row>
    <row r="1289" spans="1:20" ht="13" x14ac:dyDescent="0.15">
      <c r="A1289" s="6">
        <v>1287</v>
      </c>
      <c r="B1289" s="7">
        <v>45015</v>
      </c>
      <c r="C1289" s="6">
        <v>139.10742255302199</v>
      </c>
      <c r="D1289" s="6">
        <v>111.525515663096</v>
      </c>
      <c r="E1289" s="6">
        <v>176.031560932064</v>
      </c>
      <c r="F1289" s="6">
        <v>138.52653518433999</v>
      </c>
      <c r="G1289" s="6">
        <v>139.45846058375801</v>
      </c>
      <c r="H1289" s="6">
        <v>5.76854142109398</v>
      </c>
      <c r="I1289" s="6">
        <v>5.76854142109398</v>
      </c>
      <c r="J1289" s="6">
        <v>5.76854142109398</v>
      </c>
      <c r="K1289" s="6">
        <v>0.49015521355627101</v>
      </c>
      <c r="L1289" s="6">
        <v>0.49015521355627101</v>
      </c>
      <c r="M1289" s="6">
        <v>0.49015521355627101</v>
      </c>
      <c r="N1289" s="6">
        <v>5.2783862075377099</v>
      </c>
      <c r="O1289" s="6">
        <v>5.2783862075377099</v>
      </c>
      <c r="P1289" s="6">
        <v>5.2783862075377099</v>
      </c>
      <c r="Q1289" s="6">
        <v>0</v>
      </c>
      <c r="R1289" s="6">
        <v>0</v>
      </c>
      <c r="S1289" s="6">
        <v>0</v>
      </c>
      <c r="T1289" s="6">
        <v>144.87596397411599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csuftitan</cp:lastModifiedBy>
  <dcterms:modified xsi:type="dcterms:W3CDTF">2023-03-02T02:09:01Z</dcterms:modified>
</cp:coreProperties>
</file>