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8695" windowHeight="12630"/>
  </bookViews>
  <sheets>
    <sheet name="汶锦" sheetId="2" r:id="rId1"/>
    <sheet name="张璐" sheetId="4" r:id="rId2"/>
    <sheet name="李东晨" sheetId="6" r:id="rId3"/>
    <sheet name="智勇" sheetId="5" r:id="rId4"/>
    <sheet name="业绩汇总" sheetId="7" r:id="rId5"/>
  </sheets>
  <externalReferences>
    <externalReference r:id="rId6"/>
  </externalReferences>
  <definedNames>
    <definedName name="_xlnm._FilterDatabase" localSheetId="1" hidden="1">张璐!$A$2:$Y$16</definedName>
  </definedNames>
  <calcPr calcId="125725"/>
</workbook>
</file>

<file path=xl/calcChain.xml><?xml version="1.0" encoding="utf-8"?>
<calcChain xmlns="http://schemas.openxmlformats.org/spreadsheetml/2006/main">
  <c r="F36" i="7"/>
  <c r="E11"/>
  <c r="E36" s="1"/>
  <c r="F34"/>
  <c r="E34"/>
  <c r="F27"/>
  <c r="E27"/>
  <c r="F18"/>
  <c r="E18"/>
  <c r="F11"/>
  <c r="F12" i="5"/>
  <c r="E12"/>
  <c r="D12"/>
  <c r="B12"/>
  <c r="F11"/>
  <c r="E11"/>
  <c r="D11"/>
  <c r="B11"/>
  <c r="T3"/>
  <c r="S3"/>
  <c r="Q3"/>
  <c r="L3"/>
  <c r="G3"/>
  <c r="D3"/>
  <c r="F12" i="6"/>
  <c r="E12"/>
  <c r="D12"/>
  <c r="B12"/>
  <c r="F11"/>
  <c r="E11"/>
  <c r="D11"/>
  <c r="B11"/>
  <c r="T3"/>
  <c r="S3"/>
  <c r="P3"/>
  <c r="L3"/>
  <c r="G3"/>
  <c r="D3"/>
  <c r="F21" i="4"/>
  <c r="E21"/>
  <c r="D21"/>
  <c r="B21"/>
  <c r="F20"/>
  <c r="E20"/>
  <c r="D20"/>
  <c r="B20"/>
  <c r="F19"/>
  <c r="E19"/>
  <c r="D19"/>
  <c r="B19"/>
  <c r="T10"/>
  <c r="L10"/>
  <c r="G10"/>
  <c r="D10"/>
  <c r="T9"/>
  <c r="L9"/>
  <c r="G9"/>
  <c r="D9"/>
  <c r="T8"/>
  <c r="L8"/>
  <c r="G8"/>
  <c r="D8"/>
  <c r="T7"/>
  <c r="S7"/>
  <c r="P7"/>
  <c r="L7"/>
  <c r="G7"/>
  <c r="D7"/>
  <c r="T6"/>
  <c r="P6"/>
  <c r="L6"/>
  <c r="G6"/>
  <c r="D6"/>
  <c r="T5"/>
  <c r="S5"/>
  <c r="P5"/>
  <c r="L5"/>
  <c r="G5"/>
  <c r="D5"/>
  <c r="T4"/>
  <c r="S4"/>
  <c r="L4"/>
  <c r="G4"/>
  <c r="D4"/>
  <c r="T3"/>
  <c r="S3"/>
  <c r="L3"/>
  <c r="G3"/>
  <c r="D3"/>
  <c r="F20" i="2"/>
  <c r="E20"/>
  <c r="D20"/>
  <c r="B20"/>
  <c r="F19"/>
  <c r="E19"/>
  <c r="D19"/>
  <c r="B19"/>
  <c r="F18"/>
  <c r="E18"/>
  <c r="D18"/>
  <c r="B18"/>
  <c r="T11"/>
  <c r="S11"/>
  <c r="P11"/>
  <c r="L11"/>
  <c r="G11"/>
  <c r="D11"/>
  <c r="T10"/>
  <c r="S10"/>
  <c r="L10"/>
  <c r="G10"/>
  <c r="D10"/>
  <c r="T9"/>
  <c r="S9"/>
  <c r="L9"/>
  <c r="G9"/>
  <c r="D9"/>
  <c r="T8"/>
  <c r="S8"/>
  <c r="L8"/>
  <c r="G8"/>
  <c r="D8"/>
  <c r="T7"/>
  <c r="S7"/>
  <c r="L7"/>
  <c r="G7"/>
  <c r="D7"/>
  <c r="T6"/>
  <c r="S6"/>
  <c r="P6"/>
  <c r="L6"/>
  <c r="G6"/>
  <c r="D6"/>
  <c r="T5"/>
  <c r="S5"/>
  <c r="P5"/>
  <c r="L5"/>
  <c r="G5"/>
  <c r="D5"/>
  <c r="T4"/>
  <c r="S4"/>
  <c r="P4"/>
  <c r="L4"/>
  <c r="G4"/>
  <c r="D4"/>
  <c r="T3"/>
  <c r="S3"/>
  <c r="P3"/>
  <c r="L3"/>
  <c r="G3"/>
  <c r="D3"/>
</calcChain>
</file>

<file path=xl/comments1.xml><?xml version="1.0" encoding="utf-8"?>
<comments xmlns="http://schemas.openxmlformats.org/spreadsheetml/2006/main">
  <authors>
    <author>作者</author>
  </authors>
  <commentList>
    <comment ref="L2" authorId="0">
      <text>
        <r>
          <rPr>
            <b/>
            <sz val="9"/>
            <rFont val="宋体"/>
            <family val="3"/>
            <charset val="134"/>
          </rPr>
          <t>作者:</t>
        </r>
        <r>
          <rPr>
            <sz val="9"/>
            <rFont val="宋体"/>
            <family val="3"/>
            <charset val="134"/>
          </rPr>
          <t xml:space="preserve">
一般公众号的推广可以4-6折</t>
        </r>
      </text>
    </comment>
    <comment ref="Q2" authorId="0">
      <text>
        <r>
          <rPr>
            <b/>
            <sz val="9"/>
            <rFont val="宋体"/>
            <family val="3"/>
            <charset val="134"/>
          </rPr>
          <t>作者:</t>
        </r>
        <r>
          <rPr>
            <sz val="9"/>
            <rFont val="宋体"/>
            <family val="3"/>
            <charset val="134"/>
          </rPr>
          <t xml:space="preserve">
没有票点直接填写不收票点</t>
        </r>
      </text>
    </comment>
  </commentList>
</comments>
</file>

<file path=xl/comments2.xml><?xml version="1.0" encoding="utf-8"?>
<comments xmlns="http://schemas.openxmlformats.org/spreadsheetml/2006/main">
  <authors>
    <author>作者</author>
    <author>PC</author>
  </authors>
  <commentList>
    <comment ref="L2" authorId="0">
      <text>
        <r>
          <rPr>
            <b/>
            <sz val="9"/>
            <rFont val="宋体"/>
            <family val="3"/>
            <charset val="134"/>
          </rPr>
          <t>作者:</t>
        </r>
        <r>
          <rPr>
            <sz val="9"/>
            <rFont val="宋体"/>
            <family val="3"/>
            <charset val="134"/>
          </rPr>
          <t xml:space="preserve">
一般公众号的推广可以4-6折</t>
        </r>
      </text>
    </comment>
    <comment ref="Q2" authorId="0">
      <text>
        <r>
          <rPr>
            <b/>
            <sz val="9"/>
            <rFont val="宋体"/>
            <family val="3"/>
            <charset val="134"/>
          </rPr>
          <t>作者:</t>
        </r>
        <r>
          <rPr>
            <sz val="9"/>
            <rFont val="宋体"/>
            <family val="3"/>
            <charset val="134"/>
          </rPr>
          <t xml:space="preserve">
没有票点直接填写不收票点</t>
        </r>
      </text>
    </comment>
    <comment ref="M5" authorId="1">
      <text>
        <r>
          <rPr>
            <b/>
            <sz val="9"/>
            <rFont val="宋体"/>
            <family val="3"/>
            <charset val="134"/>
          </rPr>
          <t>PC:</t>
        </r>
        <r>
          <rPr>
            <sz val="9"/>
            <rFont val="宋体"/>
            <family val="3"/>
            <charset val="134"/>
          </rPr>
          <t xml:space="preserve">
实际到款20000
</t>
        </r>
      </text>
    </comment>
  </commentList>
</comments>
</file>

<file path=xl/comments3.xml><?xml version="1.0" encoding="utf-8"?>
<comments xmlns="http://schemas.openxmlformats.org/spreadsheetml/2006/main">
  <authors>
    <author>作者</author>
  </authors>
  <commentList>
    <comment ref="L2" authorId="0">
      <text>
        <r>
          <rPr>
            <b/>
            <sz val="9"/>
            <rFont val="宋体"/>
            <family val="3"/>
            <charset val="134"/>
          </rPr>
          <t>作者:</t>
        </r>
        <r>
          <rPr>
            <sz val="9"/>
            <rFont val="宋体"/>
            <family val="3"/>
            <charset val="134"/>
          </rPr>
          <t xml:space="preserve">
一般公众号的推广可以4-6折</t>
        </r>
      </text>
    </comment>
    <comment ref="Q2" authorId="0">
      <text>
        <r>
          <rPr>
            <b/>
            <sz val="9"/>
            <rFont val="宋体"/>
            <family val="3"/>
            <charset val="134"/>
          </rPr>
          <t>作者:</t>
        </r>
        <r>
          <rPr>
            <sz val="9"/>
            <rFont val="宋体"/>
            <family val="3"/>
            <charset val="134"/>
          </rPr>
          <t xml:space="preserve">
没有票点直接填写不收票点</t>
        </r>
      </text>
    </comment>
  </commentList>
</comments>
</file>

<file path=xl/comments4.xml><?xml version="1.0" encoding="utf-8"?>
<comments xmlns="http://schemas.openxmlformats.org/spreadsheetml/2006/main">
  <authors>
    <author>作者</author>
  </authors>
  <commentList>
    <comment ref="L2" authorId="0">
      <text>
        <r>
          <rPr>
            <b/>
            <sz val="9"/>
            <rFont val="宋体"/>
            <family val="3"/>
            <charset val="134"/>
          </rPr>
          <t>作者:</t>
        </r>
        <r>
          <rPr>
            <sz val="9"/>
            <rFont val="宋体"/>
            <family val="3"/>
            <charset val="134"/>
          </rPr>
          <t xml:space="preserve">
一般公众号的推广可以4-6折</t>
        </r>
      </text>
    </comment>
    <comment ref="Q2" authorId="0">
      <text>
        <r>
          <rPr>
            <b/>
            <sz val="9"/>
            <rFont val="宋体"/>
            <family val="3"/>
            <charset val="134"/>
          </rPr>
          <t>作者:</t>
        </r>
        <r>
          <rPr>
            <sz val="9"/>
            <rFont val="宋体"/>
            <family val="3"/>
            <charset val="134"/>
          </rPr>
          <t xml:space="preserve">
没有票点直接填写不收票点</t>
        </r>
      </text>
    </comment>
  </commentList>
</comments>
</file>

<file path=xl/sharedStrings.xml><?xml version="1.0" encoding="utf-8"?>
<sst xmlns="http://schemas.openxmlformats.org/spreadsheetml/2006/main" count="361" uniqueCount="110">
  <si>
    <t>绩效核算</t>
  </si>
  <si>
    <t>预付日期</t>
  </si>
  <si>
    <t>尾款日期</t>
  </si>
  <si>
    <t>投放时间</t>
  </si>
  <si>
    <t>业绩核算</t>
  </si>
  <si>
    <t>公众号</t>
  </si>
  <si>
    <t>位置</t>
  </si>
  <si>
    <t>指标</t>
  </si>
  <si>
    <t>对接公司</t>
  </si>
  <si>
    <t>品牌</t>
  </si>
  <si>
    <t>支付方式</t>
  </si>
  <si>
    <t>总金额</t>
  </si>
  <si>
    <t>折扣</t>
  </si>
  <si>
    <t>成交金额</t>
  </si>
  <si>
    <t>投放次数</t>
  </si>
  <si>
    <t>预付情况</t>
  </si>
  <si>
    <t>尾款</t>
  </si>
  <si>
    <t>票点</t>
  </si>
  <si>
    <t>返点</t>
  </si>
  <si>
    <t>合计金额</t>
  </si>
  <si>
    <t>指标达成</t>
  </si>
  <si>
    <t>合同确认（是/否）</t>
  </si>
  <si>
    <t>猫病治愈所</t>
  </si>
  <si>
    <t>次条</t>
  </si>
  <si>
    <t>深圳戴瑞珠宝有限公司</t>
  </si>
  <si>
    <t>DR钻戒</t>
  </si>
  <si>
    <t>民生银行（私账）</t>
  </si>
  <si>
    <t>否</t>
  </si>
  <si>
    <t>可可西里的酒馆</t>
  </si>
  <si>
    <t>头条</t>
  </si>
  <si>
    <t>禧优传媒</t>
  </si>
  <si>
    <t>电影《南极之恋》</t>
  </si>
  <si>
    <t>小羞姐</t>
  </si>
  <si>
    <t>宁波布谷鸟（微播易）</t>
  </si>
  <si>
    <t>SKII</t>
  </si>
  <si>
    <t>公账</t>
  </si>
  <si>
    <t>是</t>
  </si>
  <si>
    <t>白日做梦</t>
  </si>
  <si>
    <t>华为手机</t>
  </si>
  <si>
    <t>上海搜秀文化</t>
  </si>
  <si>
    <t>喜临门</t>
  </si>
  <si>
    <t>杭州有朋网络科技</t>
  </si>
  <si>
    <t>东家app围巾</t>
  </si>
  <si>
    <t>广州妮趣化妆品有限公司</t>
  </si>
  <si>
    <t>植观洗发水</t>
  </si>
  <si>
    <t>北京无线自在有限公司</t>
  </si>
  <si>
    <t>优酷</t>
  </si>
  <si>
    <t>注：
1.公众号名称务必填写完整
2.已经有填写内容的选项框会自动根据业务人员填写的数据自动生成相应的正确结果
3.尾款日期一定要按照所示填写
4.如若业务量过大，表格不够填写，可直接在表格下方添加若干行，直接下拉带有公式的单元格即可复制相应的计算公式                                                                                                                   5.该表格为试行阶段，欢迎大家多多提建议，有特殊情况麻烦告知，谢谢</t>
  </si>
  <si>
    <t>年框KPI</t>
  </si>
  <si>
    <t>超额KPI</t>
  </si>
  <si>
    <t>绩效奖金</t>
  </si>
  <si>
    <t>合计总指标</t>
  </si>
  <si>
    <t>可发放指标</t>
  </si>
  <si>
    <t>待申请指标</t>
  </si>
  <si>
    <t>年框公司</t>
  </si>
  <si>
    <t>淳博（上海）文化传播股份有限公司</t>
  </si>
  <si>
    <t>上海链链文化传媒有限公司</t>
  </si>
  <si>
    <t>上海看榜信息科技有限公司</t>
  </si>
  <si>
    <t>广州旭效传播广告有限公司</t>
  </si>
  <si>
    <t>时趣互动（北京）科技有限公司</t>
  </si>
  <si>
    <t>智者同行品牌管理顾问（北京）股份有限公司</t>
  </si>
  <si>
    <t>北京灵思公关</t>
  </si>
  <si>
    <t>雪花秀</t>
  </si>
  <si>
    <t>转账</t>
  </si>
  <si>
    <t>广州凡岛科技有限公司</t>
  </si>
  <si>
    <t>wis</t>
  </si>
  <si>
    <t>支付宝</t>
  </si>
  <si>
    <t>情感咨询与规划一标杆品牌</t>
  </si>
  <si>
    <t>花镇情感</t>
  </si>
  <si>
    <t>广州璀璨信息科技有限公司</t>
  </si>
  <si>
    <t>心相印</t>
  </si>
  <si>
    <t>仁财网</t>
  </si>
  <si>
    <r>
      <rPr>
        <b/>
        <sz val="11"/>
        <color rgb="FFFF0000"/>
        <rFont val="微软雅黑"/>
        <family val="2"/>
        <charset val="134"/>
      </rPr>
      <t>注：</t>
    </r>
    <r>
      <rPr>
        <b/>
        <sz val="11"/>
        <color theme="1"/>
        <rFont val="微软雅黑"/>
        <family val="2"/>
        <charset val="134"/>
      </rPr>
      <t xml:space="preserve">
1.公众号名称务必填写完整
2.已经有填写内容的选项框会自动根据业务人员填写的数据自动生成相应的正确结果
3.尾款日期一定要按照所示填写
4.如若业务量过大，表格不够填写，可直接在表格下方添加若干行，直接下拉带有公式的单元格即可复制相应的计算公式                                                                                                                   5.该表格为试行阶段，欢迎大家多多提建议，有特殊情况麻烦告知，谢谢</t>
    </r>
  </si>
  <si>
    <t>12月</t>
  </si>
  <si>
    <t xml:space="preserve">年框公司
</t>
  </si>
  <si>
    <t xml:space="preserve">北京新氧气公关咨询有限公司
北京众媒互动有限公司
天津迪思文化传媒有限公司
</t>
  </si>
  <si>
    <t>广州索兰美容有限公司</t>
  </si>
  <si>
    <t>索兰</t>
  </si>
  <si>
    <t>银行转账</t>
  </si>
  <si>
    <r>
      <rPr>
        <b/>
        <sz val="11"/>
        <color rgb="FFFF0000"/>
        <rFont val="微软雅黑"/>
        <family val="2"/>
        <charset val="134"/>
      </rPr>
      <t>注：</t>
    </r>
    <r>
      <rPr>
        <b/>
        <sz val="11"/>
        <color theme="1"/>
        <rFont val="微软雅黑"/>
        <family val="2"/>
        <charset val="134"/>
      </rPr>
      <t xml:space="preserve">
1.公众号名称务必填写完整
2.已经有填写内容的选项框会自动根据业务人员填写的数据自动生成相应的正确结果
3.尾款日期一定要按照所示填写
4.如若业务量过大，表格不够填写，可直接在表格下方添加若干行，直接下拉带有公式的单元格即可复制相应的计算公式                                                                                                                                                                       5.该表格为试行阶段，欢迎大家多多提建议，有特殊情况麻烦告知，谢谢                                                                                                   6.将年匡客户名称填充</t>
    </r>
  </si>
  <si>
    <t>省广众烁数字营销</t>
  </si>
  <si>
    <t>金龙鱼</t>
  </si>
  <si>
    <t>对公帐号</t>
  </si>
  <si>
    <t>11月</t>
  </si>
  <si>
    <t>白日做梦销售情况（2018.1.０１-2018.1.31）</t>
  </si>
  <si>
    <t>投放位置</t>
  </si>
  <si>
    <t>合作品牌</t>
  </si>
  <si>
    <t>成交金额（含税）</t>
  </si>
  <si>
    <t>成交额（不含税）</t>
  </si>
  <si>
    <t>对接人</t>
  </si>
  <si>
    <t>李汶锦</t>
  </si>
  <si>
    <t>东家APP围巾</t>
  </si>
  <si>
    <t>灵思</t>
  </si>
  <si>
    <t>张璐</t>
  </si>
  <si>
    <t>小计</t>
  </si>
  <si>
    <t>小羞姐销售情况（2018.1.０１-2018.1.31）</t>
  </si>
  <si>
    <t>SK II</t>
  </si>
  <si>
    <t>可可西里的酒馆销售情况（2018.1.０１-2018.1.31）</t>
  </si>
  <si>
    <t>智勇</t>
  </si>
  <si>
    <t>猫病治愈所销售情况（2018.1.０１-2018.1.31）</t>
  </si>
  <si>
    <t>DR</t>
  </si>
  <si>
    <t>汶锦</t>
  </si>
  <si>
    <t>北京爱茂移动科技有限公司</t>
  </si>
  <si>
    <t>李东晨</t>
  </si>
  <si>
    <t>总计</t>
  </si>
  <si>
    <t>北京无线自在有限公司</t>
    <phoneticPr fontId="19" type="noConversion"/>
  </si>
  <si>
    <t>优酷</t>
    <phoneticPr fontId="19" type="noConversion"/>
  </si>
  <si>
    <t>绩效核算</t>
    <phoneticPr fontId="19" type="noConversion"/>
  </si>
  <si>
    <t>李汶锦</t>
    <phoneticPr fontId="19" type="noConversion"/>
  </si>
  <si>
    <t>李汶锦</t>
    <phoneticPr fontId="19" type="noConversion"/>
  </si>
</sst>
</file>

<file path=xl/styles.xml><?xml version="1.0" encoding="utf-8"?>
<styleSheet xmlns="http://schemas.openxmlformats.org/spreadsheetml/2006/main">
  <numFmts count="2">
    <numFmt numFmtId="176" formatCode="yyyy&quot;年&quot;m&quot;月&quot;;@"/>
    <numFmt numFmtId="177" formatCode="0.00_);[Red]\(0.00\)"/>
  </numFmts>
  <fonts count="20">
    <font>
      <sz val="11"/>
      <color theme="1"/>
      <name val="宋体"/>
      <charset val="134"/>
      <scheme val="minor"/>
    </font>
    <font>
      <b/>
      <sz val="18"/>
      <name val="微软雅黑"/>
      <family val="2"/>
      <charset val="134"/>
    </font>
    <font>
      <sz val="11"/>
      <color theme="1"/>
      <name val="微软雅黑"/>
      <family val="2"/>
      <charset val="134"/>
    </font>
    <font>
      <sz val="10.5"/>
      <color rgb="FF333333"/>
      <name val="微软雅黑"/>
      <family val="2"/>
      <charset val="134"/>
    </font>
    <font>
      <b/>
      <sz val="11"/>
      <color theme="1"/>
      <name val="宋体"/>
      <family val="3"/>
      <charset val="134"/>
      <scheme val="minor"/>
    </font>
    <font>
      <sz val="11"/>
      <color rgb="FFFF0000"/>
      <name val="微软雅黑"/>
      <family val="2"/>
      <charset val="134"/>
    </font>
    <font>
      <sz val="14"/>
      <color theme="1"/>
      <name val="微软雅黑"/>
      <family val="2"/>
      <charset val="134"/>
    </font>
    <font>
      <b/>
      <sz val="11"/>
      <color rgb="FFFF0000"/>
      <name val="微软雅黑"/>
      <family val="2"/>
      <charset val="134"/>
    </font>
    <font>
      <b/>
      <sz val="11"/>
      <color theme="1"/>
      <name val="微软雅黑"/>
      <family val="2"/>
      <charset val="134"/>
    </font>
    <font>
      <b/>
      <sz val="11"/>
      <color rgb="FFFF0000"/>
      <name val="宋体"/>
      <family val="3"/>
      <charset val="134"/>
      <scheme val="minor"/>
    </font>
    <font>
      <sz val="14"/>
      <color theme="1"/>
      <name val="宋体"/>
      <family val="3"/>
      <charset val="134"/>
      <scheme val="minor"/>
    </font>
    <font>
      <sz val="11"/>
      <color rgb="FF333333"/>
      <name val="微软雅黑"/>
      <family val="2"/>
      <charset val="134"/>
    </font>
    <font>
      <sz val="11"/>
      <color theme="1"/>
      <name val="楷体"/>
      <family val="3"/>
      <charset val="134"/>
    </font>
    <font>
      <b/>
      <sz val="11"/>
      <color theme="1"/>
      <name val="Arial Unicode MS"/>
      <family val="2"/>
      <charset val="134"/>
    </font>
    <font>
      <sz val="11"/>
      <name val="微软雅黑"/>
      <family val="2"/>
      <charset val="134"/>
    </font>
    <font>
      <sz val="11"/>
      <color theme="1"/>
      <name val="宋体"/>
      <family val="3"/>
      <charset val="134"/>
      <scheme val="minor"/>
    </font>
    <font>
      <sz val="12"/>
      <name val="宋体"/>
      <family val="3"/>
      <charset val="134"/>
    </font>
    <font>
      <b/>
      <sz val="9"/>
      <name val="宋体"/>
      <family val="3"/>
      <charset val="134"/>
    </font>
    <font>
      <sz val="9"/>
      <name val="宋体"/>
      <family val="3"/>
      <charset val="134"/>
    </font>
    <font>
      <sz val="9"/>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3" tint="0.79995117038483843"/>
        <bgColor indexed="64"/>
      </patternFill>
    </fill>
    <fill>
      <patternFill patternType="solid">
        <fgColor theme="0"/>
        <bgColor indexed="64"/>
      </patternFill>
    </fill>
  </fills>
  <borders count="19">
    <border>
      <left/>
      <right/>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6" fillId="0" borderId="0">
      <alignment vertical="center"/>
    </xf>
    <xf numFmtId="0" fontId="15" fillId="0" borderId="0"/>
  </cellStyleXfs>
  <cellXfs count="122">
    <xf numFmtId="0" fontId="0" fillId="0" borderId="0" xfId="0"/>
    <xf numFmtId="0" fontId="0" fillId="0" borderId="0" xfId="0" applyAlignment="1">
      <alignment horizontal="right"/>
    </xf>
    <xf numFmtId="0" fontId="15" fillId="0" borderId="0" xfId="2"/>
    <xf numFmtId="0" fontId="15" fillId="2" borderId="0" xfId="2" applyFill="1" applyAlignment="1">
      <alignment horizontal="right"/>
    </xf>
    <xf numFmtId="0" fontId="2" fillId="0" borderId="4" xfId="2" applyFont="1" applyFill="1" applyBorder="1"/>
    <xf numFmtId="14" fontId="3" fillId="0" borderId="4" xfId="2" applyNumberFormat="1" applyFont="1" applyFill="1" applyBorder="1" applyAlignment="1">
      <alignment horizontal="left"/>
    </xf>
    <xf numFmtId="0" fontId="2" fillId="0" borderId="4" xfId="0" applyFont="1" applyBorder="1" applyAlignment="1">
      <alignment horizontal="left" vertical="center"/>
    </xf>
    <xf numFmtId="0" fontId="2" fillId="0" borderId="4" xfId="0" applyFont="1" applyBorder="1" applyAlignment="1">
      <alignment horizontal="right" vertical="center"/>
    </xf>
    <xf numFmtId="0" fontId="2" fillId="0" borderId="4" xfId="2" applyFont="1" applyBorder="1" applyAlignment="1">
      <alignment horizontal="left"/>
    </xf>
    <xf numFmtId="0" fontId="2" fillId="0" borderId="4" xfId="2" applyFont="1" applyBorder="1" applyAlignment="1">
      <alignment horizontal="right"/>
    </xf>
    <xf numFmtId="0" fontId="2" fillId="0" borderId="4" xfId="2" applyFont="1" applyFill="1" applyBorder="1" applyAlignment="1">
      <alignment horizontal="right"/>
    </xf>
    <xf numFmtId="0" fontId="2" fillId="0" borderId="4" xfId="2" applyFont="1" applyBorder="1"/>
    <xf numFmtId="0" fontId="3" fillId="0" borderId="4" xfId="2" applyFont="1" applyFill="1" applyBorder="1" applyAlignment="1">
      <alignment horizontal="left"/>
    </xf>
    <xf numFmtId="0" fontId="4" fillId="3" borderId="0" xfId="2" applyFont="1" applyFill="1"/>
    <xf numFmtId="0" fontId="4" fillId="3" borderId="0" xfId="2" applyFont="1" applyFill="1" applyAlignment="1">
      <alignment horizontal="right"/>
    </xf>
    <xf numFmtId="0" fontId="15" fillId="0" borderId="0" xfId="2" applyAlignment="1">
      <alignment horizontal="right"/>
    </xf>
    <xf numFmtId="14" fontId="3" fillId="0" borderId="4" xfId="2" applyNumberFormat="1" applyFont="1" applyFill="1" applyBorder="1" applyAlignment="1">
      <alignment horizontal="center"/>
    </xf>
    <xf numFmtId="0" fontId="3" fillId="0" borderId="4" xfId="2" applyFont="1" applyFill="1" applyBorder="1" applyAlignment="1"/>
    <xf numFmtId="0" fontId="5" fillId="2" borderId="4" xfId="2" applyFont="1" applyFill="1" applyBorder="1" applyAlignment="1">
      <alignment horizontal="right"/>
    </xf>
    <xf numFmtId="1" fontId="2" fillId="0" borderId="4" xfId="2" applyNumberFormat="1" applyFont="1" applyBorder="1" applyAlignment="1">
      <alignment horizontal="right"/>
    </xf>
    <xf numFmtId="1" fontId="2" fillId="0" borderId="4" xfId="2" applyNumberFormat="1" applyFont="1" applyFill="1" applyBorder="1" applyAlignment="1">
      <alignment horizontal="right"/>
    </xf>
    <xf numFmtId="0" fontId="2" fillId="0" borderId="4" xfId="0" applyFont="1" applyFill="1" applyBorder="1" applyAlignment="1">
      <alignment horizontal="center"/>
    </xf>
    <xf numFmtId="0" fontId="3" fillId="0" borderId="0" xfId="0" applyFont="1"/>
    <xf numFmtId="0" fontId="4" fillId="2" borderId="0" xfId="2" applyFont="1" applyFill="1"/>
    <xf numFmtId="0" fontId="4" fillId="2" borderId="0" xfId="2" applyFont="1" applyFill="1" applyAlignment="1">
      <alignment horizontal="right"/>
    </xf>
    <xf numFmtId="0" fontId="6" fillId="0" borderId="4" xfId="2" applyFont="1" applyBorder="1"/>
    <xf numFmtId="0" fontId="6" fillId="0" borderId="4" xfId="0" applyFont="1" applyBorder="1"/>
    <xf numFmtId="14" fontId="3" fillId="0" borderId="4" xfId="2" applyNumberFormat="1" applyFont="1" applyBorder="1"/>
    <xf numFmtId="176" fontId="3" fillId="0" borderId="4" xfId="2" applyNumberFormat="1" applyFont="1" applyBorder="1"/>
    <xf numFmtId="14" fontId="3" fillId="0" borderId="4" xfId="0" applyNumberFormat="1" applyFont="1" applyFill="1" applyBorder="1" applyAlignment="1">
      <alignment horizontal="center" vertical="center"/>
    </xf>
    <xf numFmtId="0" fontId="2" fillId="0" borderId="4" xfId="2" applyFont="1" applyFill="1" applyBorder="1" applyAlignment="1"/>
    <xf numFmtId="0" fontId="2" fillId="0" borderId="4" xfId="2" applyFont="1" applyBorder="1" applyAlignment="1">
      <alignment horizontal="center"/>
    </xf>
    <xf numFmtId="0" fontId="3" fillId="0" borderId="4" xfId="2" applyFont="1" applyBorder="1"/>
    <xf numFmtId="14" fontId="8" fillId="0" borderId="4" xfId="0" applyNumberFormat="1" applyFont="1" applyFill="1" applyBorder="1" applyAlignment="1">
      <alignment horizontal="center" vertical="center"/>
    </xf>
    <xf numFmtId="14" fontId="8"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4" fillId="2" borderId="4" xfId="0" applyFont="1" applyFill="1" applyBorder="1" applyAlignment="1">
      <alignment horizontal="center" vertical="center"/>
    </xf>
    <xf numFmtId="2" fontId="8"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2" fontId="7" fillId="2" borderId="4" xfId="0" applyNumberFormat="1" applyFont="1" applyFill="1" applyBorder="1" applyAlignment="1">
      <alignment horizontal="center" vertical="center"/>
    </xf>
    <xf numFmtId="57" fontId="10" fillId="0" borderId="0" xfId="2" applyNumberFormat="1" applyFont="1"/>
    <xf numFmtId="0" fontId="10" fillId="0" borderId="0" xfId="0" applyFont="1"/>
    <xf numFmtId="0" fontId="6" fillId="2" borderId="4" xfId="2" applyFont="1" applyFill="1" applyBorder="1"/>
    <xf numFmtId="2" fontId="2" fillId="0" borderId="4" xfId="2" applyNumberFormat="1" applyFont="1" applyBorder="1"/>
    <xf numFmtId="2" fontId="2" fillId="0" borderId="4" xfId="2" applyNumberFormat="1" applyFont="1" applyBorder="1" applyAlignment="1">
      <alignment horizontal="center"/>
    </xf>
    <xf numFmtId="14" fontId="3" fillId="0" borderId="0" xfId="2" applyNumberFormat="1" applyFont="1" applyFill="1" applyAlignment="1"/>
    <xf numFmtId="176" fontId="3" fillId="0" borderId="4" xfId="2" applyNumberFormat="1" applyFont="1" applyFill="1" applyBorder="1" applyAlignment="1"/>
    <xf numFmtId="0" fontId="3" fillId="0" borderId="4" xfId="0" applyFont="1" applyBorder="1"/>
    <xf numFmtId="0" fontId="2" fillId="0" borderId="4" xfId="0" applyFont="1" applyFill="1" applyBorder="1" applyAlignment="1"/>
    <xf numFmtId="0" fontId="7" fillId="0" borderId="0" xfId="2" applyFont="1" applyAlignment="1">
      <alignment horizontal="center" vertical="center" wrapText="1"/>
    </xf>
    <xf numFmtId="0" fontId="8" fillId="0" borderId="0" xfId="2" applyFont="1" applyAlignment="1">
      <alignment vertical="center"/>
    </xf>
    <xf numFmtId="177" fontId="2" fillId="0" borderId="4" xfId="2" applyNumberFormat="1" applyFont="1" applyBorder="1"/>
    <xf numFmtId="2" fontId="2" fillId="0" borderId="0" xfId="2" applyNumberFormat="1" applyFont="1" applyFill="1" applyBorder="1"/>
    <xf numFmtId="0" fontId="2" fillId="0" borderId="0" xfId="2" applyFont="1" applyBorder="1"/>
    <xf numFmtId="0" fontId="11" fillId="0" borderId="0" xfId="2" applyFont="1" applyBorder="1"/>
    <xf numFmtId="0" fontId="6" fillId="0" borderId="4" xfId="2" applyFont="1" applyBorder="1" applyAlignment="1">
      <alignment horizontal="center"/>
    </xf>
    <xf numFmtId="0" fontId="6" fillId="0" borderId="4" xfId="0" applyFont="1" applyFill="1" applyBorder="1" applyAlignment="1"/>
    <xf numFmtId="14" fontId="3" fillId="0" borderId="4" xfId="0" applyNumberFormat="1" applyFont="1" applyFill="1" applyBorder="1" applyAlignment="1">
      <alignment horizontal="center"/>
    </xf>
    <xf numFmtId="0" fontId="3" fillId="0" borderId="4" xfId="2" applyFont="1" applyFill="1" applyBorder="1" applyAlignment="1">
      <alignment horizontal="center"/>
    </xf>
    <xf numFmtId="0" fontId="2" fillId="0" borderId="4" xfId="2" applyFont="1" applyFill="1" applyBorder="1" applyAlignment="1">
      <alignment horizontal="center"/>
    </xf>
    <xf numFmtId="14" fontId="2" fillId="0" borderId="4" xfId="0" applyNumberFormat="1" applyFont="1" applyFill="1" applyBorder="1" applyAlignment="1">
      <alignment horizontal="center"/>
    </xf>
    <xf numFmtId="14" fontId="2" fillId="0" borderId="4" xfId="2" applyNumberFormat="1" applyFont="1" applyBorder="1" applyAlignment="1">
      <alignment horizontal="center"/>
    </xf>
    <xf numFmtId="0" fontId="2" fillId="0" borderId="8" xfId="2" applyFont="1" applyBorder="1" applyAlignment="1"/>
    <xf numFmtId="0" fontId="2" fillId="0" borderId="0" xfId="2" applyFont="1" applyAlignment="1"/>
    <xf numFmtId="0" fontId="4" fillId="2" borderId="4" xfId="2" applyFont="1" applyFill="1" applyBorder="1"/>
    <xf numFmtId="2" fontId="4" fillId="2" borderId="4" xfId="2" applyNumberFormat="1" applyFont="1" applyFill="1" applyBorder="1"/>
    <xf numFmtId="2" fontId="4" fillId="2" borderId="4" xfId="2" applyNumberFormat="1" applyFont="1" applyFill="1" applyBorder="1" applyAlignment="1">
      <alignment horizontal="center"/>
    </xf>
    <xf numFmtId="0" fontId="9" fillId="2" borderId="4" xfId="2" applyFont="1" applyFill="1" applyBorder="1"/>
    <xf numFmtId="2" fontId="9" fillId="2" borderId="4" xfId="2" applyNumberFormat="1" applyFont="1" applyFill="1" applyBorder="1" applyAlignment="1">
      <alignment horizontal="center"/>
    </xf>
    <xf numFmtId="2" fontId="9" fillId="2" borderId="4" xfId="2" applyNumberFormat="1" applyFont="1" applyFill="1" applyBorder="1"/>
    <xf numFmtId="0" fontId="10" fillId="0" borderId="0" xfId="0" applyFont="1" applyFill="1" applyAlignment="1"/>
    <xf numFmtId="0" fontId="6" fillId="2" borderId="4" xfId="2" applyFont="1" applyFill="1" applyBorder="1" applyAlignment="1">
      <alignment horizontal="center"/>
    </xf>
    <xf numFmtId="0" fontId="3" fillId="0" borderId="4" xfId="0" applyFont="1" applyFill="1" applyBorder="1" applyAlignment="1">
      <alignment horizontal="center"/>
    </xf>
    <xf numFmtId="0" fontId="5" fillId="2" borderId="4" xfId="2" applyFont="1" applyFill="1" applyBorder="1" applyAlignment="1">
      <alignment horizontal="center"/>
    </xf>
    <xf numFmtId="1" fontId="2" fillId="0" borderId="4" xfId="2" applyNumberFormat="1" applyFont="1" applyBorder="1" applyAlignment="1">
      <alignment horizontal="center"/>
    </xf>
    <xf numFmtId="0" fontId="2" fillId="0" borderId="0" xfId="2" applyFont="1" applyBorder="1" applyAlignment="1"/>
    <xf numFmtId="0" fontId="15" fillId="0" borderId="0" xfId="2" applyBorder="1"/>
    <xf numFmtId="0" fontId="8" fillId="4" borderId="0" xfId="2" applyFont="1" applyFill="1" applyBorder="1" applyAlignment="1">
      <alignment horizontal="center"/>
    </xf>
    <xf numFmtId="0" fontId="15" fillId="4" borderId="0" xfId="2" applyFill="1" applyBorder="1"/>
    <xf numFmtId="0" fontId="15" fillId="4" borderId="0" xfId="2" applyFill="1" applyBorder="1" applyAlignment="1">
      <alignment horizontal="center"/>
    </xf>
    <xf numFmtId="14" fontId="2" fillId="0" borderId="4" xfId="0" applyNumberFormat="1" applyFont="1" applyBorder="1" applyAlignment="1">
      <alignment horizontal="center" vertical="center"/>
    </xf>
    <xf numFmtId="176" fontId="13" fillId="0" borderId="4" xfId="0" applyNumberFormat="1"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8" fillId="0" borderId="0" xfId="0" applyFont="1" applyAlignment="1">
      <alignment vertical="center"/>
    </xf>
    <xf numFmtId="0" fontId="0" fillId="0" borderId="4" xfId="0" applyBorder="1"/>
    <xf numFmtId="176" fontId="10" fillId="0" borderId="0" xfId="0" applyNumberFormat="1" applyFont="1" applyAlignment="1">
      <alignment horizontal="right"/>
    </xf>
    <xf numFmtId="0" fontId="6" fillId="2" borderId="4" xfId="0" applyFont="1" applyFill="1" applyBorder="1"/>
    <xf numFmtId="2" fontId="2" fillId="0" borderId="4" xfId="0" applyNumberFormat="1" applyFont="1" applyBorder="1" applyAlignment="1">
      <alignment horizontal="center" vertical="center"/>
    </xf>
    <xf numFmtId="2" fontId="2" fillId="0" borderId="0" xfId="0" applyNumberFormat="1" applyFont="1" applyBorder="1" applyAlignment="1">
      <alignment horizontal="center" vertical="center"/>
    </xf>
    <xf numFmtId="2" fontId="14" fillId="0" borderId="0" xfId="0" applyNumberFormat="1" applyFont="1" applyBorder="1" applyAlignment="1">
      <alignment horizontal="center"/>
    </xf>
    <xf numFmtId="2" fontId="5" fillId="0" borderId="0" xfId="0" applyNumberFormat="1" applyFont="1" applyBorder="1" applyAlignment="1">
      <alignment horizontal="center"/>
    </xf>
    <xf numFmtId="14" fontId="2" fillId="0" borderId="0" xfId="0" applyNumberFormat="1" applyFont="1" applyBorder="1" applyAlignment="1">
      <alignment horizontal="center" vertical="center"/>
    </xf>
    <xf numFmtId="0" fontId="6" fillId="0" borderId="17" xfId="0" applyFont="1" applyBorder="1" applyAlignment="1">
      <alignment horizontal="center" wrapText="1"/>
    </xf>
    <xf numFmtId="0" fontId="6" fillId="0" borderId="18" xfId="0" applyFont="1" applyBorder="1" applyAlignment="1">
      <alignment horizontal="center" wrapText="1"/>
    </xf>
    <xf numFmtId="2" fontId="2" fillId="0" borderId="4" xfId="0" applyNumberFormat="1" applyFont="1" applyBorder="1" applyAlignment="1">
      <alignment horizontal="center"/>
    </xf>
    <xf numFmtId="2" fontId="2" fillId="0" borderId="4" xfId="0" applyNumberFormat="1" applyFont="1" applyFill="1" applyBorder="1" applyAlignment="1">
      <alignment horizontal="center"/>
    </xf>
    <xf numFmtId="0" fontId="0" fillId="0" borderId="4" xfId="0" applyBorder="1" applyAlignment="1">
      <alignment horizontal="center" vertical="center"/>
    </xf>
    <xf numFmtId="14" fontId="8" fillId="0" borderId="5" xfId="0" applyNumberFormat="1" applyFont="1" applyBorder="1" applyAlignment="1">
      <alignment horizontal="left" vertical="top" wrapText="1"/>
    </xf>
    <xf numFmtId="14" fontId="8" fillId="0" borderId="6" xfId="0" applyNumberFormat="1" applyFont="1" applyBorder="1" applyAlignment="1">
      <alignment horizontal="left" vertical="top" wrapText="1"/>
    </xf>
    <xf numFmtId="14" fontId="8" fillId="0" borderId="7" xfId="0" applyNumberFormat="1" applyFont="1" applyBorder="1" applyAlignment="1">
      <alignment horizontal="left" vertical="top" wrapText="1"/>
    </xf>
    <xf numFmtId="14" fontId="8" fillId="0" borderId="0" xfId="0" applyNumberFormat="1" applyFont="1" applyBorder="1" applyAlignment="1">
      <alignment horizontal="left" vertical="top" wrapText="1"/>
    </xf>
    <xf numFmtId="2" fontId="2" fillId="0" borderId="4" xfId="2" applyNumberFormat="1" applyFont="1" applyBorder="1" applyAlignment="1">
      <alignment horizontal="center"/>
    </xf>
    <xf numFmtId="0" fontId="2" fillId="4" borderId="0" xfId="2" applyFont="1" applyFill="1" applyBorder="1" applyAlignment="1">
      <alignment horizontal="center"/>
    </xf>
    <xf numFmtId="0" fontId="12" fillId="0" borderId="9" xfId="2" applyFont="1" applyBorder="1" applyAlignment="1">
      <alignment horizontal="center" wrapText="1"/>
    </xf>
    <xf numFmtId="0" fontId="12" fillId="0" borderId="11" xfId="2" applyFont="1" applyBorder="1" applyAlignment="1">
      <alignment horizontal="center" wrapText="1"/>
    </xf>
    <xf numFmtId="0" fontId="12" fillId="0" borderId="13" xfId="2" applyFont="1" applyBorder="1" applyAlignment="1">
      <alignment horizontal="center" wrapText="1"/>
    </xf>
    <xf numFmtId="14" fontId="8" fillId="0" borderId="4" xfId="0" applyNumberFormat="1" applyFont="1" applyBorder="1" applyAlignment="1">
      <alignment horizontal="left" vertical="top" wrapText="1"/>
    </xf>
    <xf numFmtId="0" fontId="12" fillId="0" borderId="5" xfId="2" applyFont="1" applyBorder="1" applyAlignment="1">
      <alignment horizontal="left" wrapText="1"/>
    </xf>
    <xf numFmtId="0" fontId="12" fillId="0" borderId="6" xfId="2" applyFont="1" applyBorder="1" applyAlignment="1">
      <alignment horizontal="left" wrapText="1"/>
    </xf>
    <xf numFmtId="0" fontId="12" fillId="0" borderId="10" xfId="2" applyFont="1" applyBorder="1" applyAlignment="1">
      <alignment horizontal="left" wrapText="1"/>
    </xf>
    <xf numFmtId="0" fontId="12" fillId="0" borderId="7" xfId="2" applyFont="1" applyBorder="1" applyAlignment="1">
      <alignment horizontal="left" wrapText="1"/>
    </xf>
    <xf numFmtId="0" fontId="12" fillId="0" borderId="0" xfId="2" applyFont="1" applyBorder="1" applyAlignment="1">
      <alignment horizontal="left" wrapText="1"/>
    </xf>
    <xf numFmtId="0" fontId="12" fillId="0" borderId="12" xfId="2" applyFont="1" applyBorder="1" applyAlignment="1">
      <alignment horizontal="left" wrapText="1"/>
    </xf>
    <xf numFmtId="0" fontId="12" fillId="0" borderId="14" xfId="2" applyFont="1" applyBorder="1" applyAlignment="1">
      <alignment horizontal="left" wrapText="1"/>
    </xf>
    <xf numFmtId="0" fontId="12" fillId="0" borderId="15" xfId="2" applyFont="1" applyBorder="1" applyAlignment="1">
      <alignment horizontal="left" wrapText="1"/>
    </xf>
    <xf numFmtId="0" fontId="12" fillId="0" borderId="16" xfId="2" applyFont="1" applyBorder="1" applyAlignment="1">
      <alignment horizontal="left" wrapText="1"/>
    </xf>
    <xf numFmtId="14" fontId="7" fillId="0" borderId="5" xfId="0" applyNumberFormat="1" applyFont="1" applyBorder="1" applyAlignment="1">
      <alignment horizontal="left" vertical="top" wrapText="1"/>
    </xf>
    <xf numFmtId="0" fontId="1" fillId="0" borderId="1" xfId="2" applyFont="1" applyFill="1" applyBorder="1" applyAlignment="1">
      <alignment horizontal="center" vertical="center"/>
    </xf>
    <xf numFmtId="0" fontId="1" fillId="0" borderId="2" xfId="2" applyFont="1" applyFill="1" applyBorder="1" applyAlignment="1">
      <alignment horizontal="center" vertical="center"/>
    </xf>
    <xf numFmtId="0" fontId="1" fillId="0" borderId="2" xfId="2" applyFont="1" applyFill="1" applyBorder="1" applyAlignment="1">
      <alignment horizontal="right" vertical="center"/>
    </xf>
    <xf numFmtId="0" fontId="1" fillId="0" borderId="3" xfId="2" applyFont="1" applyFill="1" applyBorder="1" applyAlignment="1">
      <alignment horizontal="center" vertical="center"/>
    </xf>
  </cellXfs>
  <cellStyles count="3">
    <cellStyle name="常规" xfId="0" builtinId="0"/>
    <cellStyle name="常规 2" xfId="1"/>
    <cellStyle name="常规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YSM\Downloads\&#32489;&#25928;&#32479;&#35745;%20(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ove"/>
      <sheetName val="howbbb"/>
      <sheetName val="广州"/>
      <sheetName val="123456"/>
      <sheetName val="admin"/>
      <sheetName val="zongjian"/>
      <sheetName val="zhuli1"/>
      <sheetName val="zhuli2"/>
      <sheetName val="jingli"/>
    </sheetNames>
    <sheetDataSet>
      <sheetData sheetId="0"/>
      <sheetData sheetId="1"/>
      <sheetData sheetId="2"/>
      <sheetData sheetId="3"/>
      <sheetData sheetId="4">
        <row r="7">
          <cell r="A7" t="str">
            <v>注：
1.公众号名称务必填写完整
2.已经有填写内容的选项框会自动根据业务人员填写的数据自动生成相应的正确结果
3.尾款日期一定要按照所示填写
4.如若业务量过大，表格不够填写，可直接在表格下方添加若干行，直接下拉带有公式的单元格即可复制相应的计算公式
5.该表格为试行阶段，欢迎大家多多提建议，有特殊情况麻烦告知，谢谢
6.将年匡客户名称填充</v>
          </cell>
        </row>
      </sheetData>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W27"/>
  <sheetViews>
    <sheetView tabSelected="1" topLeftCell="A4" workbookViewId="0">
      <selection activeCell="E18" sqref="E18"/>
    </sheetView>
  </sheetViews>
  <sheetFormatPr defaultColWidth="9" defaultRowHeight="13.5"/>
  <cols>
    <col min="1" max="1" width="10.75" customWidth="1"/>
    <col min="2" max="2" width="16.5" customWidth="1"/>
    <col min="3" max="3" width="13.375" customWidth="1"/>
    <col min="4" max="4" width="10.5" customWidth="1"/>
    <col min="5" max="5" width="15.375" customWidth="1"/>
    <col min="6" max="6" width="10.375" customWidth="1"/>
    <col min="7" max="7" width="6.875" customWidth="1"/>
    <col min="8" max="8" width="23.125" customWidth="1"/>
    <col min="9" max="9" width="18.125" customWidth="1"/>
    <col min="10" max="10" width="17.25" customWidth="1"/>
    <col min="11" max="11" width="11" customWidth="1"/>
    <col min="12" max="12" width="8.875" customWidth="1"/>
    <col min="13" max="13" width="9.5" customWidth="1"/>
    <col min="14" max="14" width="7.25" customWidth="1"/>
    <col min="15" max="15" width="6.25" customWidth="1"/>
    <col min="16" max="16" width="8.5" customWidth="1"/>
    <col min="17" max="17" width="9.375" customWidth="1"/>
    <col min="18" max="18" width="6.5" customWidth="1"/>
    <col min="19" max="19" width="8.125" customWidth="1"/>
    <col min="20" max="20" width="9.25" customWidth="1"/>
    <col min="21" max="21" width="11.375" customWidth="1"/>
  </cols>
  <sheetData>
    <row r="1" spans="1:23" ht="19.5" customHeight="1">
      <c r="I1" s="86">
        <v>43101</v>
      </c>
      <c r="J1" s="41" t="s">
        <v>107</v>
      </c>
    </row>
    <row r="2" spans="1:23" ht="20.25">
      <c r="A2" s="26" t="s">
        <v>1</v>
      </c>
      <c r="B2" s="26" t="s">
        <v>2</v>
      </c>
      <c r="C2" s="26" t="s">
        <v>3</v>
      </c>
      <c r="D2" s="26" t="s">
        <v>4</v>
      </c>
      <c r="E2" s="26" t="s">
        <v>5</v>
      </c>
      <c r="F2" s="26" t="s">
        <v>6</v>
      </c>
      <c r="G2" s="26" t="s">
        <v>7</v>
      </c>
      <c r="H2" s="26" t="s">
        <v>8</v>
      </c>
      <c r="I2" s="26" t="s">
        <v>9</v>
      </c>
      <c r="J2" s="26" t="s">
        <v>10</v>
      </c>
      <c r="K2" s="26" t="s">
        <v>11</v>
      </c>
      <c r="L2" s="87" t="s">
        <v>12</v>
      </c>
      <c r="M2" s="26" t="s">
        <v>13</v>
      </c>
      <c r="N2" s="26" t="s">
        <v>14</v>
      </c>
      <c r="O2" s="26" t="s">
        <v>15</v>
      </c>
      <c r="P2" s="26" t="s">
        <v>16</v>
      </c>
      <c r="Q2" s="87" t="s">
        <v>17</v>
      </c>
      <c r="R2" s="26" t="s">
        <v>18</v>
      </c>
      <c r="S2" s="26" t="s">
        <v>19</v>
      </c>
      <c r="T2" s="26" t="s">
        <v>20</v>
      </c>
      <c r="U2" s="93" t="s">
        <v>21</v>
      </c>
      <c r="V2" s="94"/>
    </row>
    <row r="3" spans="1:23" ht="17.25">
      <c r="A3" s="80"/>
      <c r="B3" s="81">
        <v>43101</v>
      </c>
      <c r="C3" s="80">
        <v>43127</v>
      </c>
      <c r="D3" s="29" t="str">
        <f t="shared" ref="D3:D11" si="0">IF(AND(B3=$I$1),"发放","待申请")</f>
        <v>发放</v>
      </c>
      <c r="E3" s="82" t="s">
        <v>22</v>
      </c>
      <c r="F3" s="82" t="s">
        <v>23</v>
      </c>
      <c r="G3" s="82">
        <f>ROUND(IF(AND(E3="白日做梦",F3="头条"),2,IF(AND(E3="白日做梦",F3="次条"),1,IF(F3="次条",0.8,1.6))),2)</f>
        <v>0.8</v>
      </c>
      <c r="H3" s="82" t="s">
        <v>24</v>
      </c>
      <c r="I3" s="82" t="s">
        <v>25</v>
      </c>
      <c r="J3" s="82" t="s">
        <v>26</v>
      </c>
      <c r="K3" s="82">
        <v>4500</v>
      </c>
      <c r="L3" s="88">
        <f>M3/K3</f>
        <v>0.88888888888888895</v>
      </c>
      <c r="M3" s="82">
        <v>4000</v>
      </c>
      <c r="N3" s="82">
        <v>1</v>
      </c>
      <c r="O3" s="82">
        <v>0</v>
      </c>
      <c r="P3" s="82">
        <f>M3-O3</f>
        <v>4000</v>
      </c>
      <c r="Q3" s="82">
        <v>0</v>
      </c>
      <c r="R3" s="82"/>
      <c r="S3" s="82">
        <f>P3+O3+Q3</f>
        <v>4000</v>
      </c>
      <c r="T3" s="88">
        <f>G3*L3*N3</f>
        <v>0.71111111111111103</v>
      </c>
      <c r="U3" s="95" t="s">
        <v>27</v>
      </c>
      <c r="V3" s="95"/>
    </row>
    <row r="4" spans="1:23" ht="17.25">
      <c r="A4" s="80"/>
      <c r="B4" s="81">
        <v>43101</v>
      </c>
      <c r="C4" s="29">
        <v>43112</v>
      </c>
      <c r="D4" s="29" t="str">
        <f t="shared" si="0"/>
        <v>发放</v>
      </c>
      <c r="E4" s="82" t="s">
        <v>28</v>
      </c>
      <c r="F4" s="82" t="s">
        <v>29</v>
      </c>
      <c r="G4" s="82">
        <f t="shared" ref="G4:G11" si="1">ROUND(IF(AND(E4="白日做梦",F4="头条"),2,IF(AND(E4="白日做梦",F4="次条"),1,IF(F4="次条",0.8,1.6))),2)</f>
        <v>1.6</v>
      </c>
      <c r="H4" s="82" t="s">
        <v>30</v>
      </c>
      <c r="I4" s="82" t="s">
        <v>31</v>
      </c>
      <c r="J4" s="82" t="s">
        <v>26</v>
      </c>
      <c r="K4" s="82">
        <v>35000</v>
      </c>
      <c r="L4" s="88">
        <f t="shared" ref="L4:L11" si="2">M4/K4</f>
        <v>0.7</v>
      </c>
      <c r="M4" s="82">
        <v>24500</v>
      </c>
      <c r="N4" s="82">
        <v>1</v>
      </c>
      <c r="O4" s="82">
        <v>0</v>
      </c>
      <c r="P4" s="82">
        <f>M4-O4</f>
        <v>24500</v>
      </c>
      <c r="Q4" s="82">
        <v>0</v>
      </c>
      <c r="R4" s="82"/>
      <c r="S4" s="82">
        <f t="shared" ref="S4:S11" si="3">P4+O4+Q4</f>
        <v>24500</v>
      </c>
      <c r="T4" s="88">
        <f t="shared" ref="T4:T11" si="4">G4*L4*N4</f>
        <v>1.1200000000000001</v>
      </c>
      <c r="U4" s="96" t="s">
        <v>27</v>
      </c>
      <c r="V4" s="96"/>
    </row>
    <row r="5" spans="1:23" ht="17.25">
      <c r="A5" s="80"/>
      <c r="B5" s="81">
        <v>43191</v>
      </c>
      <c r="C5" s="80">
        <v>43131</v>
      </c>
      <c r="D5" s="29" t="str">
        <f t="shared" si="0"/>
        <v>待申请</v>
      </c>
      <c r="E5" s="82" t="s">
        <v>32</v>
      </c>
      <c r="F5" s="82" t="s">
        <v>29</v>
      </c>
      <c r="G5" s="82">
        <f t="shared" si="1"/>
        <v>1.6</v>
      </c>
      <c r="H5" s="82" t="s">
        <v>33</v>
      </c>
      <c r="I5" s="82" t="s">
        <v>34</v>
      </c>
      <c r="J5" s="82" t="s">
        <v>35</v>
      </c>
      <c r="K5" s="82">
        <v>58000</v>
      </c>
      <c r="L5" s="88">
        <f t="shared" si="2"/>
        <v>0.80172413793103403</v>
      </c>
      <c r="M5" s="82">
        <v>46500</v>
      </c>
      <c r="N5" s="82">
        <v>1</v>
      </c>
      <c r="O5" s="82">
        <v>0</v>
      </c>
      <c r="P5" s="82">
        <f>M5-O5</f>
        <v>46500</v>
      </c>
      <c r="Q5" s="82">
        <v>2800</v>
      </c>
      <c r="R5" s="82"/>
      <c r="S5" s="82">
        <f t="shared" si="3"/>
        <v>49300</v>
      </c>
      <c r="T5" s="88">
        <f t="shared" si="4"/>
        <v>1.28275862068966</v>
      </c>
      <c r="U5" s="95" t="s">
        <v>36</v>
      </c>
      <c r="V5" s="95"/>
    </row>
    <row r="6" spans="1:23" ht="17.25">
      <c r="A6" s="80"/>
      <c r="B6" s="81">
        <v>43101</v>
      </c>
      <c r="C6" s="80">
        <v>43126</v>
      </c>
      <c r="D6" s="29" t="str">
        <f t="shared" si="0"/>
        <v>发放</v>
      </c>
      <c r="E6" s="82" t="s">
        <v>37</v>
      </c>
      <c r="F6" s="82" t="s">
        <v>29</v>
      </c>
      <c r="G6" s="82">
        <f t="shared" si="1"/>
        <v>2</v>
      </c>
      <c r="H6" s="82" t="s">
        <v>30</v>
      </c>
      <c r="I6" s="82" t="s">
        <v>31</v>
      </c>
      <c r="J6" s="82" t="s">
        <v>26</v>
      </c>
      <c r="K6" s="82">
        <v>70000</v>
      </c>
      <c r="L6" s="88">
        <f t="shared" si="2"/>
        <v>0.8</v>
      </c>
      <c r="M6" s="82">
        <v>56000</v>
      </c>
      <c r="N6" s="82">
        <v>1</v>
      </c>
      <c r="O6" s="82">
        <v>0</v>
      </c>
      <c r="P6" s="82">
        <f>M6-O6</f>
        <v>56000</v>
      </c>
      <c r="Q6" s="82">
        <v>0</v>
      </c>
      <c r="R6" s="82"/>
      <c r="S6" s="82">
        <f t="shared" si="3"/>
        <v>56000</v>
      </c>
      <c r="T6" s="88">
        <f t="shared" si="4"/>
        <v>1.6</v>
      </c>
      <c r="U6" s="95" t="s">
        <v>27</v>
      </c>
      <c r="V6" s="95"/>
    </row>
    <row r="7" spans="1:23" ht="17.25">
      <c r="A7" s="80"/>
      <c r="B7" s="81">
        <v>43191</v>
      </c>
      <c r="C7" s="80">
        <v>43124</v>
      </c>
      <c r="D7" s="29" t="str">
        <f t="shared" si="0"/>
        <v>待申请</v>
      </c>
      <c r="E7" s="82" t="s">
        <v>37</v>
      </c>
      <c r="F7" s="82" t="s">
        <v>29</v>
      </c>
      <c r="G7" s="82">
        <f t="shared" si="1"/>
        <v>2</v>
      </c>
      <c r="H7" s="82" t="s">
        <v>33</v>
      </c>
      <c r="I7" s="82" t="s">
        <v>38</v>
      </c>
      <c r="J7" s="82" t="s">
        <v>35</v>
      </c>
      <c r="K7" s="82">
        <v>70000</v>
      </c>
      <c r="L7" s="88">
        <f t="shared" si="2"/>
        <v>0.80185714285714305</v>
      </c>
      <c r="M7" s="82">
        <v>56130</v>
      </c>
      <c r="N7" s="82">
        <v>1</v>
      </c>
      <c r="O7" s="82">
        <v>0</v>
      </c>
      <c r="P7" s="82">
        <v>56130</v>
      </c>
      <c r="Q7" s="82">
        <v>3370</v>
      </c>
      <c r="R7" s="82"/>
      <c r="S7" s="82">
        <f t="shared" si="3"/>
        <v>59500</v>
      </c>
      <c r="T7" s="88">
        <f t="shared" si="4"/>
        <v>1.6037142857142901</v>
      </c>
      <c r="U7" s="95" t="s">
        <v>36</v>
      </c>
      <c r="V7" s="95"/>
    </row>
    <row r="8" spans="1:23" ht="17.25">
      <c r="A8" s="80"/>
      <c r="B8" s="81">
        <v>43101</v>
      </c>
      <c r="C8" s="80">
        <v>43122</v>
      </c>
      <c r="D8" s="29" t="str">
        <f t="shared" si="0"/>
        <v>发放</v>
      </c>
      <c r="E8" s="82" t="s">
        <v>37</v>
      </c>
      <c r="F8" s="82" t="s">
        <v>29</v>
      </c>
      <c r="G8" s="82">
        <f t="shared" si="1"/>
        <v>2</v>
      </c>
      <c r="H8" s="82" t="s">
        <v>39</v>
      </c>
      <c r="I8" s="82" t="s">
        <v>40</v>
      </c>
      <c r="J8" s="82" t="s">
        <v>35</v>
      </c>
      <c r="K8" s="82">
        <v>70000</v>
      </c>
      <c r="L8" s="88">
        <f t="shared" si="2"/>
        <v>0.80185714285714305</v>
      </c>
      <c r="M8" s="82">
        <v>56130</v>
      </c>
      <c r="N8" s="82">
        <v>1</v>
      </c>
      <c r="O8" s="82">
        <v>0</v>
      </c>
      <c r="P8" s="82">
        <v>56130</v>
      </c>
      <c r="Q8" s="82">
        <v>3370</v>
      </c>
      <c r="R8" s="82"/>
      <c r="S8" s="82">
        <f t="shared" si="3"/>
        <v>59500</v>
      </c>
      <c r="T8" s="88">
        <f t="shared" si="4"/>
        <v>1.6037142857142901</v>
      </c>
      <c r="U8" s="95" t="s">
        <v>36</v>
      </c>
      <c r="V8" s="95"/>
    </row>
    <row r="9" spans="1:23" ht="17.25">
      <c r="A9" s="80"/>
      <c r="B9" s="81">
        <v>43101</v>
      </c>
      <c r="C9" s="80">
        <v>43111</v>
      </c>
      <c r="D9" s="29" t="str">
        <f t="shared" si="0"/>
        <v>发放</v>
      </c>
      <c r="E9" s="82" t="s">
        <v>37</v>
      </c>
      <c r="F9" s="82" t="s">
        <v>23</v>
      </c>
      <c r="G9" s="82">
        <f t="shared" si="1"/>
        <v>1</v>
      </c>
      <c r="H9" s="82" t="s">
        <v>41</v>
      </c>
      <c r="I9" s="82" t="s">
        <v>42</v>
      </c>
      <c r="J9" s="82" t="s">
        <v>35</v>
      </c>
      <c r="K9" s="82">
        <v>30000</v>
      </c>
      <c r="L9" s="88">
        <f t="shared" si="2"/>
        <v>0.94333333333333302</v>
      </c>
      <c r="M9" s="82">
        <v>28300</v>
      </c>
      <c r="N9" s="82">
        <v>1</v>
      </c>
      <c r="O9" s="82">
        <v>0</v>
      </c>
      <c r="P9" s="82">
        <v>28300</v>
      </c>
      <c r="Q9" s="82">
        <v>1700</v>
      </c>
      <c r="R9" s="82"/>
      <c r="S9" s="82">
        <f t="shared" si="3"/>
        <v>30000</v>
      </c>
      <c r="T9" s="88">
        <f t="shared" si="4"/>
        <v>0.94333333333333302</v>
      </c>
      <c r="U9" s="95" t="s">
        <v>36</v>
      </c>
      <c r="V9" s="95"/>
    </row>
    <row r="10" spans="1:23" ht="17.25">
      <c r="A10" s="80"/>
      <c r="B10" s="81">
        <v>43101</v>
      </c>
      <c r="C10" s="80">
        <v>43108</v>
      </c>
      <c r="D10" s="29" t="str">
        <f t="shared" si="0"/>
        <v>发放</v>
      </c>
      <c r="E10" s="82" t="s">
        <v>37</v>
      </c>
      <c r="F10" s="82" t="s">
        <v>23</v>
      </c>
      <c r="G10" s="82">
        <f t="shared" si="1"/>
        <v>1</v>
      </c>
      <c r="H10" s="82" t="s">
        <v>43</v>
      </c>
      <c r="I10" s="82" t="s">
        <v>44</v>
      </c>
      <c r="J10" s="82" t="s">
        <v>35</v>
      </c>
      <c r="K10" s="82">
        <v>30000</v>
      </c>
      <c r="L10" s="88">
        <f t="shared" si="2"/>
        <v>1</v>
      </c>
      <c r="M10" s="82">
        <v>30000</v>
      </c>
      <c r="N10" s="82">
        <v>1</v>
      </c>
      <c r="O10" s="82">
        <v>0</v>
      </c>
      <c r="P10" s="82">
        <v>30000</v>
      </c>
      <c r="Q10" s="82">
        <v>1800</v>
      </c>
      <c r="R10" s="82"/>
      <c r="S10" s="82">
        <f t="shared" si="3"/>
        <v>31800</v>
      </c>
      <c r="T10" s="88">
        <f t="shared" si="4"/>
        <v>1</v>
      </c>
      <c r="U10" s="95" t="s">
        <v>36</v>
      </c>
      <c r="V10" s="95"/>
    </row>
    <row r="11" spans="1:23" ht="17.25">
      <c r="A11" s="80"/>
      <c r="B11" s="81">
        <v>43101</v>
      </c>
      <c r="C11" s="29">
        <v>43101</v>
      </c>
      <c r="D11" s="29" t="str">
        <f t="shared" si="0"/>
        <v>发放</v>
      </c>
      <c r="E11" s="82" t="s">
        <v>37</v>
      </c>
      <c r="F11" s="82" t="s">
        <v>29</v>
      </c>
      <c r="G11" s="82">
        <f t="shared" si="1"/>
        <v>2</v>
      </c>
      <c r="H11" s="82" t="s">
        <v>105</v>
      </c>
      <c r="I11" s="82" t="s">
        <v>106</v>
      </c>
      <c r="J11" s="82" t="s">
        <v>35</v>
      </c>
      <c r="K11" s="82">
        <v>70000</v>
      </c>
      <c r="L11" s="88">
        <f t="shared" si="2"/>
        <v>0.85</v>
      </c>
      <c r="M11" s="82">
        <v>59500</v>
      </c>
      <c r="N11" s="82">
        <v>1</v>
      </c>
      <c r="O11" s="82">
        <v>0</v>
      </c>
      <c r="P11" s="82">
        <f>M11-O11</f>
        <v>59500</v>
      </c>
      <c r="Q11" s="82">
        <v>3500</v>
      </c>
      <c r="R11" s="82"/>
      <c r="S11" s="82">
        <f t="shared" si="3"/>
        <v>63000</v>
      </c>
      <c r="T11" s="88">
        <f t="shared" si="4"/>
        <v>1.7</v>
      </c>
      <c r="U11" s="95" t="s">
        <v>36</v>
      </c>
      <c r="V11" s="95"/>
    </row>
    <row r="12" spans="1:23" ht="17.25" customHeight="1">
      <c r="A12" s="98" t="s">
        <v>47</v>
      </c>
      <c r="B12" s="99"/>
      <c r="C12" s="99"/>
      <c r="D12" s="99"/>
      <c r="E12" s="99"/>
      <c r="F12" s="99"/>
      <c r="G12" s="99"/>
      <c r="H12" s="99"/>
      <c r="I12" s="83"/>
      <c r="J12" s="83"/>
      <c r="K12" s="83"/>
      <c r="L12" s="89"/>
      <c r="M12" s="83"/>
      <c r="N12" s="83"/>
      <c r="O12" s="83"/>
      <c r="P12" s="83"/>
      <c r="Q12" s="83"/>
      <c r="R12" s="83"/>
      <c r="S12" s="83"/>
      <c r="T12" s="89"/>
      <c r="U12" s="90"/>
      <c r="V12" s="91"/>
    </row>
    <row r="13" spans="1:23" ht="17.25" customHeight="1">
      <c r="A13" s="100"/>
      <c r="B13" s="101"/>
      <c r="C13" s="101"/>
      <c r="D13" s="101"/>
      <c r="E13" s="101"/>
      <c r="F13" s="101"/>
      <c r="G13" s="101"/>
      <c r="H13" s="101"/>
      <c r="I13" s="83"/>
      <c r="J13" s="83"/>
      <c r="K13" s="83"/>
      <c r="L13" s="89"/>
      <c r="M13" s="83"/>
      <c r="N13" s="83"/>
      <c r="O13" s="83"/>
      <c r="P13" s="83"/>
      <c r="Q13" s="83"/>
      <c r="R13" s="83"/>
      <c r="S13" s="83"/>
      <c r="T13" s="89"/>
      <c r="U13" s="90"/>
      <c r="V13" s="91"/>
    </row>
    <row r="14" spans="1:23" ht="17.25" customHeight="1">
      <c r="A14" s="100"/>
      <c r="B14" s="101"/>
      <c r="C14" s="101"/>
      <c r="D14" s="101"/>
      <c r="E14" s="101"/>
      <c r="F14" s="101"/>
      <c r="G14" s="101"/>
      <c r="H14" s="101"/>
      <c r="I14" s="83"/>
      <c r="J14" s="83"/>
      <c r="K14" s="83"/>
      <c r="L14" s="89"/>
      <c r="M14" s="83"/>
      <c r="N14" s="83"/>
      <c r="O14" s="83"/>
      <c r="P14" s="83"/>
      <c r="Q14" s="83"/>
      <c r="R14" s="83"/>
      <c r="S14" s="83"/>
      <c r="T14" s="89"/>
      <c r="U14" s="90"/>
      <c r="V14" s="91"/>
    </row>
    <row r="15" spans="1:23" ht="17.25" customHeight="1">
      <c r="A15" s="100"/>
      <c r="B15" s="101"/>
      <c r="C15" s="101"/>
      <c r="D15" s="101"/>
      <c r="E15" s="101"/>
      <c r="F15" s="101"/>
      <c r="G15" s="101"/>
      <c r="H15" s="101"/>
      <c r="I15" s="83"/>
      <c r="J15" s="83"/>
      <c r="K15" s="83"/>
      <c r="L15" s="89"/>
      <c r="M15" s="83"/>
      <c r="N15" s="83"/>
      <c r="O15" s="83"/>
      <c r="P15" s="83"/>
      <c r="Q15" s="83"/>
      <c r="R15" s="83"/>
      <c r="S15" s="83"/>
      <c r="T15" s="89"/>
      <c r="U15" s="90"/>
      <c r="V15" s="91"/>
    </row>
    <row r="16" spans="1:23" ht="24" customHeight="1">
      <c r="A16" s="100"/>
      <c r="B16" s="101"/>
      <c r="C16" s="101"/>
      <c r="D16" s="101"/>
      <c r="E16" s="101"/>
      <c r="F16" s="101"/>
      <c r="G16" s="101"/>
      <c r="H16" s="101"/>
      <c r="I16" s="83"/>
      <c r="J16" s="83"/>
      <c r="K16" s="83"/>
      <c r="L16" s="83"/>
      <c r="M16" s="89"/>
      <c r="N16" s="83"/>
      <c r="O16" s="83"/>
      <c r="P16" s="83"/>
      <c r="Q16" s="92"/>
      <c r="R16" s="83"/>
      <c r="S16" s="83"/>
      <c r="T16" s="83"/>
      <c r="U16" s="89"/>
      <c r="V16" s="90"/>
      <c r="W16" s="91"/>
    </row>
    <row r="17" spans="1:20" ht="16.5">
      <c r="A17" s="33"/>
      <c r="B17" s="34" t="s">
        <v>7</v>
      </c>
      <c r="C17" s="35" t="s">
        <v>48</v>
      </c>
      <c r="D17" s="35" t="s">
        <v>49</v>
      </c>
      <c r="E17" s="35" t="s">
        <v>50</v>
      </c>
      <c r="F17" s="35" t="s">
        <v>11</v>
      </c>
      <c r="H17" s="83"/>
      <c r="I17" s="83"/>
      <c r="J17" s="89"/>
      <c r="K17" s="83"/>
      <c r="L17" s="83"/>
      <c r="M17" s="83"/>
      <c r="N17" s="83"/>
      <c r="O17" s="83"/>
      <c r="P17" s="83"/>
      <c r="Q17" s="83"/>
      <c r="R17" s="89"/>
      <c r="S17" s="90"/>
      <c r="T17" s="91"/>
    </row>
    <row r="18" spans="1:20" ht="23.25" customHeight="1">
      <c r="A18" s="36" t="s">
        <v>51</v>
      </c>
      <c r="B18" s="37">
        <f>SUM(T3:T11)</f>
        <v>11.5646316365627</v>
      </c>
      <c r="C18" s="37">
        <v>3.6</v>
      </c>
      <c r="D18" s="37">
        <f>B18+C18-6</f>
        <v>9.1646316365626692</v>
      </c>
      <c r="E18" s="37">
        <f>ROUND(IF(D18&lt;=0,0,IF(D18&lt;=4,D18*1000,IF(D18&lt;=9,(D18-4)*1300+4*1000,IF(D18&lt;=15,(D18-9)*1600+4*1000+5*1300)))),3)</f>
        <v>10763.411</v>
      </c>
      <c r="F18" s="37">
        <f>SUM(M3:M11)</f>
        <v>361060</v>
      </c>
    </row>
    <row r="19" spans="1:20" ht="23.25" customHeight="1">
      <c r="A19" s="36" t="s">
        <v>52</v>
      </c>
      <c r="B19" s="37">
        <f>SUMIF($D$3:$D$11,$D$6,$T$3:$T$11)</f>
        <v>8.6781587301587297</v>
      </c>
      <c r="C19" s="37">
        <v>3.6</v>
      </c>
      <c r="D19" s="37">
        <f>B19+C19-6</f>
        <v>6.2781587301587303</v>
      </c>
      <c r="E19" s="37">
        <f>ROUND(IF(D19&lt;=0,0,IF(D19&lt;=4,D19*1000,IF(D19&lt;=9,(D19-4)*1300+4*1000,IF(D19&lt;=15,(D19-9)*1600+4*1000+5*1300)))),3)</f>
        <v>6961.6059999999998</v>
      </c>
      <c r="F19" s="37">
        <f>SUMIF($D$3:$D$11,$D$6,M3:M11)</f>
        <v>258430</v>
      </c>
    </row>
    <row r="20" spans="1:20" ht="24" customHeight="1">
      <c r="A20" s="38" t="s">
        <v>53</v>
      </c>
      <c r="B20" s="39">
        <f>SUMIF($D$3:$D$11,D5,$T$3:$T$11)</f>
        <v>2.8864729064039398</v>
      </c>
      <c r="C20" s="39">
        <v>0</v>
      </c>
      <c r="D20" s="39">
        <f>B20+C20</f>
        <v>2.8864729064039398</v>
      </c>
      <c r="E20" s="39">
        <f>E18-E19</f>
        <v>3801.8049999999998</v>
      </c>
      <c r="F20" s="39">
        <f>F18-F19</f>
        <v>102630</v>
      </c>
    </row>
    <row r="21" spans="1:20" ht="15" customHeight="1">
      <c r="A21" s="84"/>
      <c r="B21" s="84"/>
      <c r="C21" s="84"/>
      <c r="D21" s="84"/>
      <c r="E21" s="84"/>
      <c r="F21" s="84"/>
      <c r="G21" s="84"/>
      <c r="H21" s="84"/>
      <c r="I21" s="84"/>
      <c r="J21" s="84"/>
      <c r="K21" s="84"/>
      <c r="L21" s="84"/>
      <c r="M21" s="84"/>
      <c r="N21" s="84"/>
      <c r="O21" s="84"/>
      <c r="P21" s="84"/>
      <c r="Q21" s="84"/>
      <c r="R21" s="84"/>
    </row>
    <row r="22" spans="1:20">
      <c r="A22" s="97" t="s">
        <v>54</v>
      </c>
      <c r="B22" s="85" t="s">
        <v>55</v>
      </c>
    </row>
    <row r="23" spans="1:20">
      <c r="A23" s="97"/>
      <c r="B23" s="85" t="s">
        <v>56</v>
      </c>
    </row>
    <row r="24" spans="1:20">
      <c r="A24" s="97"/>
      <c r="B24" s="85" t="s">
        <v>57</v>
      </c>
    </row>
    <row r="25" spans="1:20">
      <c r="A25" s="97"/>
      <c r="B25" s="85" t="s">
        <v>58</v>
      </c>
    </row>
    <row r="26" spans="1:20">
      <c r="A26" s="97"/>
      <c r="B26" s="85" t="s">
        <v>59</v>
      </c>
    </row>
    <row r="27" spans="1:20">
      <c r="A27" s="97"/>
      <c r="B27" s="85" t="s">
        <v>60</v>
      </c>
    </row>
  </sheetData>
  <mergeCells count="12">
    <mergeCell ref="A22:A27"/>
    <mergeCell ref="A12:H16"/>
    <mergeCell ref="U7:V7"/>
    <mergeCell ref="U8:V8"/>
    <mergeCell ref="U9:V9"/>
    <mergeCell ref="U10:V10"/>
    <mergeCell ref="U11:V11"/>
    <mergeCell ref="U2:V2"/>
    <mergeCell ref="U3:V3"/>
    <mergeCell ref="U4:V4"/>
    <mergeCell ref="U5:V5"/>
    <mergeCell ref="U6:V6"/>
  </mergeCells>
  <phoneticPr fontId="19" type="noConversion"/>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dimension ref="A1:Y26"/>
  <sheetViews>
    <sheetView workbookViewId="0">
      <selection activeCell="G24" sqref="F24:G24"/>
    </sheetView>
  </sheetViews>
  <sheetFormatPr defaultColWidth="9" defaultRowHeight="13.5"/>
  <cols>
    <col min="1" max="1" width="11.625" style="2" customWidth="1"/>
    <col min="2" max="2" width="12.5" style="2" customWidth="1"/>
    <col min="3" max="3" width="11.5" style="2" customWidth="1"/>
    <col min="4" max="4" width="12.375" style="2" customWidth="1"/>
    <col min="5" max="5" width="13.75" style="2" customWidth="1"/>
    <col min="6" max="6" width="12.125" style="2" customWidth="1"/>
    <col min="7" max="7" width="9" style="2"/>
    <col min="8" max="8" width="24.75" style="2" customWidth="1"/>
    <col min="9" max="14" width="9" style="2"/>
    <col min="15" max="15" width="10.125" style="2" customWidth="1"/>
    <col min="16" max="16384" width="9" style="2"/>
  </cols>
  <sheetData>
    <row r="1" spans="1:25" ht="23.25" customHeight="1">
      <c r="H1" s="40">
        <v>43101</v>
      </c>
      <c r="I1" s="70" t="s">
        <v>0</v>
      </c>
    </row>
    <row r="2" spans="1:25" ht="20.25">
      <c r="A2" s="55" t="s">
        <v>1</v>
      </c>
      <c r="B2" s="55" t="s">
        <v>2</v>
      </c>
      <c r="C2" s="55" t="s">
        <v>3</v>
      </c>
      <c r="D2" s="56" t="s">
        <v>4</v>
      </c>
      <c r="E2" s="55" t="s">
        <v>5</v>
      </c>
      <c r="F2" s="55" t="s">
        <v>6</v>
      </c>
      <c r="G2" s="55" t="s">
        <v>7</v>
      </c>
      <c r="H2" s="55" t="s">
        <v>8</v>
      </c>
      <c r="I2" s="55" t="s">
        <v>9</v>
      </c>
      <c r="J2" s="55" t="s">
        <v>10</v>
      </c>
      <c r="K2" s="55" t="s">
        <v>11</v>
      </c>
      <c r="L2" s="71" t="s">
        <v>12</v>
      </c>
      <c r="M2" s="55" t="s">
        <v>13</v>
      </c>
      <c r="N2" s="55" t="s">
        <v>14</v>
      </c>
      <c r="O2" s="55" t="s">
        <v>15</v>
      </c>
      <c r="P2" s="55" t="s">
        <v>16</v>
      </c>
      <c r="Q2" s="71" t="s">
        <v>17</v>
      </c>
      <c r="R2" s="55" t="s">
        <v>18</v>
      </c>
      <c r="S2" s="55" t="s">
        <v>19</v>
      </c>
      <c r="T2" s="55" t="s">
        <v>20</v>
      </c>
      <c r="U2" s="55" t="s">
        <v>21</v>
      </c>
      <c r="V2" s="55"/>
    </row>
    <row r="3" spans="1:25" ht="17.25">
      <c r="A3" s="57">
        <v>43115</v>
      </c>
      <c r="B3" s="57">
        <v>43146</v>
      </c>
      <c r="C3" s="57">
        <v>43115</v>
      </c>
      <c r="D3" s="29" t="str">
        <f t="shared" ref="D3:D10" si="0">IF(AND(B3=$H$1),"发放","待申请")</f>
        <v>待申请</v>
      </c>
      <c r="E3" s="21" t="s">
        <v>37</v>
      </c>
      <c r="F3" s="31" t="s">
        <v>29</v>
      </c>
      <c r="G3" s="31">
        <f t="shared" ref="G3:G10" si="1">ROUND(IF(AND(E3="小羞姐",F3="头条"),2,IF(AND(E3="小羞姐",F3="次条"),1,IF(F3="次条",0.8,1.6))),2)</f>
        <v>1.6</v>
      </c>
      <c r="H3" s="58" t="s">
        <v>61</v>
      </c>
      <c r="I3" s="58" t="s">
        <v>62</v>
      </c>
      <c r="J3" s="31" t="s">
        <v>63</v>
      </c>
      <c r="K3" s="59">
        <v>70000</v>
      </c>
      <c r="L3" s="44">
        <f t="shared" ref="L3:L10" si="2">M3/K3</f>
        <v>0.754714285714286</v>
      </c>
      <c r="M3" s="59">
        <v>52830</v>
      </c>
      <c r="N3" s="31">
        <v>1</v>
      </c>
      <c r="O3" s="31">
        <v>0</v>
      </c>
      <c r="P3" s="31">
        <v>52830</v>
      </c>
      <c r="Q3" s="31">
        <v>3170</v>
      </c>
      <c r="R3" s="31"/>
      <c r="S3" s="31">
        <f t="shared" ref="S3:S7" si="3">P3+O3+Q3</f>
        <v>56000</v>
      </c>
      <c r="T3" s="44">
        <f t="shared" ref="T3:T10" si="4">G3*L3*N3</f>
        <v>1.2075428571428599</v>
      </c>
      <c r="U3" s="102" t="s">
        <v>27</v>
      </c>
      <c r="V3" s="102"/>
    </row>
    <row r="4" spans="1:25" ht="17.25">
      <c r="A4" s="57">
        <v>43127</v>
      </c>
      <c r="B4" s="57">
        <v>43101</v>
      </c>
      <c r="C4" s="57">
        <v>43107</v>
      </c>
      <c r="D4" s="29" t="str">
        <f t="shared" si="0"/>
        <v>发放</v>
      </c>
      <c r="E4" s="21" t="s">
        <v>37</v>
      </c>
      <c r="F4" s="31" t="s">
        <v>23</v>
      </c>
      <c r="G4" s="31">
        <f t="shared" si="1"/>
        <v>0.8</v>
      </c>
      <c r="H4" s="58" t="s">
        <v>64</v>
      </c>
      <c r="I4" s="72" t="s">
        <v>65</v>
      </c>
      <c r="J4" s="31" t="s">
        <v>66</v>
      </c>
      <c r="K4" s="59">
        <v>30000</v>
      </c>
      <c r="L4" s="44">
        <f t="shared" si="2"/>
        <v>0.85</v>
      </c>
      <c r="M4" s="21">
        <v>25500</v>
      </c>
      <c r="N4" s="31">
        <v>1</v>
      </c>
      <c r="O4" s="31">
        <v>0</v>
      </c>
      <c r="P4" s="31">
        <v>25500</v>
      </c>
      <c r="Q4" s="31"/>
      <c r="R4" s="31"/>
      <c r="S4" s="31">
        <f t="shared" si="3"/>
        <v>25500</v>
      </c>
      <c r="T4" s="44">
        <f t="shared" si="4"/>
        <v>0.68</v>
      </c>
      <c r="U4" s="102" t="s">
        <v>27</v>
      </c>
      <c r="V4" s="102"/>
    </row>
    <row r="5" spans="1:25" ht="17.25">
      <c r="A5" s="57">
        <v>43111</v>
      </c>
      <c r="B5" s="57">
        <v>43101</v>
      </c>
      <c r="C5" s="57">
        <v>43111</v>
      </c>
      <c r="D5" s="29" t="str">
        <f t="shared" si="0"/>
        <v>发放</v>
      </c>
      <c r="E5" s="59" t="s">
        <v>32</v>
      </c>
      <c r="F5" s="31" t="s">
        <v>23</v>
      </c>
      <c r="G5" s="31">
        <f t="shared" si="1"/>
        <v>1</v>
      </c>
      <c r="H5" s="58" t="s">
        <v>67</v>
      </c>
      <c r="I5" s="58" t="s">
        <v>68</v>
      </c>
      <c r="J5" s="31" t="s">
        <v>63</v>
      </c>
      <c r="K5" s="59">
        <v>25000</v>
      </c>
      <c r="L5" s="44">
        <f t="shared" si="2"/>
        <v>0.85</v>
      </c>
      <c r="M5" s="73">
        <v>21250</v>
      </c>
      <c r="N5" s="31">
        <v>1</v>
      </c>
      <c r="O5" s="31">
        <v>0</v>
      </c>
      <c r="P5" s="31">
        <f t="shared" ref="P5:P7" si="5">M5-O5</f>
        <v>21250</v>
      </c>
      <c r="Q5" s="31"/>
      <c r="R5" s="31"/>
      <c r="S5" s="31">
        <f t="shared" si="3"/>
        <v>21250</v>
      </c>
      <c r="T5" s="44">
        <f t="shared" si="4"/>
        <v>0.85</v>
      </c>
      <c r="U5" s="102" t="s">
        <v>27</v>
      </c>
      <c r="V5" s="102"/>
    </row>
    <row r="6" spans="1:25" ht="17.25">
      <c r="A6" s="60">
        <v>43124</v>
      </c>
      <c r="B6" s="60">
        <v>43101</v>
      </c>
      <c r="C6" s="60">
        <v>21250</v>
      </c>
      <c r="D6" s="29" t="str">
        <f t="shared" si="0"/>
        <v>发放</v>
      </c>
      <c r="E6" s="59" t="s">
        <v>32</v>
      </c>
      <c r="F6" s="31" t="s">
        <v>23</v>
      </c>
      <c r="G6" s="31">
        <f t="shared" si="1"/>
        <v>1</v>
      </c>
      <c r="H6" s="58" t="s">
        <v>64</v>
      </c>
      <c r="I6" s="21" t="s">
        <v>65</v>
      </c>
      <c r="J6" s="31" t="s">
        <v>66</v>
      </c>
      <c r="K6" s="59">
        <v>25000</v>
      </c>
      <c r="L6" s="44">
        <f t="shared" si="2"/>
        <v>0.85</v>
      </c>
      <c r="M6" s="59">
        <v>21250</v>
      </c>
      <c r="N6" s="74">
        <v>1</v>
      </c>
      <c r="O6" s="31">
        <v>0</v>
      </c>
      <c r="P6" s="31">
        <f t="shared" si="5"/>
        <v>21250</v>
      </c>
      <c r="Q6" s="21"/>
      <c r="R6" s="31"/>
      <c r="S6" s="31">
        <v>21250</v>
      </c>
      <c r="T6" s="44">
        <f t="shared" si="4"/>
        <v>0.85</v>
      </c>
      <c r="U6" s="102" t="s">
        <v>27</v>
      </c>
      <c r="V6" s="102"/>
    </row>
    <row r="7" spans="1:25" ht="17.25">
      <c r="A7" s="60">
        <v>43118</v>
      </c>
      <c r="B7" s="60">
        <v>43101</v>
      </c>
      <c r="C7" s="61">
        <v>43118</v>
      </c>
      <c r="D7" s="29" t="str">
        <f t="shared" si="0"/>
        <v>发放</v>
      </c>
      <c r="E7" s="31" t="s">
        <v>28</v>
      </c>
      <c r="F7" s="31" t="s">
        <v>29</v>
      </c>
      <c r="G7" s="31">
        <f t="shared" si="1"/>
        <v>1.6</v>
      </c>
      <c r="H7" s="58" t="s">
        <v>69</v>
      </c>
      <c r="I7" s="58" t="s">
        <v>70</v>
      </c>
      <c r="J7" s="31" t="s">
        <v>63</v>
      </c>
      <c r="K7" s="31">
        <v>35000</v>
      </c>
      <c r="L7" s="44">
        <f t="shared" si="2"/>
        <v>0.87</v>
      </c>
      <c r="M7" s="31">
        <v>30450</v>
      </c>
      <c r="N7" s="31">
        <v>1</v>
      </c>
      <c r="O7" s="31">
        <v>0</v>
      </c>
      <c r="P7" s="31">
        <f t="shared" si="5"/>
        <v>30450</v>
      </c>
      <c r="Q7" s="31"/>
      <c r="R7" s="31"/>
      <c r="S7" s="31">
        <f t="shared" si="3"/>
        <v>30450</v>
      </c>
      <c r="T7" s="44">
        <f t="shared" si="4"/>
        <v>1.3919999999999999</v>
      </c>
      <c r="U7" s="102" t="s">
        <v>27</v>
      </c>
      <c r="V7" s="102"/>
    </row>
    <row r="8" spans="1:25" ht="17.25">
      <c r="A8" s="60">
        <v>43105</v>
      </c>
      <c r="B8" s="60">
        <v>43101</v>
      </c>
      <c r="C8" s="60">
        <v>43105</v>
      </c>
      <c r="D8" s="29" t="str">
        <f t="shared" si="0"/>
        <v>发放</v>
      </c>
      <c r="E8" s="31" t="s">
        <v>28</v>
      </c>
      <c r="F8" s="31" t="s">
        <v>23</v>
      </c>
      <c r="G8" s="31">
        <f t="shared" si="1"/>
        <v>0.8</v>
      </c>
      <c r="H8" s="58" t="s">
        <v>67</v>
      </c>
      <c r="I8" s="58" t="s">
        <v>68</v>
      </c>
      <c r="J8" s="31" t="s">
        <v>63</v>
      </c>
      <c r="K8" s="31">
        <v>15000</v>
      </c>
      <c r="L8" s="44">
        <f t="shared" si="2"/>
        <v>0.85</v>
      </c>
      <c r="M8" s="31">
        <v>12750</v>
      </c>
      <c r="N8" s="31">
        <v>1</v>
      </c>
      <c r="O8" s="31">
        <v>0</v>
      </c>
      <c r="P8" s="31">
        <v>12750</v>
      </c>
      <c r="Q8" s="31"/>
      <c r="R8" s="31"/>
      <c r="S8" s="31">
        <v>12750</v>
      </c>
      <c r="T8" s="44">
        <f t="shared" si="4"/>
        <v>0.68</v>
      </c>
      <c r="U8" s="102" t="s">
        <v>27</v>
      </c>
      <c r="V8" s="102"/>
    </row>
    <row r="9" spans="1:25" ht="18" customHeight="1">
      <c r="A9" s="60">
        <v>43127</v>
      </c>
      <c r="B9" s="60">
        <v>43101</v>
      </c>
      <c r="C9" s="60">
        <v>43127</v>
      </c>
      <c r="D9" s="29" t="str">
        <f t="shared" si="0"/>
        <v>发放</v>
      </c>
      <c r="E9" s="31" t="s">
        <v>28</v>
      </c>
      <c r="F9" s="31" t="s">
        <v>23</v>
      </c>
      <c r="G9" s="31">
        <f t="shared" si="1"/>
        <v>0.8</v>
      </c>
      <c r="H9" s="58" t="s">
        <v>64</v>
      </c>
      <c r="I9" s="58" t="s">
        <v>65</v>
      </c>
      <c r="J9" s="31" t="s">
        <v>66</v>
      </c>
      <c r="K9" s="31">
        <v>15000</v>
      </c>
      <c r="L9" s="44">
        <f t="shared" si="2"/>
        <v>0.85</v>
      </c>
      <c r="M9" s="31">
        <v>12750</v>
      </c>
      <c r="N9" s="31">
        <v>1</v>
      </c>
      <c r="O9" s="31">
        <v>0</v>
      </c>
      <c r="P9" s="31">
        <v>12750</v>
      </c>
      <c r="Q9" s="31"/>
      <c r="R9" s="31"/>
      <c r="S9" s="31">
        <v>12750</v>
      </c>
      <c r="T9" s="44">
        <f t="shared" si="4"/>
        <v>0.68</v>
      </c>
      <c r="U9" s="102" t="s">
        <v>27</v>
      </c>
      <c r="V9" s="102"/>
    </row>
    <row r="10" spans="1:25" ht="17.25">
      <c r="A10" s="60">
        <v>43126</v>
      </c>
      <c r="B10" s="60">
        <v>43101</v>
      </c>
      <c r="C10" s="60">
        <v>43126</v>
      </c>
      <c r="D10" s="29" t="str">
        <f t="shared" si="0"/>
        <v>发放</v>
      </c>
      <c r="E10" s="31" t="s">
        <v>22</v>
      </c>
      <c r="F10" s="31" t="s">
        <v>29</v>
      </c>
      <c r="G10" s="31">
        <f t="shared" si="1"/>
        <v>1.6</v>
      </c>
      <c r="H10" s="21"/>
      <c r="I10" s="58" t="s">
        <v>71</v>
      </c>
      <c r="J10" s="31" t="s">
        <v>66</v>
      </c>
      <c r="K10" s="31">
        <v>14000</v>
      </c>
      <c r="L10" s="44">
        <f t="shared" si="2"/>
        <v>0.85714285714285698</v>
      </c>
      <c r="M10" s="31">
        <v>12000</v>
      </c>
      <c r="N10" s="31">
        <v>1</v>
      </c>
      <c r="O10" s="31">
        <v>0</v>
      </c>
      <c r="P10" s="31">
        <v>12000</v>
      </c>
      <c r="Q10" s="21"/>
      <c r="R10" s="31"/>
      <c r="S10" s="31">
        <v>12000</v>
      </c>
      <c r="T10" s="44">
        <f t="shared" si="4"/>
        <v>1.3714285714285701</v>
      </c>
      <c r="U10" s="102" t="s">
        <v>27</v>
      </c>
      <c r="V10" s="102"/>
    </row>
    <row r="11" spans="1:25" ht="16.5">
      <c r="A11" s="62"/>
      <c r="B11" s="63"/>
      <c r="C11" s="63"/>
      <c r="D11" s="63"/>
      <c r="E11" s="63"/>
      <c r="F11" s="63"/>
      <c r="G11" s="63"/>
      <c r="H11" s="63"/>
      <c r="I11" s="63"/>
      <c r="J11" s="63"/>
      <c r="K11" s="63"/>
      <c r="L11" s="63"/>
      <c r="M11" s="63"/>
      <c r="N11" s="63"/>
      <c r="O11" s="63"/>
      <c r="P11" s="63"/>
      <c r="Q11" s="63"/>
      <c r="R11" s="63"/>
      <c r="S11" s="103"/>
      <c r="T11" s="103"/>
      <c r="U11" s="103"/>
      <c r="V11" s="103"/>
    </row>
    <row r="12" spans="1:25" ht="16.5">
      <c r="A12" s="107" t="s">
        <v>72</v>
      </c>
      <c r="B12" s="107"/>
      <c r="C12" s="107"/>
      <c r="D12" s="107"/>
      <c r="E12" s="107"/>
      <c r="F12" s="107"/>
      <c r="G12" s="107"/>
      <c r="H12" s="107"/>
      <c r="I12" s="63"/>
      <c r="J12" s="63"/>
      <c r="K12" s="63"/>
      <c r="L12" s="63"/>
      <c r="M12" s="63"/>
      <c r="N12" s="63"/>
      <c r="O12" s="63"/>
      <c r="P12" s="63"/>
      <c r="Q12" s="63"/>
      <c r="R12" s="63"/>
      <c r="S12" s="77"/>
      <c r="T12" s="77"/>
      <c r="U12" s="77"/>
      <c r="V12" s="77"/>
    </row>
    <row r="13" spans="1:25" ht="16.5">
      <c r="A13" s="107"/>
      <c r="B13" s="107"/>
      <c r="C13" s="107"/>
      <c r="D13" s="107"/>
      <c r="E13" s="107"/>
      <c r="F13" s="107"/>
      <c r="G13" s="107"/>
      <c r="H13" s="107"/>
      <c r="I13" s="75"/>
      <c r="J13" s="75"/>
      <c r="K13" s="75"/>
      <c r="L13" s="75"/>
      <c r="M13" s="75"/>
      <c r="N13" s="75"/>
      <c r="O13" s="75"/>
      <c r="P13" s="75"/>
      <c r="Q13" s="75"/>
      <c r="R13" s="75"/>
      <c r="S13" s="77"/>
      <c r="T13" s="77"/>
      <c r="U13" s="77"/>
      <c r="V13" s="77"/>
    </row>
    <row r="14" spans="1:25">
      <c r="A14" s="107"/>
      <c r="B14" s="107"/>
      <c r="C14" s="107"/>
      <c r="D14" s="107"/>
      <c r="E14" s="107"/>
      <c r="F14" s="107"/>
      <c r="G14" s="107"/>
      <c r="H14" s="107"/>
      <c r="I14" s="76"/>
      <c r="J14" s="76"/>
      <c r="K14" s="76"/>
      <c r="L14" s="76"/>
      <c r="M14" s="76"/>
      <c r="N14" s="76"/>
      <c r="O14" s="76"/>
      <c r="P14" s="76"/>
      <c r="Q14" s="76"/>
      <c r="R14" s="76"/>
      <c r="S14" s="78"/>
      <c r="T14" s="78"/>
      <c r="U14" s="78"/>
      <c r="V14" s="78"/>
    </row>
    <row r="15" spans="1:25">
      <c r="A15" s="107"/>
      <c r="B15" s="107"/>
      <c r="C15" s="107"/>
      <c r="D15" s="107"/>
      <c r="E15" s="107"/>
      <c r="F15" s="107"/>
      <c r="G15" s="107"/>
      <c r="H15" s="107"/>
      <c r="I15" s="76"/>
      <c r="J15" s="76"/>
      <c r="K15" s="76"/>
      <c r="L15" s="76"/>
      <c r="M15" s="76"/>
      <c r="N15" s="76"/>
      <c r="O15" s="76"/>
      <c r="P15" s="76"/>
      <c r="Q15" s="76"/>
      <c r="R15" s="76"/>
    </row>
    <row r="16" spans="1:25" ht="30.75" customHeight="1">
      <c r="A16" s="107"/>
      <c r="B16" s="107"/>
      <c r="C16" s="107"/>
      <c r="D16" s="107"/>
      <c r="E16" s="107"/>
      <c r="F16" s="107"/>
      <c r="G16" s="107"/>
      <c r="H16" s="107"/>
      <c r="W16" s="78"/>
      <c r="X16" s="78"/>
      <c r="Y16" s="78"/>
    </row>
    <row r="17" spans="1:25" ht="16.5" customHeight="1">
      <c r="W17" s="78"/>
      <c r="X17" s="78"/>
      <c r="Y17" s="78"/>
    </row>
    <row r="18" spans="1:25" ht="15">
      <c r="A18" s="33" t="s">
        <v>73</v>
      </c>
      <c r="B18" s="64" t="s">
        <v>7</v>
      </c>
      <c r="C18" s="64" t="s">
        <v>48</v>
      </c>
      <c r="D18" s="64" t="s">
        <v>49</v>
      </c>
      <c r="E18" s="64" t="s">
        <v>50</v>
      </c>
      <c r="F18" s="64" t="s">
        <v>11</v>
      </c>
      <c r="W18" s="79"/>
      <c r="X18" s="78"/>
      <c r="Y18" s="78"/>
    </row>
    <row r="19" spans="1:25" ht="13.5" customHeight="1">
      <c r="A19" s="64" t="s">
        <v>51</v>
      </c>
      <c r="B19" s="65">
        <f>SUM(T3:T12)</f>
        <v>7.7109714285714297</v>
      </c>
      <c r="C19" s="66">
        <v>1.8</v>
      </c>
      <c r="D19" s="65">
        <f>B19+C19-6</f>
        <v>3.51097142857143</v>
      </c>
      <c r="E19" s="65">
        <f>ROUND(IF(D19&lt;=0,0,IF(D19&lt;=4,D19*1000,IF(D19&lt;=9,(D19-4)*1300+4*1000,IF(D19&lt;=15,(D19-9)*1600+4*1000+5*1300)))),3)</f>
        <v>3510.971</v>
      </c>
      <c r="F19" s="65">
        <f>SUM(M3:M10)</f>
        <v>188780</v>
      </c>
      <c r="W19" s="78"/>
      <c r="X19" s="78"/>
      <c r="Y19" s="78"/>
    </row>
    <row r="20" spans="1:25" ht="24" customHeight="1">
      <c r="A20" s="64" t="s">
        <v>52</v>
      </c>
      <c r="B20" s="65">
        <f>SUMIF($D$3:$D$11,D4,$T$3:$T$12)</f>
        <v>6.5034285714285698</v>
      </c>
      <c r="C20" s="66">
        <v>1.8</v>
      </c>
      <c r="D20" s="65">
        <f>B20+C20-6</f>
        <v>2.30342857142857</v>
      </c>
      <c r="E20" s="65">
        <f>ROUND(IF(D20&lt;=0,0,IF(D20&lt;=4,D20*1000,IF(D20&lt;=9,(D20-4)*1300+4*1000,IF(D20&lt;=15,(D20-9)*1600+4*1000+5*1300)))),3)</f>
        <v>2303.4290000000001</v>
      </c>
      <c r="F20" s="65">
        <f>SUMIF($D$3:$D$12,#REF!,S3:S12)</f>
        <v>0</v>
      </c>
    </row>
    <row r="21" spans="1:25" ht="25.5" customHeight="1">
      <c r="A21" s="67" t="s">
        <v>53</v>
      </c>
      <c r="B21" s="65">
        <f>SUMIF($D$3:$D$11,D3,$T$3:$T$12)</f>
        <v>1.2075428571428599</v>
      </c>
      <c r="C21" s="68">
        <v>0</v>
      </c>
      <c r="D21" s="69">
        <f>D19-D20</f>
        <v>1.2075428571428599</v>
      </c>
      <c r="E21" s="69">
        <f t="shared" ref="E21:F21" si="6">E19-E20</f>
        <v>1207.5419999999999</v>
      </c>
      <c r="F21" s="69">
        <f t="shared" si="6"/>
        <v>188780</v>
      </c>
    </row>
    <row r="23" spans="1:25" ht="20.25" customHeight="1">
      <c r="A23" s="104" t="s">
        <v>74</v>
      </c>
      <c r="B23" s="108" t="s">
        <v>75</v>
      </c>
      <c r="C23" s="109"/>
      <c r="D23" s="110"/>
    </row>
    <row r="24" spans="1:25" ht="20.25" customHeight="1">
      <c r="A24" s="105"/>
      <c r="B24" s="111"/>
      <c r="C24" s="112"/>
      <c r="D24" s="113"/>
    </row>
    <row r="25" spans="1:25" ht="20.25" customHeight="1">
      <c r="A25" s="105"/>
      <c r="B25" s="111"/>
      <c r="C25" s="112"/>
      <c r="D25" s="113"/>
    </row>
    <row r="26" spans="1:25" ht="20.25" customHeight="1">
      <c r="A26" s="106"/>
      <c r="B26" s="114"/>
      <c r="C26" s="115"/>
      <c r="D26" s="116"/>
    </row>
  </sheetData>
  <autoFilter ref="A2:Y16"/>
  <mergeCells count="12">
    <mergeCell ref="U8:V8"/>
    <mergeCell ref="U9:V9"/>
    <mergeCell ref="U10:V10"/>
    <mergeCell ref="S11:V11"/>
    <mergeCell ref="A23:A26"/>
    <mergeCell ref="A12:H16"/>
    <mergeCell ref="B23:D26"/>
    <mergeCell ref="U3:V3"/>
    <mergeCell ref="U4:V4"/>
    <mergeCell ref="U5:V5"/>
    <mergeCell ref="U6:V6"/>
    <mergeCell ref="U7:V7"/>
  </mergeCells>
  <phoneticPr fontId="19" type="noConversion"/>
  <pageMargins left="0.75" right="0.75" top="1" bottom="1" header="0.51180555555555596" footer="0.51180555555555596"/>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V15"/>
  <sheetViews>
    <sheetView workbookViewId="0">
      <selection activeCell="E29" sqref="E29"/>
    </sheetView>
  </sheetViews>
  <sheetFormatPr defaultColWidth="9" defaultRowHeight="13.5"/>
  <cols>
    <col min="1" max="1" width="10.875" style="2" customWidth="1"/>
    <col min="2" max="2" width="11.25" style="2" customWidth="1"/>
    <col min="3" max="4" width="12" style="2" customWidth="1"/>
    <col min="5" max="5" width="13.375" style="2" customWidth="1"/>
    <col min="6" max="6" width="10.125" style="2" customWidth="1"/>
    <col min="7" max="7" width="9" style="2"/>
    <col min="8" max="8" width="11.25" style="2" customWidth="1"/>
    <col min="9" max="9" width="9" style="2"/>
    <col min="10" max="10" width="12.25" style="2" customWidth="1"/>
    <col min="11" max="11" width="14.375" style="2" customWidth="1"/>
    <col min="12" max="12" width="9" style="2"/>
    <col min="13" max="13" width="11.25" style="2" customWidth="1"/>
    <col min="14" max="18" width="9" style="2"/>
    <col min="19" max="19" width="11.875" style="2" customWidth="1"/>
    <col min="20" max="16384" width="9" style="2"/>
  </cols>
  <sheetData>
    <row r="1" spans="1:22" ht="18.75">
      <c r="K1" s="40">
        <v>43101</v>
      </c>
      <c r="L1" s="41" t="s">
        <v>0</v>
      </c>
    </row>
    <row r="2" spans="1:22" ht="20.25">
      <c r="A2" s="25" t="s">
        <v>1</v>
      </c>
      <c r="B2" s="25" t="s">
        <v>2</v>
      </c>
      <c r="C2" s="25" t="s">
        <v>3</v>
      </c>
      <c r="D2" s="26" t="s">
        <v>4</v>
      </c>
      <c r="E2" s="25" t="s">
        <v>5</v>
      </c>
      <c r="F2" s="25" t="s">
        <v>6</v>
      </c>
      <c r="G2" s="42" t="s">
        <v>7</v>
      </c>
      <c r="H2" s="25" t="s">
        <v>8</v>
      </c>
      <c r="I2" s="25" t="s">
        <v>9</v>
      </c>
      <c r="J2" s="25" t="s">
        <v>10</v>
      </c>
      <c r="K2" s="25" t="s">
        <v>11</v>
      </c>
      <c r="L2" s="42" t="s">
        <v>12</v>
      </c>
      <c r="M2" s="25" t="s">
        <v>13</v>
      </c>
      <c r="N2" s="25" t="s">
        <v>14</v>
      </c>
      <c r="O2" s="25" t="s">
        <v>15</v>
      </c>
      <c r="P2" s="42" t="s">
        <v>16</v>
      </c>
      <c r="Q2" s="42" t="s">
        <v>17</v>
      </c>
      <c r="R2" s="25" t="s">
        <v>18</v>
      </c>
      <c r="S2" s="42" t="s">
        <v>19</v>
      </c>
      <c r="T2" s="42" t="s">
        <v>20</v>
      </c>
      <c r="U2" s="25" t="s">
        <v>21</v>
      </c>
      <c r="V2" s="25"/>
    </row>
    <row r="3" spans="1:22" ht="17.25">
      <c r="A3" s="45"/>
      <c r="B3" s="46">
        <v>43101</v>
      </c>
      <c r="C3" s="46">
        <v>43123</v>
      </c>
      <c r="D3" s="29" t="str">
        <f>IF(AND(B3=$K$1),"发放","待申请")</f>
        <v>发放</v>
      </c>
      <c r="E3" s="30" t="s">
        <v>22</v>
      </c>
      <c r="F3" s="11" t="s">
        <v>29</v>
      </c>
      <c r="G3" s="31">
        <f>ROUND(IF(AND(E3="猫病治愈所",F3="头条"),2,IF(AND(E3="猫病治愈所",F3="次条"),1,IF(F3="次条",0.8,1.6))),2)</f>
        <v>2</v>
      </c>
      <c r="H3" s="47" t="s">
        <v>76</v>
      </c>
      <c r="I3" s="47" t="s">
        <v>77</v>
      </c>
      <c r="J3" s="48" t="s">
        <v>78</v>
      </c>
      <c r="K3" s="30">
        <v>14000</v>
      </c>
      <c r="L3" s="43">
        <f>M3/K3</f>
        <v>0.95</v>
      </c>
      <c r="M3" s="48">
        <v>13300</v>
      </c>
      <c r="N3" s="31">
        <v>1</v>
      </c>
      <c r="O3" s="11"/>
      <c r="P3" s="11">
        <f>M3-O3</f>
        <v>13300</v>
      </c>
      <c r="Q3" s="51"/>
      <c r="R3" s="11"/>
      <c r="S3" s="11">
        <f>P3+O3+Q3</f>
        <v>13300</v>
      </c>
      <c r="T3" s="44">
        <f>G3*L3*N3</f>
        <v>1.9</v>
      </c>
      <c r="U3" s="102" t="s">
        <v>27</v>
      </c>
      <c r="V3" s="102"/>
    </row>
    <row r="4" spans="1:22" ht="16.5">
      <c r="A4" s="117" t="s">
        <v>79</v>
      </c>
      <c r="B4" s="101"/>
      <c r="C4" s="101"/>
      <c r="D4" s="101"/>
      <c r="E4" s="101"/>
      <c r="F4" s="101"/>
      <c r="G4" s="101"/>
      <c r="H4" s="101"/>
      <c r="I4" s="49"/>
      <c r="J4" s="50"/>
      <c r="K4" s="50"/>
      <c r="L4" s="50"/>
      <c r="M4" s="50"/>
      <c r="N4" s="50"/>
      <c r="O4" s="50"/>
      <c r="P4" s="50"/>
      <c r="Q4" s="50"/>
      <c r="R4" s="50"/>
      <c r="S4" s="50"/>
      <c r="T4" s="52"/>
      <c r="U4" s="53"/>
      <c r="V4" s="53"/>
    </row>
    <row r="5" spans="1:22" ht="16.5">
      <c r="A5" s="100"/>
      <c r="B5" s="101"/>
      <c r="C5" s="101"/>
      <c r="D5" s="101"/>
      <c r="E5" s="101"/>
      <c r="F5" s="101"/>
      <c r="G5" s="101"/>
      <c r="H5" s="101"/>
      <c r="I5" s="49"/>
      <c r="J5" s="50"/>
      <c r="K5" s="50"/>
      <c r="L5" s="50"/>
      <c r="M5" s="50"/>
      <c r="N5" s="50"/>
      <c r="O5" s="50"/>
      <c r="P5" s="50"/>
      <c r="Q5" s="50"/>
      <c r="R5" s="50"/>
      <c r="S5" s="50"/>
      <c r="T5" s="53"/>
      <c r="U5" s="53"/>
      <c r="V5" s="53"/>
    </row>
    <row r="6" spans="1:22" ht="16.5" customHeight="1">
      <c r="A6" s="100"/>
      <c r="B6" s="101"/>
      <c r="C6" s="101"/>
      <c r="D6" s="101"/>
      <c r="E6" s="101"/>
      <c r="F6" s="101"/>
      <c r="G6" s="101"/>
      <c r="H6" s="101"/>
      <c r="I6" s="49"/>
      <c r="J6" s="50"/>
      <c r="K6" s="50"/>
      <c r="L6" s="50"/>
      <c r="M6" s="50"/>
      <c r="N6" s="50"/>
      <c r="O6" s="50"/>
      <c r="P6" s="50"/>
      <c r="Q6" s="50"/>
      <c r="R6" s="50"/>
      <c r="S6" s="50"/>
      <c r="T6" s="53"/>
      <c r="U6" s="53"/>
      <c r="V6" s="54"/>
    </row>
    <row r="7" spans="1:22" ht="16.5">
      <c r="A7" s="100"/>
      <c r="B7" s="101"/>
      <c r="C7" s="101"/>
      <c r="D7" s="101"/>
      <c r="E7" s="101"/>
      <c r="F7" s="101"/>
      <c r="G7" s="101"/>
      <c r="H7" s="101"/>
      <c r="I7" s="49"/>
      <c r="R7" s="50"/>
      <c r="S7" s="50"/>
      <c r="T7" s="53"/>
      <c r="U7" s="53"/>
      <c r="V7" s="53"/>
    </row>
    <row r="8" spans="1:22" ht="39" customHeight="1">
      <c r="A8" s="100"/>
      <c r="B8" s="101"/>
      <c r="C8" s="101"/>
      <c r="D8" s="101"/>
      <c r="E8" s="101"/>
      <c r="F8" s="101"/>
      <c r="G8" s="101"/>
      <c r="H8" s="101"/>
      <c r="I8" s="49"/>
      <c r="R8" s="50"/>
      <c r="S8" s="50"/>
      <c r="T8" s="53"/>
      <c r="U8" s="53"/>
      <c r="V8" s="53"/>
    </row>
    <row r="10" spans="1:22" ht="33" customHeight="1">
      <c r="A10" s="33" t="s">
        <v>73</v>
      </c>
      <c r="B10" s="34" t="s">
        <v>7</v>
      </c>
      <c r="C10" s="35" t="s">
        <v>48</v>
      </c>
      <c r="D10" s="35" t="s">
        <v>49</v>
      </c>
      <c r="E10" s="35" t="s">
        <v>50</v>
      </c>
      <c r="F10" s="35" t="s">
        <v>11</v>
      </c>
    </row>
    <row r="11" spans="1:22" ht="15">
      <c r="A11" s="36" t="s">
        <v>51</v>
      </c>
      <c r="B11" s="37">
        <f>SUM(T3:T3)</f>
        <v>1.9</v>
      </c>
      <c r="C11" s="37">
        <v>0</v>
      </c>
      <c r="D11" s="37">
        <f>B11+C11-6</f>
        <v>-4.0999999999999996</v>
      </c>
      <c r="E11" s="37">
        <f>ROUND(IF(D11&lt;=0,0,IF(D11&lt;=4,D11*1000,IF(D11&lt;=9,(D11-4)*1300+4*1000,IF(D11&lt;=15,(D11-9)*1600+4*1000+5*1300)))),3)</f>
        <v>0</v>
      </c>
      <c r="F11" s="37">
        <f>SUM(S3:S3)</f>
        <v>13300</v>
      </c>
    </row>
    <row r="12" spans="1:22" ht="21" customHeight="1">
      <c r="A12" s="36" t="s">
        <v>52</v>
      </c>
      <c r="B12" s="37">
        <f>SUMIF($D$3:$D$3,#REF!,$T$3:$T$14)</f>
        <v>0</v>
      </c>
      <c r="C12" s="37">
        <v>0</v>
      </c>
      <c r="D12" s="37">
        <f>B12+C12-6</f>
        <v>-6</v>
      </c>
      <c r="E12" s="37">
        <f>ROUND(IF(D12&lt;=0,0,IF(D12&lt;=4,D12*1000,IF(D12&lt;=9,(D12-4)*1300+4*1000,IF(D12&lt;=15,(D12-9)*1600+4*1000+5*1300)))),3)</f>
        <v>0</v>
      </c>
      <c r="F12" s="37">
        <f>SUM(S3:S3)</f>
        <v>13300</v>
      </c>
    </row>
    <row r="13" spans="1:22" ht="21" customHeight="1">
      <c r="A13" s="38" t="s">
        <v>53</v>
      </c>
      <c r="B13" s="39">
        <v>0</v>
      </c>
      <c r="C13" s="39">
        <v>0</v>
      </c>
      <c r="D13" s="39">
        <v>0</v>
      </c>
      <c r="E13" s="39">
        <v>0</v>
      </c>
      <c r="F13" s="39">
        <v>0</v>
      </c>
    </row>
    <row r="14" spans="1:22" ht="21" customHeight="1"/>
    <row r="15" spans="1:22" ht="21" customHeight="1"/>
  </sheetData>
  <mergeCells count="2">
    <mergeCell ref="U3:V3"/>
    <mergeCell ref="A4:H8"/>
  </mergeCells>
  <phoneticPr fontId="19" type="noConversion"/>
  <pageMargins left="0.75" right="0.75" top="1" bottom="1" header="0.51180555555555596" footer="0.51180555555555596"/>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W13"/>
  <sheetViews>
    <sheetView workbookViewId="0">
      <selection activeCell="G19" sqref="G19"/>
    </sheetView>
  </sheetViews>
  <sheetFormatPr defaultColWidth="9" defaultRowHeight="13.5"/>
  <cols>
    <col min="1" max="1" width="11.875" customWidth="1"/>
    <col min="2" max="3" width="11.375" customWidth="1"/>
    <col min="6" max="6" width="10.125" customWidth="1"/>
    <col min="12" max="12" width="14.875" customWidth="1"/>
    <col min="22" max="22" width="12.375" customWidth="1"/>
  </cols>
  <sheetData>
    <row r="1" spans="1:23" ht="18.75">
      <c r="A1" s="2"/>
      <c r="B1" s="2"/>
      <c r="C1" s="2"/>
      <c r="D1" s="2"/>
      <c r="E1" s="2"/>
      <c r="F1" s="2"/>
      <c r="G1" s="2"/>
      <c r="H1" s="2"/>
      <c r="I1" s="2"/>
      <c r="J1" s="2"/>
      <c r="K1" s="2"/>
      <c r="L1" s="40">
        <v>43101</v>
      </c>
      <c r="M1" s="41" t="s">
        <v>107</v>
      </c>
      <c r="N1" s="2"/>
      <c r="O1" s="2"/>
      <c r="P1" s="2"/>
      <c r="Q1" s="2"/>
      <c r="R1" s="2"/>
      <c r="S1" s="2"/>
      <c r="T1" s="2"/>
      <c r="U1" s="2"/>
      <c r="V1" s="2"/>
      <c r="W1" s="2"/>
    </row>
    <row r="2" spans="1:23" ht="20.25">
      <c r="A2" s="25" t="s">
        <v>1</v>
      </c>
      <c r="B2" s="25" t="s">
        <v>2</v>
      </c>
      <c r="C2" s="25" t="s">
        <v>3</v>
      </c>
      <c r="D2" s="26" t="s">
        <v>4</v>
      </c>
      <c r="E2" s="25" t="s">
        <v>5</v>
      </c>
      <c r="F2" s="25" t="s">
        <v>6</v>
      </c>
      <c r="G2" s="25" t="s">
        <v>7</v>
      </c>
      <c r="H2" s="25" t="s">
        <v>8</v>
      </c>
      <c r="I2" s="25" t="s">
        <v>9</v>
      </c>
      <c r="J2" s="25" t="s">
        <v>10</v>
      </c>
      <c r="K2" s="25" t="s">
        <v>11</v>
      </c>
      <c r="L2" s="42" t="s">
        <v>12</v>
      </c>
      <c r="M2" s="25" t="s">
        <v>13</v>
      </c>
      <c r="N2" s="25" t="s">
        <v>14</v>
      </c>
      <c r="O2" s="25" t="s">
        <v>15</v>
      </c>
      <c r="P2" s="25" t="s">
        <v>16</v>
      </c>
      <c r="Q2" s="42" t="s">
        <v>17</v>
      </c>
      <c r="R2" s="25" t="s">
        <v>18</v>
      </c>
      <c r="S2" s="25" t="s">
        <v>19</v>
      </c>
      <c r="T2" s="25" t="s">
        <v>20</v>
      </c>
      <c r="U2" s="25" t="s">
        <v>21</v>
      </c>
      <c r="V2" s="25"/>
      <c r="W2" s="2"/>
    </row>
    <row r="3" spans="1:23" ht="17.25">
      <c r="A3" s="27">
        <v>43124</v>
      </c>
      <c r="B3" s="28">
        <v>43101</v>
      </c>
      <c r="C3" s="27">
        <v>43124</v>
      </c>
      <c r="D3" s="29" t="str">
        <f>IF(AND(B3=$L$1),"发放","待申请")</f>
        <v>发放</v>
      </c>
      <c r="E3" s="30" t="s">
        <v>28</v>
      </c>
      <c r="F3" s="11" t="s">
        <v>23</v>
      </c>
      <c r="G3" s="31">
        <f>ROUND(IF(AND(E3="可可西里的酒馆",F3="头条"),2,IF(AND(E3="可可西里的酒馆",F3="次条"),1,IF(F3="次条",0.8,1.6))),2)</f>
        <v>1</v>
      </c>
      <c r="H3" s="32" t="s">
        <v>80</v>
      </c>
      <c r="I3" s="32" t="s">
        <v>81</v>
      </c>
      <c r="J3" s="11" t="s">
        <v>82</v>
      </c>
      <c r="K3" s="30">
        <v>15000</v>
      </c>
      <c r="L3" s="43">
        <f>M3/K3</f>
        <v>0.9</v>
      </c>
      <c r="M3" s="30">
        <v>13500</v>
      </c>
      <c r="N3" s="31">
        <v>1</v>
      </c>
      <c r="O3" s="11">
        <v>13500</v>
      </c>
      <c r="P3" s="11">
        <v>0</v>
      </c>
      <c r="Q3" s="11">
        <f>M3*0.06</f>
        <v>810</v>
      </c>
      <c r="R3" s="11">
        <v>588</v>
      </c>
      <c r="S3" s="11">
        <f>P3+O3+Q3</f>
        <v>14310</v>
      </c>
      <c r="T3" s="44">
        <f>G3*L3*N3</f>
        <v>0.9</v>
      </c>
      <c r="U3" s="102"/>
      <c r="V3" s="102"/>
      <c r="W3" s="2"/>
    </row>
    <row r="5" spans="1:23">
      <c r="A5" s="117" t="s">
        <v>79</v>
      </c>
      <c r="B5" s="99"/>
      <c r="C5" s="99"/>
      <c r="D5" s="99"/>
      <c r="E5" s="99"/>
      <c r="F5" s="99"/>
      <c r="G5" s="99"/>
      <c r="H5" s="99"/>
    </row>
    <row r="6" spans="1:23">
      <c r="A6" s="100"/>
      <c r="B6" s="101"/>
      <c r="C6" s="101"/>
      <c r="D6" s="101"/>
      <c r="E6" s="101"/>
      <c r="F6" s="101"/>
      <c r="G6" s="101"/>
      <c r="H6" s="101"/>
    </row>
    <row r="7" spans="1:23">
      <c r="A7" s="100"/>
      <c r="B7" s="101"/>
      <c r="C7" s="101"/>
      <c r="D7" s="101"/>
      <c r="E7" s="101"/>
      <c r="F7" s="101"/>
      <c r="G7" s="101"/>
      <c r="H7" s="101"/>
    </row>
    <row r="8" spans="1:23">
      <c r="A8" s="100"/>
      <c r="B8" s="101"/>
      <c r="C8" s="101"/>
      <c r="D8" s="101"/>
      <c r="E8" s="101"/>
      <c r="F8" s="101"/>
      <c r="G8" s="101"/>
      <c r="H8" s="101"/>
    </row>
    <row r="9" spans="1:23" ht="77.099999999999994" customHeight="1">
      <c r="A9" s="100"/>
      <c r="B9" s="101"/>
      <c r="C9" s="101"/>
      <c r="D9" s="101"/>
      <c r="E9" s="101"/>
      <c r="F9" s="101"/>
      <c r="G9" s="101"/>
      <c r="H9" s="101"/>
    </row>
    <row r="10" spans="1:23" ht="15">
      <c r="A10" s="33" t="s">
        <v>83</v>
      </c>
      <c r="B10" s="34" t="s">
        <v>7</v>
      </c>
      <c r="C10" s="35" t="s">
        <v>48</v>
      </c>
      <c r="D10" s="35" t="s">
        <v>49</v>
      </c>
      <c r="E10" s="35" t="s">
        <v>50</v>
      </c>
      <c r="F10" s="35" t="s">
        <v>11</v>
      </c>
    </row>
    <row r="11" spans="1:23" ht="15">
      <c r="A11" s="36" t="s">
        <v>51</v>
      </c>
      <c r="B11" s="37">
        <f>SUM(T2)</f>
        <v>0</v>
      </c>
      <c r="C11" s="37"/>
      <c r="D11" s="37">
        <f>B11+C11-6</f>
        <v>-6</v>
      </c>
      <c r="E11" s="37">
        <f>ROUND(IF(D11&lt;=0,0,IF(D11&lt;=4,D11*1000,IF(D11&lt;=9,(D11-4)*1300+4*1000,IF(D11&lt;=15,(D11-9)*1600+4*1000+5*1300)))),3)</f>
        <v>0</v>
      </c>
      <c r="F11" s="37">
        <f>SUM(S2)</f>
        <v>0</v>
      </c>
    </row>
    <row r="12" spans="1:23" ht="15">
      <c r="A12" s="36" t="s">
        <v>52</v>
      </c>
      <c r="B12" s="37">
        <f>SUMIF($D$3,$D$3,$T$3:$T$3)</f>
        <v>0.9</v>
      </c>
      <c r="C12" s="37">
        <v>0</v>
      </c>
      <c r="D12" s="37">
        <f>B12+C12-6</f>
        <v>-5.0999999999999996</v>
      </c>
      <c r="E12" s="37">
        <f>ROUND(IF(D12&lt;=0,0,IF(D12&lt;=4,D12*1000,IF(D12&lt;=9,(D12-4)*1300+4*1000,IF(D12&lt;=15,(D12-9)*1600+4*1000+5*1300)))),3)</f>
        <v>0</v>
      </c>
      <c r="F12" s="37">
        <f>SUMIF($D$3,$D$3,$S$3:$S$3)</f>
        <v>14310</v>
      </c>
    </row>
    <row r="13" spans="1:23" ht="15">
      <c r="A13" s="38" t="s">
        <v>53</v>
      </c>
      <c r="B13" s="39">
        <v>0</v>
      </c>
      <c r="C13" s="39">
        <v>0</v>
      </c>
      <c r="D13" s="39">
        <v>0</v>
      </c>
      <c r="E13" s="39">
        <v>0</v>
      </c>
      <c r="F13" s="39">
        <v>0</v>
      </c>
    </row>
  </sheetData>
  <mergeCells count="2">
    <mergeCell ref="U3:V3"/>
    <mergeCell ref="A5:H9"/>
  </mergeCells>
  <phoneticPr fontId="19" type="noConversion"/>
  <pageMargins left="0.75" right="0.75" top="1" bottom="1" header="0.51180555555555596" footer="0.51180555555555596"/>
  <legacyDrawing r:id="rId1"/>
</worksheet>
</file>

<file path=xl/worksheets/sheet5.xml><?xml version="1.0" encoding="utf-8"?>
<worksheet xmlns="http://schemas.openxmlformats.org/spreadsheetml/2006/main" xmlns:r="http://schemas.openxmlformats.org/officeDocument/2006/relationships">
  <dimension ref="A1:G36"/>
  <sheetViews>
    <sheetView topLeftCell="A10" workbookViewId="0">
      <selection activeCell="F36" sqref="F36"/>
    </sheetView>
  </sheetViews>
  <sheetFormatPr defaultColWidth="9" defaultRowHeight="13.5"/>
  <cols>
    <col min="2" max="2" width="11"/>
    <col min="3" max="3" width="24.375" customWidth="1"/>
    <col min="4" max="4" width="20.75" customWidth="1"/>
    <col min="5" max="5" width="15.375" style="1" customWidth="1"/>
    <col min="6" max="6" width="17.875" style="1" customWidth="1"/>
    <col min="7" max="7" width="19.375" customWidth="1"/>
  </cols>
  <sheetData>
    <row r="1" spans="1:7" ht="24.75">
      <c r="A1" s="118" t="s">
        <v>84</v>
      </c>
      <c r="B1" s="119"/>
      <c r="C1" s="119"/>
      <c r="D1" s="119"/>
      <c r="E1" s="120"/>
      <c r="F1" s="120"/>
      <c r="G1" s="121"/>
    </row>
    <row r="2" spans="1:7">
      <c r="A2" s="2" t="s">
        <v>85</v>
      </c>
      <c r="B2" s="2" t="s">
        <v>3</v>
      </c>
      <c r="C2" s="2" t="s">
        <v>8</v>
      </c>
      <c r="D2" s="2" t="s">
        <v>86</v>
      </c>
      <c r="E2" s="3" t="s">
        <v>87</v>
      </c>
      <c r="F2" s="3" t="s">
        <v>88</v>
      </c>
      <c r="G2" s="2" t="s">
        <v>89</v>
      </c>
    </row>
    <row r="3" spans="1:7" ht="17.25">
      <c r="A3" s="4" t="s">
        <v>29</v>
      </c>
      <c r="B3" s="5">
        <v>43101</v>
      </c>
      <c r="C3" s="6" t="s">
        <v>45</v>
      </c>
      <c r="D3" s="6" t="s">
        <v>46</v>
      </c>
      <c r="E3" s="7">
        <v>63000</v>
      </c>
      <c r="F3" s="7">
        <v>59500</v>
      </c>
      <c r="G3" s="2" t="s">
        <v>90</v>
      </c>
    </row>
    <row r="4" spans="1:7" ht="17.25">
      <c r="A4" s="4" t="s">
        <v>29</v>
      </c>
      <c r="B4" s="5">
        <v>43122</v>
      </c>
      <c r="C4" s="6" t="s">
        <v>39</v>
      </c>
      <c r="D4" s="6" t="s">
        <v>40</v>
      </c>
      <c r="E4" s="7">
        <v>59500</v>
      </c>
      <c r="F4" s="7">
        <v>56130</v>
      </c>
      <c r="G4" s="2" t="s">
        <v>90</v>
      </c>
    </row>
    <row r="5" spans="1:7" ht="17.25">
      <c r="A5" s="4" t="s">
        <v>29</v>
      </c>
      <c r="B5" s="5">
        <v>43124</v>
      </c>
      <c r="C5" s="6" t="s">
        <v>33</v>
      </c>
      <c r="D5" s="8" t="s">
        <v>38</v>
      </c>
      <c r="E5" s="7">
        <v>59500</v>
      </c>
      <c r="F5" s="7">
        <v>56130</v>
      </c>
      <c r="G5" s="2" t="s">
        <v>90</v>
      </c>
    </row>
    <row r="6" spans="1:7" ht="17.25">
      <c r="A6" s="4" t="s">
        <v>29</v>
      </c>
      <c r="B6" s="5">
        <v>43126</v>
      </c>
      <c r="C6" s="6" t="s">
        <v>30</v>
      </c>
      <c r="D6" s="6" t="s">
        <v>31</v>
      </c>
      <c r="E6" s="9">
        <v>56000</v>
      </c>
      <c r="F6" s="10">
        <v>56000</v>
      </c>
      <c r="G6" s="2" t="s">
        <v>109</v>
      </c>
    </row>
    <row r="7" spans="1:7" ht="17.25">
      <c r="A7" s="4" t="s">
        <v>23</v>
      </c>
      <c r="B7" s="5">
        <v>43108</v>
      </c>
      <c r="C7" s="6" t="s">
        <v>43</v>
      </c>
      <c r="D7" s="6" t="s">
        <v>44</v>
      </c>
      <c r="E7" s="7">
        <v>31800</v>
      </c>
      <c r="F7" s="7">
        <v>30000</v>
      </c>
      <c r="G7" s="2" t="s">
        <v>108</v>
      </c>
    </row>
    <row r="8" spans="1:7" ht="17.25">
      <c r="A8" s="4" t="s">
        <v>23</v>
      </c>
      <c r="B8" s="5">
        <v>43111</v>
      </c>
      <c r="C8" s="6" t="s">
        <v>41</v>
      </c>
      <c r="D8" s="8" t="s">
        <v>91</v>
      </c>
      <c r="E8" s="9">
        <v>30000</v>
      </c>
      <c r="F8" s="10">
        <v>28300</v>
      </c>
      <c r="G8" s="2" t="s">
        <v>90</v>
      </c>
    </row>
    <row r="9" spans="1:7" ht="17.25">
      <c r="A9" s="11" t="s">
        <v>29</v>
      </c>
      <c r="B9" s="5">
        <v>43115</v>
      </c>
      <c r="C9" s="12" t="s">
        <v>92</v>
      </c>
      <c r="D9" s="12" t="s">
        <v>62</v>
      </c>
      <c r="E9" s="9">
        <v>56000</v>
      </c>
      <c r="F9" s="10">
        <v>52830</v>
      </c>
      <c r="G9" s="2" t="s">
        <v>93</v>
      </c>
    </row>
    <row r="10" spans="1:7" ht="17.25">
      <c r="A10" s="11" t="s">
        <v>23</v>
      </c>
      <c r="B10" s="5">
        <v>43126</v>
      </c>
      <c r="C10" s="12" t="s">
        <v>64</v>
      </c>
      <c r="D10" s="12" t="s">
        <v>65</v>
      </c>
      <c r="E10" s="9">
        <v>25500</v>
      </c>
      <c r="F10" s="10">
        <v>25500</v>
      </c>
      <c r="G10" s="2" t="s">
        <v>93</v>
      </c>
    </row>
    <row r="11" spans="1:7">
      <c r="A11" s="2"/>
      <c r="B11" s="2"/>
      <c r="C11" s="2"/>
      <c r="D11" s="13" t="s">
        <v>94</v>
      </c>
      <c r="E11" s="14" t="e">
        <f>SUM(E3:'[1]admin'!$A$7:$PE$1010)</f>
        <v>#VALUE!</v>
      </c>
      <c r="F11" s="14">
        <f>SUM(F3:F10)</f>
        <v>364390</v>
      </c>
      <c r="G11" s="2"/>
    </row>
    <row r="12" spans="1:7">
      <c r="A12" s="2"/>
      <c r="B12" s="2"/>
      <c r="C12" s="2"/>
      <c r="D12" s="2"/>
      <c r="E12" s="15"/>
      <c r="F12" s="15"/>
      <c r="G12" s="2"/>
    </row>
    <row r="13" spans="1:7" ht="24.75">
      <c r="A13" s="118" t="s">
        <v>95</v>
      </c>
      <c r="B13" s="119"/>
      <c r="C13" s="119"/>
      <c r="D13" s="119"/>
      <c r="E13" s="120"/>
      <c r="F13" s="120"/>
      <c r="G13" s="121"/>
    </row>
    <row r="14" spans="1:7">
      <c r="A14" s="2" t="s">
        <v>85</v>
      </c>
      <c r="B14" s="2" t="s">
        <v>3</v>
      </c>
      <c r="C14" s="2" t="s">
        <v>8</v>
      </c>
      <c r="D14" s="2" t="s">
        <v>86</v>
      </c>
      <c r="E14" s="15" t="s">
        <v>87</v>
      </c>
      <c r="F14" s="15" t="s">
        <v>88</v>
      </c>
      <c r="G14" s="2" t="s">
        <v>89</v>
      </c>
    </row>
    <row r="15" spans="1:7" ht="17.25">
      <c r="A15" s="4" t="s">
        <v>29</v>
      </c>
      <c r="B15" s="16">
        <v>43131</v>
      </c>
      <c r="C15" s="6" t="s">
        <v>33</v>
      </c>
      <c r="D15" s="17" t="s">
        <v>96</v>
      </c>
      <c r="E15" s="10">
        <v>49300</v>
      </c>
      <c r="F15" s="10">
        <v>46500</v>
      </c>
      <c r="G15" s="2" t="s">
        <v>108</v>
      </c>
    </row>
    <row r="16" spans="1:7" ht="17.25">
      <c r="A16" s="11" t="s">
        <v>23</v>
      </c>
      <c r="B16" s="16">
        <v>43111</v>
      </c>
      <c r="C16" s="17" t="s">
        <v>67</v>
      </c>
      <c r="D16" s="17" t="s">
        <v>68</v>
      </c>
      <c r="E16" s="18">
        <v>20000</v>
      </c>
      <c r="F16" s="18">
        <v>20000</v>
      </c>
      <c r="G16" s="2" t="s">
        <v>93</v>
      </c>
    </row>
    <row r="17" spans="1:7" ht="17.25">
      <c r="A17" s="11" t="s">
        <v>23</v>
      </c>
      <c r="B17" s="16">
        <v>43124</v>
      </c>
      <c r="C17" s="17" t="s">
        <v>64</v>
      </c>
      <c r="D17" s="17" t="s">
        <v>65</v>
      </c>
      <c r="E17" s="9">
        <v>21250</v>
      </c>
      <c r="F17" s="10">
        <v>21250</v>
      </c>
      <c r="G17" s="2" t="s">
        <v>93</v>
      </c>
    </row>
    <row r="18" spans="1:7">
      <c r="A18" s="2"/>
      <c r="B18" s="2"/>
      <c r="C18" s="2"/>
      <c r="D18" s="13" t="s">
        <v>94</v>
      </c>
      <c r="E18" s="14">
        <f>SUM(E15:E17)</f>
        <v>90550</v>
      </c>
      <c r="F18" s="14">
        <f>SUM(F15:F17)</f>
        <v>87750</v>
      </c>
      <c r="G18" s="2"/>
    </row>
    <row r="19" spans="1:7">
      <c r="A19" s="2"/>
      <c r="B19" s="2"/>
      <c r="C19" s="2"/>
      <c r="D19" s="2"/>
      <c r="E19" s="15"/>
      <c r="F19" s="15"/>
      <c r="G19" s="2"/>
    </row>
    <row r="20" spans="1:7" ht="24.75">
      <c r="A20" s="118" t="s">
        <v>97</v>
      </c>
      <c r="B20" s="119"/>
      <c r="C20" s="119"/>
      <c r="D20" s="119"/>
      <c r="E20" s="120"/>
      <c r="F20" s="120"/>
      <c r="G20" s="121"/>
    </row>
    <row r="21" spans="1:7">
      <c r="A21" s="2" t="s">
        <v>85</v>
      </c>
      <c r="B21" s="2" t="s">
        <v>3</v>
      </c>
      <c r="C21" s="2" t="s">
        <v>8</v>
      </c>
      <c r="D21" s="2" t="s">
        <v>86</v>
      </c>
      <c r="E21" s="15" t="s">
        <v>87</v>
      </c>
      <c r="F21" s="15" t="s">
        <v>88</v>
      </c>
      <c r="G21" s="2" t="s">
        <v>89</v>
      </c>
    </row>
    <row r="22" spans="1:7" ht="17.25">
      <c r="A22" s="11" t="s">
        <v>29</v>
      </c>
      <c r="B22" s="16">
        <v>43112</v>
      </c>
      <c r="C22" s="6" t="s">
        <v>30</v>
      </c>
      <c r="D22" s="6" t="s">
        <v>31</v>
      </c>
      <c r="E22" s="10">
        <v>24500</v>
      </c>
      <c r="F22" s="10">
        <v>24500</v>
      </c>
      <c r="G22" s="2" t="s">
        <v>90</v>
      </c>
    </row>
    <row r="23" spans="1:7" ht="17.25">
      <c r="A23" s="11" t="s">
        <v>23</v>
      </c>
      <c r="B23" s="16">
        <v>43124</v>
      </c>
      <c r="C23" s="11" t="s">
        <v>80</v>
      </c>
      <c r="D23" s="11" t="s">
        <v>81</v>
      </c>
      <c r="E23" s="9">
        <v>14310</v>
      </c>
      <c r="F23" s="10">
        <v>13500</v>
      </c>
      <c r="G23" s="2" t="s">
        <v>98</v>
      </c>
    </row>
    <row r="24" spans="1:7" ht="17.25">
      <c r="A24" s="11" t="s">
        <v>23</v>
      </c>
      <c r="B24" s="16">
        <v>43105</v>
      </c>
      <c r="C24" s="17" t="s">
        <v>67</v>
      </c>
      <c r="D24" s="17" t="s">
        <v>68</v>
      </c>
      <c r="E24" s="10">
        <v>12750</v>
      </c>
      <c r="F24" s="10">
        <v>12750</v>
      </c>
      <c r="G24" s="2" t="s">
        <v>93</v>
      </c>
    </row>
    <row r="25" spans="1:7" ht="17.25">
      <c r="A25" s="11" t="s">
        <v>29</v>
      </c>
      <c r="B25" s="16">
        <v>43118</v>
      </c>
      <c r="C25" s="11" t="s">
        <v>69</v>
      </c>
      <c r="D25" s="11" t="s">
        <v>70</v>
      </c>
      <c r="E25" s="19">
        <v>30450</v>
      </c>
      <c r="F25" s="20">
        <v>30450</v>
      </c>
      <c r="G25" s="2" t="s">
        <v>93</v>
      </c>
    </row>
    <row r="26" spans="1:7" ht="17.25">
      <c r="A26" s="11" t="s">
        <v>23</v>
      </c>
      <c r="B26" s="16">
        <v>43127</v>
      </c>
      <c r="C26" s="17" t="s">
        <v>64</v>
      </c>
      <c r="D26" s="17" t="s">
        <v>65</v>
      </c>
      <c r="E26" s="10">
        <v>12750</v>
      </c>
      <c r="F26" s="10">
        <v>12750</v>
      </c>
      <c r="G26" s="2" t="s">
        <v>93</v>
      </c>
    </row>
    <row r="27" spans="1:7">
      <c r="A27" s="2"/>
      <c r="B27" s="2"/>
      <c r="C27" s="2"/>
      <c r="D27" s="13" t="s">
        <v>94</v>
      </c>
      <c r="E27" s="14">
        <f>SUM(E22:E26)</f>
        <v>94760</v>
      </c>
      <c r="F27" s="14">
        <f>SUM(F22:F26)</f>
        <v>93950</v>
      </c>
      <c r="G27" s="2"/>
    </row>
    <row r="28" spans="1:7">
      <c r="A28" s="2"/>
      <c r="B28" s="2"/>
      <c r="C28" s="2"/>
      <c r="D28" s="2"/>
      <c r="E28" s="15"/>
      <c r="F28" s="15"/>
      <c r="G28" s="2"/>
    </row>
    <row r="29" spans="1:7" ht="24.75">
      <c r="A29" s="118" t="s">
        <v>99</v>
      </c>
      <c r="B29" s="119"/>
      <c r="C29" s="119"/>
      <c r="D29" s="119"/>
      <c r="E29" s="120"/>
      <c r="F29" s="120"/>
      <c r="G29" s="121"/>
    </row>
    <row r="30" spans="1:7">
      <c r="A30" s="2" t="s">
        <v>85</v>
      </c>
      <c r="B30" s="2" t="s">
        <v>3</v>
      </c>
      <c r="C30" s="2" t="s">
        <v>8</v>
      </c>
      <c r="D30" s="2" t="s">
        <v>86</v>
      </c>
      <c r="E30" s="15" t="s">
        <v>87</v>
      </c>
      <c r="F30" s="15" t="s">
        <v>88</v>
      </c>
      <c r="G30" s="2" t="s">
        <v>89</v>
      </c>
    </row>
    <row r="31" spans="1:7" ht="17.25">
      <c r="A31" s="11" t="s">
        <v>23</v>
      </c>
      <c r="B31" s="16">
        <v>43127</v>
      </c>
      <c r="C31" s="6" t="s">
        <v>24</v>
      </c>
      <c r="D31" s="11" t="s">
        <v>100</v>
      </c>
      <c r="E31" s="9">
        <v>4000</v>
      </c>
      <c r="F31" s="10">
        <v>4000</v>
      </c>
      <c r="G31" s="2" t="s">
        <v>101</v>
      </c>
    </row>
    <row r="32" spans="1:7" ht="17.25">
      <c r="A32" s="11" t="s">
        <v>29</v>
      </c>
      <c r="B32" s="16">
        <v>43126</v>
      </c>
      <c r="C32" s="21" t="s">
        <v>102</v>
      </c>
      <c r="D32" s="11" t="s">
        <v>71</v>
      </c>
      <c r="E32" s="9">
        <v>12000</v>
      </c>
      <c r="F32" s="10">
        <v>12000</v>
      </c>
      <c r="G32" s="2" t="s">
        <v>93</v>
      </c>
    </row>
    <row r="33" spans="1:7" ht="17.25">
      <c r="A33" s="11" t="s">
        <v>29</v>
      </c>
      <c r="B33" s="16">
        <v>43123</v>
      </c>
      <c r="C33" s="17" t="s">
        <v>76</v>
      </c>
      <c r="D33" s="22" t="s">
        <v>77</v>
      </c>
      <c r="E33" s="9">
        <v>13300</v>
      </c>
      <c r="F33" s="10">
        <v>13300</v>
      </c>
      <c r="G33" s="2" t="s">
        <v>103</v>
      </c>
    </row>
    <row r="34" spans="1:7">
      <c r="A34" s="2"/>
      <c r="B34" s="2"/>
      <c r="C34" s="2"/>
      <c r="D34" s="13" t="s">
        <v>94</v>
      </c>
      <c r="E34" s="14">
        <f>SUM(E31:E33)</f>
        <v>29300</v>
      </c>
      <c r="F34" s="14">
        <f>SUM(F31:F33)</f>
        <v>29300</v>
      </c>
      <c r="G34" s="2"/>
    </row>
    <row r="35" spans="1:7">
      <c r="A35" s="2"/>
      <c r="B35" s="2"/>
      <c r="C35" s="2"/>
      <c r="D35" s="2"/>
      <c r="E35" s="15"/>
      <c r="F35" s="15"/>
      <c r="G35" s="2"/>
    </row>
    <row r="36" spans="1:7">
      <c r="A36" s="2"/>
      <c r="B36" s="2"/>
      <c r="C36" s="2"/>
      <c r="D36" s="23" t="s">
        <v>104</v>
      </c>
      <c r="E36" s="24" t="e">
        <f>E34+E27+E18+E11</f>
        <v>#VALUE!</v>
      </c>
      <c r="F36" s="24" t="e">
        <f>F30F34+F27+F18+F3835F11</f>
        <v>#NAME?</v>
      </c>
      <c r="G36" s="2"/>
    </row>
  </sheetData>
  <mergeCells count="4">
    <mergeCell ref="A1:G1"/>
    <mergeCell ref="A13:G13"/>
    <mergeCell ref="A20:G20"/>
    <mergeCell ref="A29:G29"/>
  </mergeCells>
  <phoneticPr fontId="19"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汶锦</vt:lpstr>
      <vt:lpstr>张璐</vt:lpstr>
      <vt:lpstr>李东晨</vt:lpstr>
      <vt:lpstr>智勇</vt:lpstr>
      <vt:lpstr>业绩汇总</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XYSM</cp:lastModifiedBy>
  <dcterms:created xsi:type="dcterms:W3CDTF">2006-09-16T00:00:00Z</dcterms:created>
  <dcterms:modified xsi:type="dcterms:W3CDTF">2018-04-21T07:48:40Z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