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wmf" ContentType="image/x-wmf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charts/chart54.xml" ContentType="application/vnd.openxmlformats-officedocument.drawingml.chart+xml"/>
  <Override PartName="/xl/charts/chart63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charts/chart61.xml" ContentType="application/vnd.openxmlformats-officedocument.drawingml.char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harts/chart64.xml" ContentType="application/vnd.openxmlformats-officedocument.drawingml.chart+xml"/>
  <Override PartName="/xl/calcChain.xml" ContentType="application/vnd.openxmlformats-officedocument.spreadsheetml.calcChain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charts/chart62.xml" ContentType="application/vnd.openxmlformats-officedocument.drawingml.char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xl/charts/chart60.xml" ContentType="application/vnd.openxmlformats-officedocument.drawingml.chart+xml"/>
  <Override PartName="/docProps/core.xml" ContentType="application/vnd.openxmlformats-package.core-properties+xml"/>
  <Override PartName="/xl/charts/chart6.xml" ContentType="application/vnd.openxmlformats-officedocument.drawingml.chart+xml"/>
  <Override PartName="/xl/charts/chart2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580" yWindow="-75" windowWidth="6570" windowHeight="4920" tabRatio="941"/>
  </bookViews>
  <sheets>
    <sheet name="2003-2013 no of events" sheetId="5" r:id="rId1"/>
    <sheet name="2003-2013 revenue" sheetId="6" r:id="rId2"/>
    <sheet name="Notable Events" sheetId="16" r:id="rId3"/>
    <sheet name="2003-2013 no of events wo disto" sheetId="15" r:id="rId4"/>
    <sheet name="2003-2013 revenue wo disto" sheetId="14" r:id="rId5"/>
    <sheet name="2003-2012 wo graphs" sheetId="13" r:id="rId6"/>
    <sheet name="No. of Events Per Year" sheetId="7" r:id="rId7"/>
    <sheet name="No. of Events Per Month" sheetId="8" r:id="rId8"/>
    <sheet name="Revenue Per Year" sheetId="9" r:id="rId9"/>
    <sheet name="Revenue Per Month" sheetId="10" r:id="rId10"/>
    <sheet name="Sheet1" sheetId="11" r:id="rId11"/>
    <sheet name="Sheet2" sheetId="12" r:id="rId12"/>
    <sheet name="Sheet3" sheetId="17" r:id="rId13"/>
    <sheet name="Sheet4" sheetId="18" r:id="rId14"/>
  </sheets>
  <definedNames>
    <definedName name="_xlnm.Print_Area" localSheetId="0">'2003-2013 no of events'!$A$1:$AD$44</definedName>
    <definedName name="_xlnm.Print_Area" localSheetId="3">'2003-2013 no of events wo disto'!$A$1:$O$44</definedName>
    <definedName name="_xlnm.Print_Area" localSheetId="1">'2003-2013 revenue'!$A$1:$AD$42</definedName>
    <definedName name="_xlnm.Print_Area" localSheetId="4">'2003-2013 revenue wo disto'!$A$1:$O$42</definedName>
    <definedName name="_xlnm.Print_Area" localSheetId="7">'No. of Events Per Month'!$A$1:$K$42</definedName>
    <definedName name="_xlnm.Print_Area" localSheetId="6">'No. of Events Per Year'!$A$1:$K$42</definedName>
    <definedName name="_xlnm.Print_Area" localSheetId="9">'Revenue Per Month'!$A$1:$K$41</definedName>
    <definedName name="_xlnm.Print_Area" localSheetId="8">'Revenue Per Year'!$A$1:$K$41</definedName>
  </definedNames>
  <calcPr calcId="125725"/>
</workbook>
</file>

<file path=xl/calcChain.xml><?xml version="1.0" encoding="utf-8"?>
<calcChain xmlns="http://schemas.openxmlformats.org/spreadsheetml/2006/main">
  <c r="AD16" i="5"/>
  <c r="AD15"/>
  <c r="AD14"/>
  <c r="AD13"/>
  <c r="AD12"/>
  <c r="AD11"/>
  <c r="AD10"/>
  <c r="AD9"/>
  <c r="AD8"/>
  <c r="AD7"/>
  <c r="AD6"/>
  <c r="AD5"/>
  <c r="F17" i="6"/>
  <c r="AA17" i="5"/>
  <c r="Z17"/>
  <c r="Y17"/>
  <c r="Y18" s="1"/>
  <c r="X17"/>
  <c r="X18"/>
  <c r="W17"/>
  <c r="W18"/>
  <c r="V17"/>
  <c r="U17"/>
  <c r="V18" s="1"/>
  <c r="T17"/>
  <c r="T18"/>
  <c r="S17"/>
  <c r="S18"/>
  <c r="R17"/>
  <c r="R18"/>
  <c r="Q17"/>
  <c r="Q18"/>
  <c r="P17"/>
  <c r="P18"/>
  <c r="O17"/>
  <c r="O18"/>
  <c r="N17"/>
  <c r="N18"/>
  <c r="M17"/>
  <c r="M18"/>
  <c r="L17"/>
  <c r="K17"/>
  <c r="L18" s="1"/>
  <c r="J17"/>
  <c r="AB5"/>
  <c r="AC5"/>
  <c r="L33" i="13"/>
  <c r="L32"/>
  <c r="L31"/>
  <c r="L30"/>
  <c r="L29"/>
  <c r="L28"/>
  <c r="L27"/>
  <c r="L26"/>
  <c r="L25"/>
  <c r="L24"/>
  <c r="L23"/>
  <c r="L22"/>
  <c r="L21"/>
  <c r="K33"/>
  <c r="J33"/>
  <c r="I33"/>
  <c r="H33"/>
  <c r="G33"/>
  <c r="F33"/>
  <c r="E33"/>
  <c r="D33"/>
  <c r="C33"/>
  <c r="B33"/>
  <c r="L16"/>
  <c r="L15"/>
  <c r="L14"/>
  <c r="L13"/>
  <c r="L12"/>
  <c r="L11"/>
  <c r="L10"/>
  <c r="L9"/>
  <c r="L8"/>
  <c r="L7"/>
  <c r="L6"/>
  <c r="L5"/>
  <c r="L4"/>
  <c r="K16"/>
  <c r="J16"/>
  <c r="I16"/>
  <c r="H16"/>
  <c r="G16"/>
  <c r="F16"/>
  <c r="E16"/>
  <c r="D16"/>
  <c r="C16"/>
  <c r="B16"/>
  <c r="O12" i="14"/>
  <c r="O13"/>
  <c r="O14"/>
  <c r="O15"/>
  <c r="O16"/>
  <c r="N7"/>
  <c r="N16"/>
  <c r="N15"/>
  <c r="N13"/>
  <c r="N14"/>
  <c r="N12"/>
  <c r="N10"/>
  <c r="N11"/>
  <c r="P6" i="15"/>
  <c r="P7"/>
  <c r="P17"/>
  <c r="P8"/>
  <c r="P9"/>
  <c r="P10"/>
  <c r="P11"/>
  <c r="P12"/>
  <c r="P13"/>
  <c r="P14"/>
  <c r="P15"/>
  <c r="P16"/>
  <c r="O6"/>
  <c r="O7"/>
  <c r="O8"/>
  <c r="O9"/>
  <c r="O10"/>
  <c r="O11"/>
  <c r="O12"/>
  <c r="O13"/>
  <c r="O14"/>
  <c r="O15"/>
  <c r="O16"/>
  <c r="AD6" i="6"/>
  <c r="AD7"/>
  <c r="AD8"/>
  <c r="AD9"/>
  <c r="AD10"/>
  <c r="AD11"/>
  <c r="AD12"/>
  <c r="AD13"/>
  <c r="AD14"/>
  <c r="AD15"/>
  <c r="AD16"/>
  <c r="AD5"/>
  <c r="AD17"/>
  <c r="AC6"/>
  <c r="AC7"/>
  <c r="AC8"/>
  <c r="AC9"/>
  <c r="AC10"/>
  <c r="AC11"/>
  <c r="AC12"/>
  <c r="AC13"/>
  <c r="AC14"/>
  <c r="AC15"/>
  <c r="AC16"/>
  <c r="AC11" i="5"/>
  <c r="AC12"/>
  <c r="AC13"/>
  <c r="AC14"/>
  <c r="AC15"/>
  <c r="AC16"/>
  <c r="P5" i="15"/>
  <c r="L17"/>
  <c r="L18"/>
  <c r="M17"/>
  <c r="K17"/>
  <c r="K18"/>
  <c r="J17"/>
  <c r="I17"/>
  <c r="I18"/>
  <c r="H17"/>
  <c r="H18"/>
  <c r="G17"/>
  <c r="G18"/>
  <c r="F17"/>
  <c r="F18"/>
  <c r="E17"/>
  <c r="E18"/>
  <c r="D17"/>
  <c r="D18"/>
  <c r="C17"/>
  <c r="N16"/>
  <c r="N15"/>
  <c r="N14"/>
  <c r="N13"/>
  <c r="N12"/>
  <c r="N11"/>
  <c r="N10"/>
  <c r="N9"/>
  <c r="N8"/>
  <c r="N7"/>
  <c r="N6"/>
  <c r="O5"/>
  <c r="O17"/>
  <c r="N5"/>
  <c r="N17"/>
  <c r="O11" i="14"/>
  <c r="O7"/>
  <c r="O8"/>
  <c r="O10"/>
  <c r="O5"/>
  <c r="O9"/>
  <c r="O6"/>
  <c r="G319"/>
  <c r="N315"/>
  <c r="C276"/>
  <c r="G275"/>
  <c r="G276"/>
  <c r="F275"/>
  <c r="F276"/>
  <c r="E275"/>
  <c r="E276"/>
  <c r="D275"/>
  <c r="D276"/>
  <c r="C275"/>
  <c r="T274"/>
  <c r="T273"/>
  <c r="T272"/>
  <c r="U272"/>
  <c r="V272"/>
  <c r="T227"/>
  <c r="T226"/>
  <c r="U226"/>
  <c r="V226"/>
  <c r="F223"/>
  <c r="G222"/>
  <c r="G223"/>
  <c r="F222"/>
  <c r="E222"/>
  <c r="E223"/>
  <c r="D222"/>
  <c r="D223"/>
  <c r="C222"/>
  <c r="C223"/>
  <c r="T221"/>
  <c r="T220"/>
  <c r="U220"/>
  <c r="V220"/>
  <c r="D135"/>
  <c r="D134"/>
  <c r="F134"/>
  <c r="C134"/>
  <c r="D133"/>
  <c r="F133"/>
  <c r="C133"/>
  <c r="F132"/>
  <c r="D132"/>
  <c r="E132"/>
  <c r="B132"/>
  <c r="D131"/>
  <c r="D130"/>
  <c r="E130"/>
  <c r="B130"/>
  <c r="C130"/>
  <c r="D129"/>
  <c r="F129"/>
  <c r="C129"/>
  <c r="D128"/>
  <c r="F128"/>
  <c r="C128"/>
  <c r="D127"/>
  <c r="F127"/>
  <c r="D126"/>
  <c r="D125"/>
  <c r="F125"/>
  <c r="C125"/>
  <c r="D124"/>
  <c r="F124"/>
  <c r="E124"/>
  <c r="F117"/>
  <c r="E117"/>
  <c r="U115"/>
  <c r="S115"/>
  <c r="V115"/>
  <c r="C115"/>
  <c r="B115"/>
  <c r="U114"/>
  <c r="D114"/>
  <c r="B114"/>
  <c r="U113"/>
  <c r="S113"/>
  <c r="V113"/>
  <c r="D113"/>
  <c r="B113"/>
  <c r="U112"/>
  <c r="D112"/>
  <c r="B112"/>
  <c r="U111"/>
  <c r="S111"/>
  <c r="T111"/>
  <c r="W111"/>
  <c r="D111"/>
  <c r="B111"/>
  <c r="U110"/>
  <c r="S110"/>
  <c r="T110"/>
  <c r="W110"/>
  <c r="D110"/>
  <c r="B110"/>
  <c r="U109"/>
  <c r="S109"/>
  <c r="T109"/>
  <c r="W109"/>
  <c r="D109"/>
  <c r="B109"/>
  <c r="U108"/>
  <c r="S108"/>
  <c r="T108"/>
  <c r="W108"/>
  <c r="D108"/>
  <c r="B108"/>
  <c r="U107"/>
  <c r="S107"/>
  <c r="T107"/>
  <c r="W107"/>
  <c r="D107"/>
  <c r="B107"/>
  <c r="U106"/>
  <c r="T106"/>
  <c r="W106"/>
  <c r="S106"/>
  <c r="V106"/>
  <c r="D106"/>
  <c r="B106"/>
  <c r="U105"/>
  <c r="S105"/>
  <c r="T105"/>
  <c r="W105"/>
  <c r="D105"/>
  <c r="B105"/>
  <c r="U104"/>
  <c r="S104"/>
  <c r="D104"/>
  <c r="B104"/>
  <c r="D88"/>
  <c r="C88"/>
  <c r="B86"/>
  <c r="B85"/>
  <c r="B84"/>
  <c r="B83"/>
  <c r="B82"/>
  <c r="B81"/>
  <c r="B80"/>
  <c r="B79"/>
  <c r="B78"/>
  <c r="B77"/>
  <c r="B76"/>
  <c r="B75"/>
  <c r="J45"/>
  <c r="I45"/>
  <c r="H45"/>
  <c r="J44"/>
  <c r="I44"/>
  <c r="H44"/>
  <c r="P29"/>
  <c r="N26"/>
  <c r="R18"/>
  <c r="W18"/>
  <c r="R17"/>
  <c r="X17"/>
  <c r="L17"/>
  <c r="K17"/>
  <c r="J17"/>
  <c r="I17"/>
  <c r="H17"/>
  <c r="G17"/>
  <c r="G18"/>
  <c r="F17"/>
  <c r="F18"/>
  <c r="E17"/>
  <c r="E18"/>
  <c r="D17"/>
  <c r="C17"/>
  <c r="C18"/>
  <c r="B17"/>
  <c r="R16"/>
  <c r="W16"/>
  <c r="P16"/>
  <c r="T16"/>
  <c r="N23"/>
  <c r="M16"/>
  <c r="T18"/>
  <c r="R15"/>
  <c r="W15"/>
  <c r="M15"/>
  <c r="T17"/>
  <c r="R14"/>
  <c r="X14"/>
  <c r="W14"/>
  <c r="P14"/>
  <c r="T14"/>
  <c r="U14"/>
  <c r="M14"/>
  <c r="R13"/>
  <c r="W13"/>
  <c r="P13"/>
  <c r="M13"/>
  <c r="T15"/>
  <c r="R12"/>
  <c r="W12"/>
  <c r="M12"/>
  <c r="R11"/>
  <c r="M11"/>
  <c r="R10"/>
  <c r="P10"/>
  <c r="T10"/>
  <c r="M10"/>
  <c r="U12"/>
  <c r="R9"/>
  <c r="N9"/>
  <c r="M9"/>
  <c r="T11"/>
  <c r="R8"/>
  <c r="W8"/>
  <c r="N8"/>
  <c r="M8"/>
  <c r="R7"/>
  <c r="W7"/>
  <c r="M7"/>
  <c r="U9"/>
  <c r="N6"/>
  <c r="M6"/>
  <c r="U8"/>
  <c r="T8"/>
  <c r="N5"/>
  <c r="N17"/>
  <c r="M5"/>
  <c r="P3"/>
  <c r="P2"/>
  <c r="J18"/>
  <c r="T12"/>
  <c r="T115"/>
  <c r="W115"/>
  <c r="B124"/>
  <c r="E125"/>
  <c r="B125"/>
  <c r="C127"/>
  <c r="E129"/>
  <c r="B129"/>
  <c r="C132"/>
  <c r="E134"/>
  <c r="B134"/>
  <c r="V104"/>
  <c r="V105"/>
  <c r="V107"/>
  <c r="V108"/>
  <c r="V109"/>
  <c r="V110"/>
  <c r="U15"/>
  <c r="U10"/>
  <c r="X12"/>
  <c r="X13"/>
  <c r="W17"/>
  <c r="U11"/>
  <c r="X15"/>
  <c r="X16"/>
  <c r="U17"/>
  <c r="X18"/>
  <c r="C104"/>
  <c r="C105"/>
  <c r="C106"/>
  <c r="C107"/>
  <c r="C108"/>
  <c r="C109"/>
  <c r="C110"/>
  <c r="C111"/>
  <c r="C112"/>
  <c r="C113"/>
  <c r="C114"/>
  <c r="D117"/>
  <c r="B117"/>
  <c r="F126"/>
  <c r="E126"/>
  <c r="B126"/>
  <c r="C126"/>
  <c r="F131"/>
  <c r="C131"/>
  <c r="F135"/>
  <c r="C135"/>
  <c r="X7"/>
  <c r="X8"/>
  <c r="T104"/>
  <c r="C124"/>
  <c r="W104"/>
  <c r="F137"/>
  <c r="D137"/>
  <c r="E135"/>
  <c r="B135"/>
  <c r="C117"/>
  <c r="E131"/>
  <c r="B131"/>
  <c r="AC10" i="5"/>
  <c r="AC5" i="6"/>
  <c r="AB6"/>
  <c r="AB7"/>
  <c r="AB8"/>
  <c r="AB9"/>
  <c r="AB5"/>
  <c r="AB17" s="1"/>
  <c r="AA17"/>
  <c r="AC6" i="5"/>
  <c r="AC7"/>
  <c r="AC8"/>
  <c r="AC9"/>
  <c r="AB6"/>
  <c r="AB7"/>
  <c r="AB8"/>
  <c r="AB9"/>
  <c r="AB14"/>
  <c r="AB15"/>
  <c r="AB16"/>
  <c r="AB14" i="6"/>
  <c r="AB15"/>
  <c r="AB16"/>
  <c r="AB13" i="5"/>
  <c r="AB12"/>
  <c r="AB11"/>
  <c r="AB13" i="6"/>
  <c r="AI15" s="1"/>
  <c r="AB12"/>
  <c r="AB11"/>
  <c r="AE3"/>
  <c r="AE2"/>
  <c r="AC26"/>
  <c r="AC23"/>
  <c r="Z17"/>
  <c r="AA18" s="1"/>
  <c r="AB10" i="5"/>
  <c r="AI11" i="6"/>
  <c r="Y45"/>
  <c r="Y44"/>
  <c r="X45"/>
  <c r="X44"/>
  <c r="W45"/>
  <c r="W44"/>
  <c r="AE29"/>
  <c r="AI17"/>
  <c r="Y17"/>
  <c r="J15" i="10"/>
  <c r="J16"/>
  <c r="I15"/>
  <c r="I16"/>
  <c r="H15"/>
  <c r="H16"/>
  <c r="G15"/>
  <c r="G16"/>
  <c r="F15"/>
  <c r="F16"/>
  <c r="E15"/>
  <c r="E16"/>
  <c r="D15"/>
  <c r="D16"/>
  <c r="C15"/>
  <c r="C16"/>
  <c r="B15"/>
  <c r="K15"/>
  <c r="K14"/>
  <c r="K13"/>
  <c r="K12"/>
  <c r="K11"/>
  <c r="K10"/>
  <c r="K9"/>
  <c r="K8"/>
  <c r="K7"/>
  <c r="K6"/>
  <c r="K5"/>
  <c r="K4"/>
  <c r="K3"/>
  <c r="J15" i="9"/>
  <c r="I15"/>
  <c r="H15"/>
  <c r="G15"/>
  <c r="F15"/>
  <c r="E15"/>
  <c r="D15"/>
  <c r="C15"/>
  <c r="C16"/>
  <c r="B15"/>
  <c r="K14"/>
  <c r="K13"/>
  <c r="K12"/>
  <c r="K11"/>
  <c r="K10"/>
  <c r="K9"/>
  <c r="K8"/>
  <c r="K7"/>
  <c r="K6"/>
  <c r="K5"/>
  <c r="K4"/>
  <c r="K3"/>
  <c r="J15" i="8"/>
  <c r="J16"/>
  <c r="I15"/>
  <c r="I16"/>
  <c r="H15"/>
  <c r="H16"/>
  <c r="G15"/>
  <c r="G16"/>
  <c r="F15"/>
  <c r="F16"/>
  <c r="E15"/>
  <c r="E16"/>
  <c r="D15"/>
  <c r="D16"/>
  <c r="C15"/>
  <c r="C16"/>
  <c r="B15"/>
  <c r="K14"/>
  <c r="K13"/>
  <c r="K12"/>
  <c r="K11"/>
  <c r="K10"/>
  <c r="K9"/>
  <c r="K8"/>
  <c r="K7"/>
  <c r="K6"/>
  <c r="K5"/>
  <c r="K4"/>
  <c r="K3"/>
  <c r="J15" i="7"/>
  <c r="J16"/>
  <c r="I15"/>
  <c r="I16"/>
  <c r="H15"/>
  <c r="H16"/>
  <c r="G15"/>
  <c r="F15"/>
  <c r="F16"/>
  <c r="E15"/>
  <c r="D15"/>
  <c r="D16"/>
  <c r="C15"/>
  <c r="B15"/>
  <c r="K15"/>
  <c r="K14"/>
  <c r="K13"/>
  <c r="K12"/>
  <c r="K11"/>
  <c r="K10"/>
  <c r="K9"/>
  <c r="K8"/>
  <c r="K7"/>
  <c r="K6"/>
  <c r="K5"/>
  <c r="K4"/>
  <c r="K3"/>
  <c r="AJ9" i="6"/>
  <c r="AI7"/>
  <c r="AI18"/>
  <c r="X17"/>
  <c r="AE24"/>
  <c r="I17" i="5"/>
  <c r="J18" s="1"/>
  <c r="W17" i="6"/>
  <c r="AE14"/>
  <c r="AI14" s="1"/>
  <c r="AG14"/>
  <c r="AL14" s="1"/>
  <c r="AE13"/>
  <c r="AI13" s="1"/>
  <c r="AG18"/>
  <c r="AM18" s="1"/>
  <c r="AG17"/>
  <c r="AM17" s="1"/>
  <c r="AG15"/>
  <c r="AL15" s="1"/>
  <c r="AG12"/>
  <c r="AM12" s="1"/>
  <c r="AG11"/>
  <c r="AL11" s="1"/>
  <c r="AG9"/>
  <c r="AM9" s="1"/>
  <c r="AG8"/>
  <c r="AM8" s="1"/>
  <c r="AG7"/>
  <c r="AM7" s="1"/>
  <c r="AG13"/>
  <c r="AM13" s="1"/>
  <c r="AG16"/>
  <c r="AM16" s="1"/>
  <c r="AG10"/>
  <c r="AM10" s="1"/>
  <c r="AE16"/>
  <c r="AI16" s="1"/>
  <c r="AE10"/>
  <c r="AI10" s="1"/>
  <c r="H17" i="5"/>
  <c r="V17" i="6"/>
  <c r="D17"/>
  <c r="D18" s="1"/>
  <c r="C17"/>
  <c r="B17"/>
  <c r="E17" i="5"/>
  <c r="C17"/>
  <c r="G17"/>
  <c r="F17"/>
  <c r="D17"/>
  <c r="D18" s="1"/>
  <c r="AI226" i="6"/>
  <c r="AI227"/>
  <c r="AC315"/>
  <c r="V319"/>
  <c r="C275"/>
  <c r="C276" s="1"/>
  <c r="D275"/>
  <c r="D276" s="1"/>
  <c r="E275"/>
  <c r="E276" s="1"/>
  <c r="F275"/>
  <c r="F276" s="1"/>
  <c r="V275"/>
  <c r="V276" s="1"/>
  <c r="AI274"/>
  <c r="AI273"/>
  <c r="AI272"/>
  <c r="C222"/>
  <c r="C223"/>
  <c r="D222"/>
  <c r="D223"/>
  <c r="E222"/>
  <c r="E223"/>
  <c r="F222"/>
  <c r="F223"/>
  <c r="V222"/>
  <c r="V223"/>
  <c r="AI221"/>
  <c r="AI220"/>
  <c r="D124"/>
  <c r="F124"/>
  <c r="E124" s="1"/>
  <c r="D125"/>
  <c r="F125" s="1"/>
  <c r="D126"/>
  <c r="F126"/>
  <c r="C126" s="1"/>
  <c r="D127"/>
  <c r="F127"/>
  <c r="C127" s="1"/>
  <c r="D128"/>
  <c r="F128" s="1"/>
  <c r="C128" s="1"/>
  <c r="D129"/>
  <c r="F129" s="1"/>
  <c r="C129" s="1"/>
  <c r="D130"/>
  <c r="C130"/>
  <c r="D131"/>
  <c r="F131"/>
  <c r="C131" s="1"/>
  <c r="D132"/>
  <c r="F132"/>
  <c r="C132" s="1"/>
  <c r="D133"/>
  <c r="F133" s="1"/>
  <c r="C133" s="1"/>
  <c r="D134"/>
  <c r="F134" s="1"/>
  <c r="C134" s="1"/>
  <c r="D135"/>
  <c r="F135" s="1"/>
  <c r="C135" s="1"/>
  <c r="AJ104"/>
  <c r="AH104" s="1"/>
  <c r="AJ105"/>
  <c r="AH105" s="1"/>
  <c r="AJ106"/>
  <c r="AH106"/>
  <c r="AI106" s="1"/>
  <c r="AL106" s="1"/>
  <c r="AJ107"/>
  <c r="AJ108"/>
  <c r="AH108" s="1"/>
  <c r="AK108" s="1"/>
  <c r="AJ109"/>
  <c r="AH109" s="1"/>
  <c r="AJ110"/>
  <c r="AH110"/>
  <c r="AI110" s="1"/>
  <c r="AL110" s="1"/>
  <c r="AJ111"/>
  <c r="AH111"/>
  <c r="AJ112"/>
  <c r="AH112"/>
  <c r="AJ113"/>
  <c r="AH113"/>
  <c r="AJ114"/>
  <c r="AH114"/>
  <c r="AK114" s="1"/>
  <c r="AJ115"/>
  <c r="D105"/>
  <c r="B105" s="1"/>
  <c r="D106"/>
  <c r="B106" s="1"/>
  <c r="D107"/>
  <c r="B107" s="1"/>
  <c r="D108"/>
  <c r="C108" s="1"/>
  <c r="D109"/>
  <c r="B109" s="1"/>
  <c r="D110"/>
  <c r="C110" s="1"/>
  <c r="D111"/>
  <c r="B111" s="1"/>
  <c r="D112"/>
  <c r="B112" s="1"/>
  <c r="D113"/>
  <c r="B113" s="1"/>
  <c r="D114"/>
  <c r="B114" s="1"/>
  <c r="D104"/>
  <c r="C104" s="1"/>
  <c r="F117"/>
  <c r="B115"/>
  <c r="C115"/>
  <c r="D88"/>
  <c r="D89" s="1"/>
  <c r="C88"/>
  <c r="B86"/>
  <c r="B85"/>
  <c r="B76"/>
  <c r="B77"/>
  <c r="B78"/>
  <c r="B79"/>
  <c r="B80"/>
  <c r="B81"/>
  <c r="B82"/>
  <c r="B83"/>
  <c r="B84"/>
  <c r="B75"/>
  <c r="E17"/>
  <c r="F18" s="1"/>
  <c r="E117"/>
  <c r="AL7"/>
  <c r="AL17"/>
  <c r="AJ11"/>
  <c r="AJ17"/>
  <c r="AI9"/>
  <c r="AJ15"/>
  <c r="AJ16"/>
  <c r="AJ18"/>
  <c r="AJ8"/>
  <c r="AI8"/>
  <c r="Y18"/>
  <c r="C106"/>
  <c r="B108"/>
  <c r="E18"/>
  <c r="V18"/>
  <c r="AJ7"/>
  <c r="AJ226"/>
  <c r="AK226" s="1"/>
  <c r="C114"/>
  <c r="E131"/>
  <c r="B131" s="1"/>
  <c r="C113"/>
  <c r="AH115"/>
  <c r="AK115"/>
  <c r="AH107"/>
  <c r="AK107"/>
  <c r="AJ220"/>
  <c r="AK220" s="1"/>
  <c r="AJ272"/>
  <c r="AK272" s="1"/>
  <c r="C18"/>
  <c r="AI113"/>
  <c r="AL113" s="1"/>
  <c r="AK113"/>
  <c r="AI114"/>
  <c r="AL114" s="1"/>
  <c r="AK106"/>
  <c r="E126"/>
  <c r="B126" s="1"/>
  <c r="C107"/>
  <c r="C124"/>
  <c r="E130"/>
  <c r="B130"/>
  <c r="AI115"/>
  <c r="AL115"/>
  <c r="AI107"/>
  <c r="AL107"/>
  <c r="G16" i="9"/>
  <c r="K15"/>
  <c r="F16"/>
  <c r="J16"/>
  <c r="E16"/>
  <c r="I16"/>
  <c r="D16"/>
  <c r="H16"/>
  <c r="K15" i="8"/>
  <c r="AB10" i="6"/>
  <c r="AI12"/>
  <c r="X18"/>
  <c r="W18"/>
  <c r="AJ12"/>
  <c r="Z18"/>
  <c r="K18" i="14"/>
  <c r="U18"/>
  <c r="AC17" i="6"/>
  <c r="AI111"/>
  <c r="AL111" s="1"/>
  <c r="AK111"/>
  <c r="AI112"/>
  <c r="AL112" s="1"/>
  <c r="AK112"/>
  <c r="W9" i="14"/>
  <c r="X9"/>
  <c r="W10"/>
  <c r="X10"/>
  <c r="X11"/>
  <c r="W11"/>
  <c r="T13"/>
  <c r="U13"/>
  <c r="U7"/>
  <c r="T7"/>
  <c r="D18"/>
  <c r="H18"/>
  <c r="I18"/>
  <c r="D89"/>
  <c r="B88"/>
  <c r="V111"/>
  <c r="T113"/>
  <c r="W113"/>
  <c r="E127"/>
  <c r="E128"/>
  <c r="B128"/>
  <c r="S112"/>
  <c r="V112"/>
  <c r="S114"/>
  <c r="V114"/>
  <c r="E133"/>
  <c r="B133"/>
  <c r="J18" i="15"/>
  <c r="B127" i="14"/>
  <c r="E137"/>
  <c r="T114"/>
  <c r="W114"/>
  <c r="T112"/>
  <c r="S117"/>
  <c r="W112"/>
  <c r="T117"/>
  <c r="U117"/>
  <c r="M17"/>
  <c r="O17"/>
  <c r="T9"/>
  <c r="C16" i="7"/>
  <c r="E16"/>
  <c r="G16"/>
  <c r="U16" i="14"/>
  <c r="AM14" i="6"/>
  <c r="AL10"/>
  <c r="AJ10"/>
  <c r="AL8"/>
  <c r="AL13"/>
  <c r="H18" i="5"/>
  <c r="I18"/>
  <c r="AC17"/>
  <c r="E18"/>
  <c r="F18" l="1"/>
  <c r="Z18"/>
  <c r="AA18"/>
  <c r="AB17"/>
  <c r="K18"/>
  <c r="G18"/>
  <c r="U18"/>
  <c r="AD17"/>
  <c r="AK109" i="6"/>
  <c r="AI109"/>
  <c r="AL109" s="1"/>
  <c r="AK104"/>
  <c r="AI104"/>
  <c r="AH117"/>
  <c r="C125"/>
  <c r="E125"/>
  <c r="B125" s="1"/>
  <c r="F137"/>
  <c r="D137" s="1"/>
  <c r="AI105"/>
  <c r="AL105" s="1"/>
  <c r="AK105"/>
  <c r="B124"/>
  <c r="AL16"/>
  <c r="AL9"/>
  <c r="AJ13"/>
  <c r="AM15"/>
  <c r="AM11"/>
  <c r="E128"/>
  <c r="B128" s="1"/>
  <c r="E133"/>
  <c r="B133" s="1"/>
  <c r="AK110"/>
  <c r="E134"/>
  <c r="B134" s="1"/>
  <c r="AI108"/>
  <c r="AL108" s="1"/>
  <c r="E129"/>
  <c r="B129" s="1"/>
  <c r="B88"/>
  <c r="E132"/>
  <c r="B132" s="1"/>
  <c r="E127"/>
  <c r="B127" s="1"/>
  <c r="D117"/>
  <c r="B117" s="1"/>
  <c r="C111"/>
  <c r="C105"/>
  <c r="E135"/>
  <c r="B135" s="1"/>
  <c r="B104"/>
  <c r="C112"/>
  <c r="C109"/>
  <c r="AL18"/>
  <c r="AL12"/>
  <c r="AJ14"/>
  <c r="B110"/>
  <c r="C117" l="1"/>
  <c r="AL104"/>
  <c r="AI117"/>
  <c r="AJ117" s="1"/>
  <c r="E137"/>
</calcChain>
</file>

<file path=xl/sharedStrings.xml><?xml version="1.0" encoding="utf-8"?>
<sst xmlns="http://schemas.openxmlformats.org/spreadsheetml/2006/main" count="473" uniqueCount="59">
  <si>
    <t>Jan</t>
  </si>
  <si>
    <t>Feb</t>
  </si>
  <si>
    <t>Mar</t>
  </si>
  <si>
    <t>Apr</t>
  </si>
  <si>
    <t>May</t>
  </si>
  <si>
    <t>June</t>
  </si>
  <si>
    <t>July</t>
  </si>
  <si>
    <t>Aug</t>
  </si>
  <si>
    <t>Sep</t>
  </si>
  <si>
    <t>Oct</t>
  </si>
  <si>
    <t>Nov</t>
  </si>
  <si>
    <t>Dec</t>
  </si>
  <si>
    <t>Total</t>
  </si>
  <si>
    <t>FORUM</t>
  </si>
  <si>
    <t>% increase/yr</t>
  </si>
  <si>
    <t>Revenue</t>
  </si>
  <si>
    <t>%inc/dec</t>
  </si>
  <si>
    <t>2007 Actual</t>
  </si>
  <si>
    <t>2007 Budget</t>
  </si>
  <si>
    <t>Variance</t>
  </si>
  <si>
    <t xml:space="preserve">% increase </t>
  </si>
  <si>
    <t>Jun</t>
  </si>
  <si>
    <t>Jul</t>
  </si>
  <si>
    <t>MC</t>
  </si>
  <si>
    <t>% Rev MC</t>
  </si>
  <si>
    <t>% Rev Forum</t>
  </si>
  <si>
    <t>2007 Revenue Breakdown  - Main Complex vs Forum</t>
  </si>
  <si>
    <t>2008 PROJECTED Revenue Breakdown</t>
  </si>
  <si>
    <t>Var</t>
  </si>
  <si>
    <t>Var %</t>
  </si>
  <si>
    <t>2008 Actual</t>
  </si>
  <si>
    <t>Budget</t>
  </si>
  <si>
    <t>Variance %</t>
  </si>
  <si>
    <t>2007 ytd</t>
  </si>
  <si>
    <t>YTD ACTUAL REVENUE VS BUDGET</t>
  </si>
  <si>
    <t>YTD 2008 ACTUAL VS 2007</t>
  </si>
  <si>
    <t>YTD ACTUAL NUMBER OF EVENTS VS BUDGET</t>
  </si>
  <si>
    <t>2008 YTD</t>
  </si>
  <si>
    <t>(Jan to May)</t>
  </si>
  <si>
    <t>% to Budget</t>
  </si>
  <si>
    <t>Ave. Growth %</t>
  </si>
  <si>
    <t>(5 months)</t>
  </si>
  <si>
    <t>Number of Events</t>
  </si>
  <si>
    <t>Month</t>
  </si>
  <si>
    <t>Average</t>
  </si>
  <si>
    <t xml:space="preserve"> NUMBER OF EVENTS PER YEAR </t>
  </si>
  <si>
    <t>2003-2008</t>
  </si>
  <si>
    <t>2005-2008</t>
  </si>
  <si>
    <t>Main Complex (78%)</t>
  </si>
  <si>
    <t>Forum (22%)</t>
  </si>
  <si>
    <t>REVENUE PER YEAR</t>
  </si>
  <si>
    <t>HISTORICAL NO. OF EVENTS AND REVEUE (2003-2012)</t>
  </si>
  <si>
    <t>as of June 6, 2013</t>
  </si>
  <si>
    <t>(2003-2013)</t>
  </si>
  <si>
    <t>Average           (2009-2013)</t>
  </si>
  <si>
    <t>Average           (2011-2013)</t>
  </si>
  <si>
    <t>Event Name</t>
  </si>
  <si>
    <t>Year</t>
  </si>
  <si>
    <t>SIGNIFICANTS EVENTS HELD IN PICC (2003-2013)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</si>
</sst>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0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2"/>
      <color indexed="14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sz val="10"/>
      <color indexed="12"/>
      <name val="Arial"/>
      <family val="2"/>
    </font>
    <font>
      <sz val="10"/>
      <color indexed="14"/>
      <name val="Arial"/>
      <family val="2"/>
    </font>
    <font>
      <sz val="10"/>
      <color indexed="57"/>
      <name val="Arial"/>
      <family val="2"/>
    </font>
    <font>
      <b/>
      <sz val="12"/>
      <color indexed="53"/>
      <name val="Arial"/>
      <family val="2"/>
    </font>
    <font>
      <sz val="10"/>
      <color indexed="53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9"/>
      <color indexed="12"/>
      <name val="Arial"/>
      <family val="2"/>
    </font>
    <font>
      <sz val="8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52"/>
      <name val="Arial"/>
      <family val="2"/>
    </font>
    <font>
      <b/>
      <sz val="14"/>
      <name val="Arial"/>
      <family val="2"/>
    </font>
    <font>
      <i/>
      <sz val="8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2"/>
      <color theme="0"/>
      <name val="Arial"/>
      <family val="2"/>
    </font>
    <font>
      <sz val="10"/>
      <color theme="0" tint="-0.34998626667073579"/>
      <name val="Arial"/>
      <family val="2"/>
    </font>
    <font>
      <b/>
      <sz val="10"/>
      <color theme="0" tint="-0.349986266670735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8" fillId="0" borderId="0" xfId="0" applyFont="1"/>
    <xf numFmtId="0" fontId="0" fillId="0" borderId="0" xfId="0" applyBorder="1"/>
    <xf numFmtId="3" fontId="8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3" fontId="9" fillId="0" borderId="0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8" fillId="0" borderId="1" xfId="0" applyFont="1" applyBorder="1"/>
    <xf numFmtId="3" fontId="8" fillId="0" borderId="0" xfId="0" applyNumberFormat="1" applyFont="1"/>
    <xf numFmtId="0" fontId="0" fillId="0" borderId="2" xfId="0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0" fillId="0" borderId="1" xfId="0" applyBorder="1"/>
    <xf numFmtId="0" fontId="15" fillId="0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3" fontId="17" fillId="2" borderId="1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3" fontId="18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>
      <alignment horizontal="center"/>
    </xf>
    <xf numFmtId="0" fontId="3" fillId="0" borderId="0" xfId="0" applyFont="1"/>
    <xf numFmtId="3" fontId="3" fillId="0" borderId="0" xfId="0" applyNumberFormat="1" applyFont="1" applyAlignment="1">
      <alignment horizontal="center"/>
    </xf>
    <xf numFmtId="3" fontId="3" fillId="2" borderId="0" xfId="0" applyNumberFormat="1" applyFont="1" applyFill="1"/>
    <xf numFmtId="9" fontId="3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10" fillId="0" borderId="0" xfId="0" applyNumberFormat="1" applyFont="1" applyBorder="1" applyAlignment="1">
      <alignment horizontal="center"/>
    </xf>
    <xf numFmtId="3" fontId="0" fillId="0" borderId="1" xfId="0" applyNumberForma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4" fillId="0" borderId="0" xfId="1" applyNumberFormat="1" applyFont="1" applyFill="1" applyBorder="1" applyAlignment="1">
      <alignment horizontal="center" vertical="center"/>
    </xf>
    <xf numFmtId="3" fontId="12" fillId="0" borderId="0" xfId="0" applyNumberFormat="1" applyFont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10" fontId="0" fillId="0" borderId="0" xfId="0" applyNumberFormat="1" applyFill="1" applyBorder="1" applyAlignment="1">
      <alignment horizontal="center"/>
    </xf>
    <xf numFmtId="10" fontId="8" fillId="0" borderId="0" xfId="0" applyNumberFormat="1" applyFont="1" applyBorder="1" applyAlignment="1">
      <alignment horizontal="center"/>
    </xf>
    <xf numFmtId="10" fontId="9" fillId="0" borderId="0" xfId="0" applyNumberFormat="1" applyFont="1" applyBorder="1" applyAlignment="1">
      <alignment horizontal="center"/>
    </xf>
    <xf numFmtId="10" fontId="12" fillId="0" borderId="0" xfId="0" applyNumberFormat="1" applyFont="1" applyBorder="1" applyAlignment="1">
      <alignment horizontal="center"/>
    </xf>
    <xf numFmtId="10" fontId="10" fillId="0" borderId="0" xfId="0" applyNumberFormat="1" applyFont="1" applyBorder="1"/>
    <xf numFmtId="3" fontId="17" fillId="0" borderId="0" xfId="0" applyNumberFormat="1" applyFont="1" applyFill="1" applyBorder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3" fontId="0" fillId="4" borderId="1" xfId="0" applyNumberFormat="1" applyFill="1" applyBorder="1"/>
    <xf numFmtId="10" fontId="13" fillId="0" borderId="0" xfId="0" applyNumberFormat="1" applyFont="1"/>
    <xf numFmtId="3" fontId="13" fillId="0" borderId="1" xfId="0" applyNumberFormat="1" applyFont="1" applyBorder="1"/>
    <xf numFmtId="10" fontId="13" fillId="0" borderId="1" xfId="0" applyNumberFormat="1" applyFont="1" applyBorder="1"/>
    <xf numFmtId="10" fontId="0" fillId="0" borderId="1" xfId="0" applyNumberFormat="1" applyBorder="1"/>
    <xf numFmtId="0" fontId="0" fillId="4" borderId="1" xfId="0" applyFill="1" applyBorder="1"/>
    <xf numFmtId="0" fontId="0" fillId="5" borderId="1" xfId="0" applyFill="1" applyBorder="1" applyAlignment="1">
      <alignment horizontal="center"/>
    </xf>
    <xf numFmtId="3" fontId="0" fillId="5" borderId="0" xfId="0" applyNumberFormat="1" applyFill="1"/>
    <xf numFmtId="0" fontId="0" fillId="3" borderId="1" xfId="0" applyFill="1" applyBorder="1" applyAlignment="1">
      <alignment horizontal="center"/>
    </xf>
    <xf numFmtId="3" fontId="0" fillId="3" borderId="1" xfId="0" applyNumberFormat="1" applyFill="1" applyBorder="1"/>
    <xf numFmtId="3" fontId="0" fillId="4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3" fontId="0" fillId="5" borderId="0" xfId="0" applyNumberFormat="1" applyFill="1" applyAlignment="1">
      <alignment horizontal="center"/>
    </xf>
    <xf numFmtId="10" fontId="0" fillId="0" borderId="1" xfId="0" applyNumberForma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3" fontId="0" fillId="0" borderId="0" xfId="0" applyNumberForma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9" fontId="19" fillId="0" borderId="1" xfId="0" applyNumberFormat="1" applyFont="1" applyBorder="1" applyAlignment="1">
      <alignment horizontal="center"/>
    </xf>
    <xf numFmtId="10" fontId="19" fillId="0" borderId="1" xfId="0" applyNumberFormat="1" applyFont="1" applyBorder="1" applyAlignment="1">
      <alignment horizontal="center"/>
    </xf>
    <xf numFmtId="0" fontId="19" fillId="0" borderId="1" xfId="0" applyFont="1" applyBorder="1"/>
    <xf numFmtId="3" fontId="0" fillId="0" borderId="1" xfId="0" applyNumberFormat="1" applyFill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4" fontId="0" fillId="0" borderId="1" xfId="0" applyNumberFormat="1" applyBorder="1" applyAlignment="1">
      <alignment vertical="center"/>
    </xf>
    <xf numFmtId="3" fontId="20" fillId="0" borderId="1" xfId="1" applyNumberFormat="1" applyFont="1" applyFill="1" applyBorder="1" applyAlignment="1">
      <alignment horizontal="center" vertical="center"/>
    </xf>
    <xf numFmtId="3" fontId="20" fillId="0" borderId="1" xfId="0" applyNumberFormat="1" applyFont="1" applyBorder="1" applyAlignment="1">
      <alignment horizontal="center"/>
    </xf>
    <xf numFmtId="10" fontId="20" fillId="0" borderId="1" xfId="0" applyNumberFormat="1" applyFont="1" applyFill="1" applyBorder="1" applyAlignment="1">
      <alignment horizontal="center"/>
    </xf>
    <xf numFmtId="10" fontId="20" fillId="0" borderId="1" xfId="0" applyNumberFormat="1" applyFont="1" applyBorder="1" applyAlignment="1">
      <alignment horizontal="center"/>
    </xf>
    <xf numFmtId="10" fontId="20" fillId="0" borderId="1" xfId="0" applyNumberFormat="1" applyFont="1" applyBorder="1"/>
    <xf numFmtId="0" fontId="20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" fontId="0" fillId="0" borderId="0" xfId="0" applyNumberFormat="1"/>
    <xf numFmtId="4" fontId="0" fillId="0" borderId="0" xfId="0" applyNumberFormat="1" applyAlignment="1">
      <alignment horizontal="center"/>
    </xf>
    <xf numFmtId="4" fontId="0" fillId="4" borderId="1" xfId="0" applyNumberFormat="1" applyFill="1" applyBorder="1"/>
    <xf numFmtId="4" fontId="0" fillId="0" borderId="1" xfId="0" applyNumberFormat="1" applyBorder="1"/>
    <xf numFmtId="4" fontId="0" fillId="0" borderId="0" xfId="0" applyNumberFormat="1" applyBorder="1"/>
    <xf numFmtId="0" fontId="19" fillId="0" borderId="0" xfId="0" applyFont="1"/>
    <xf numFmtId="4" fontId="0" fillId="0" borderId="1" xfId="0" applyNumberFormat="1" applyBorder="1" applyAlignment="1">
      <alignment horizontal="center"/>
    </xf>
    <xf numFmtId="4" fontId="19" fillId="0" borderId="0" xfId="0" applyNumberFormat="1" applyFont="1" applyAlignment="1">
      <alignment horizontal="center"/>
    </xf>
    <xf numFmtId="4" fontId="3" fillId="3" borderId="1" xfId="0" applyNumberFormat="1" applyFont="1" applyFill="1" applyBorder="1" applyAlignment="1">
      <alignment horizontal="center"/>
    </xf>
    <xf numFmtId="4" fontId="0" fillId="3" borderId="0" xfId="0" applyNumberFormat="1" applyFill="1" applyAlignment="1">
      <alignment horizontal="center"/>
    </xf>
    <xf numFmtId="4" fontId="13" fillId="0" borderId="0" xfId="0" applyNumberFormat="1" applyFont="1"/>
    <xf numFmtId="4" fontId="0" fillId="0" borderId="0" xfId="0" applyNumberForma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4" fontId="19" fillId="0" borderId="1" xfId="0" applyNumberFormat="1" applyFont="1" applyBorder="1" applyAlignment="1">
      <alignment horizontal="center"/>
    </xf>
    <xf numFmtId="4" fontId="24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2" fillId="0" borderId="0" xfId="0" applyFont="1" applyAlignment="1"/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3" fontId="2" fillId="0" borderId="1" xfId="0" applyNumberFormat="1" applyFont="1" applyFill="1" applyBorder="1" applyAlignment="1">
      <alignment horizontal="center"/>
    </xf>
    <xf numFmtId="4" fontId="2" fillId="0" borderId="1" xfId="0" applyNumberFormat="1" applyFont="1" applyBorder="1" applyAlignment="1">
      <alignment vertical="center"/>
    </xf>
    <xf numFmtId="0" fontId="23" fillId="0" borderId="0" xfId="0" applyFont="1" applyAlignment="1">
      <alignment horizontal="right"/>
    </xf>
    <xf numFmtId="4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" fontId="25" fillId="0" borderId="1" xfId="0" applyNumberFormat="1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4" fontId="26" fillId="0" borderId="0" xfId="0" applyNumberFormat="1" applyFont="1"/>
    <xf numFmtId="0" fontId="26" fillId="0" borderId="0" xfId="0" applyFont="1"/>
    <xf numFmtId="0" fontId="27" fillId="0" borderId="0" xfId="0" applyFont="1" applyAlignment="1">
      <alignment horizontal="center"/>
    </xf>
    <xf numFmtId="4" fontId="28" fillId="0" borderId="0" xfId="0" applyNumberFormat="1" applyFont="1"/>
    <xf numFmtId="0" fontId="28" fillId="0" borderId="0" xfId="0" applyFont="1"/>
    <xf numFmtId="4" fontId="28" fillId="0" borderId="0" xfId="0" applyNumberFormat="1" applyFont="1" applyAlignment="1">
      <alignment horizontal="center"/>
    </xf>
    <xf numFmtId="4" fontId="28" fillId="0" borderId="0" xfId="0" applyNumberFormat="1" applyFont="1" applyAlignment="1">
      <alignment horizontal="center" readingOrder="1"/>
    </xf>
    <xf numFmtId="3" fontId="29" fillId="0" borderId="1" xfId="0" applyNumberFormat="1" applyFont="1" applyBorder="1" applyAlignment="1">
      <alignment horizontal="center"/>
    </xf>
    <xf numFmtId="4" fontId="0" fillId="0" borderId="0" xfId="0" applyNumberFormat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4" fontId="28" fillId="0" borderId="0" xfId="0" applyNumberFormat="1" applyFont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 Year No. of Events Chart</a:t>
            </a:r>
          </a:p>
        </c:rich>
      </c:tx>
      <c:layout>
        <c:manualLayout>
          <c:xMode val="edge"/>
          <c:yMode val="edge"/>
          <c:x val="0.3377089828057207"/>
          <c:y val="3.1531531531531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272131302284137E-2"/>
          <c:y val="0.18468509089309476"/>
          <c:w val="0.73866391488751748"/>
          <c:h val="0.63513653209576493"/>
        </c:manualLayout>
      </c:layout>
      <c:barChart>
        <c:barDir val="col"/>
        <c:grouping val="clustered"/>
        <c:ser>
          <c:idx val="0"/>
          <c:order val="0"/>
          <c:tx>
            <c:strRef>
              <c:f>'2003-2013 no of events'!$H$4:$H$4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events'!$H$5:$H$16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'2003-2013 no of events'!$G$4:$G$4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events'!$G$5:$G$16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'2003-2013 no of events'!$F$4:$F$4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events'!$F$5:$F$16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'2003-2013 no of events'!$E$4:$E$4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events'!$E$5:$E$16</c:f>
              <c:numCache>
                <c:formatCode>#,##0</c:formatCode>
                <c:ptCount val="12"/>
              </c:numCache>
            </c:numRef>
          </c:val>
        </c:ser>
        <c:ser>
          <c:idx val="4"/>
          <c:order val="4"/>
          <c:tx>
            <c:strRef>
              <c:f>'2003-2013 no of events'!$D$4:$D$4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events'!$D$5:$D$16</c:f>
              <c:numCache>
                <c:formatCode>#,##0</c:formatCode>
                <c:ptCount val="12"/>
              </c:numCache>
            </c:numRef>
          </c:val>
        </c:ser>
        <c:ser>
          <c:idx val="5"/>
          <c:order val="5"/>
          <c:tx>
            <c:strRef>
              <c:f>'2003-2013 no of events'!$C$4:$C$4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events'!$C$5:$C$16</c:f>
              <c:numCache>
                <c:formatCode>#,##0</c:formatCode>
                <c:ptCount val="12"/>
              </c:numCache>
            </c:numRef>
          </c:val>
        </c:ser>
        <c:axId val="120183424"/>
        <c:axId val="120341248"/>
      </c:barChart>
      <c:dateAx>
        <c:axId val="1201834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 and Year</a:t>
                </a:r>
              </a:p>
            </c:rich>
          </c:tx>
          <c:layout>
            <c:manualLayout>
              <c:xMode val="edge"/>
              <c:yMode val="edge"/>
              <c:x val="0.38902185441105575"/>
              <c:y val="0.9009027925563357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341248"/>
        <c:crosses val="autoZero"/>
        <c:lblOffset val="100"/>
        <c:baseTimeUnit val="days"/>
        <c:majorUnit val="1"/>
        <c:majorTimeUnit val="days"/>
        <c:minorUnit val="1"/>
        <c:minorTimeUnit val="days"/>
      </c:dateAx>
      <c:valAx>
        <c:axId val="120341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Events</a:t>
                </a:r>
              </a:p>
            </c:rich>
          </c:tx>
          <c:layout>
            <c:manualLayout>
              <c:xMode val="edge"/>
              <c:yMode val="edge"/>
              <c:x val="1.9092988376452943E-2"/>
              <c:y val="0.380631576458348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183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8234506400979"/>
          <c:y val="0.34009079946087822"/>
          <c:w val="0.13007183030692593"/>
          <c:h val="0.3265772859473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832957110609482"/>
          <c:y val="6.7750856810152041E-2"/>
          <c:w val="0.60045146726862297"/>
          <c:h val="0.8211403845390427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revenue'!$D$74</c:f>
              <c:strCache>
                <c:ptCount val="1"/>
                <c:pt idx="0">
                  <c:v>2007 Actual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revenue'!$E$75:$E$79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'2003-2013 revenue'!$D$75:$D$79</c:f>
              <c:numCache>
                <c:formatCode>#,##0</c:formatCode>
                <c:ptCount val="5"/>
                <c:pt idx="0">
                  <c:v>3553051</c:v>
                </c:pt>
                <c:pt idx="1">
                  <c:v>3339414</c:v>
                </c:pt>
                <c:pt idx="2">
                  <c:v>14745449</c:v>
                </c:pt>
                <c:pt idx="3">
                  <c:v>21360973</c:v>
                </c:pt>
                <c:pt idx="4">
                  <c:v>12778856</c:v>
                </c:pt>
              </c:numCache>
            </c:numRef>
          </c:val>
        </c:ser>
        <c:ser>
          <c:idx val="1"/>
          <c:order val="1"/>
          <c:tx>
            <c:strRef>
              <c:f>'2003-2013 revenue'!$C$74</c:f>
              <c:strCache>
                <c:ptCount val="1"/>
                <c:pt idx="0">
                  <c:v>2007 Budget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revenue'!$E$75:$E$79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'2003-2013 revenue'!$C$75:$C$79</c:f>
              <c:numCache>
                <c:formatCode>#,##0</c:formatCode>
                <c:ptCount val="5"/>
                <c:pt idx="0">
                  <c:v>4229100</c:v>
                </c:pt>
                <c:pt idx="1">
                  <c:v>8071500</c:v>
                </c:pt>
                <c:pt idx="2">
                  <c:v>18531600</c:v>
                </c:pt>
                <c:pt idx="3">
                  <c:v>20330220</c:v>
                </c:pt>
                <c:pt idx="4">
                  <c:v>17926300</c:v>
                </c:pt>
              </c:numCache>
            </c:numRef>
          </c:val>
        </c:ser>
        <c:axId val="114729344"/>
        <c:axId val="114730880"/>
      </c:barChart>
      <c:catAx>
        <c:axId val="11472934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30880"/>
        <c:crosses val="autoZero"/>
        <c:auto val="1"/>
        <c:lblAlgn val="ctr"/>
        <c:lblOffset val="100"/>
        <c:tickLblSkip val="1"/>
        <c:tickMarkSkip val="1"/>
      </c:catAx>
      <c:valAx>
        <c:axId val="1147308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729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61178716296822"/>
          <c:y val="0.4254753928116709"/>
          <c:w val="0.17833047005487945"/>
          <c:h val="0.105691341427849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 Per Year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596690058094193E-2"/>
          <c:y val="0.1518487344254382"/>
          <c:w val="0.89285100868667566"/>
          <c:h val="0.63143180378314778"/>
        </c:manualLayout>
      </c:layout>
      <c:lineChart>
        <c:grouping val="standard"/>
        <c:ser>
          <c:idx val="0"/>
          <c:order val="0"/>
          <c:tx>
            <c:strRef>
              <c:f>'2003-2013 revenue'!$B$4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revenue'!$B$5:$B$16</c:f>
              <c:numCache>
                <c:formatCode>#,##0</c:formatCode>
                <c:ptCount val="12"/>
              </c:numCache>
            </c:numRef>
          </c:val>
        </c:ser>
        <c:ser>
          <c:idx val="1"/>
          <c:order val="1"/>
          <c:tx>
            <c:strRef>
              <c:f>'2003-2013 revenue'!$C$4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revenue'!$C$5:$C$16</c:f>
              <c:numCache>
                <c:formatCode>#,##0</c:formatCode>
                <c:ptCount val="12"/>
              </c:numCache>
            </c:numRef>
          </c:val>
        </c:ser>
        <c:ser>
          <c:idx val="2"/>
          <c:order val="2"/>
          <c:tx>
            <c:strRef>
              <c:f>'2003-2013 revenue'!$D$4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revenue'!$D$5:$D$16</c:f>
              <c:numCache>
                <c:formatCode>#,##0</c:formatCode>
                <c:ptCount val="12"/>
              </c:numCache>
            </c:numRef>
          </c:val>
        </c:ser>
        <c:ser>
          <c:idx val="3"/>
          <c:order val="3"/>
          <c:tx>
            <c:strRef>
              <c:f>'2003-2013 revenue'!$E$4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revenue'!$E$5:$E$16</c:f>
              <c:numCache>
                <c:formatCode>#,##0</c:formatCode>
                <c:ptCount val="12"/>
              </c:numCache>
            </c:numRef>
          </c:val>
        </c:ser>
        <c:ser>
          <c:idx val="4"/>
          <c:order val="4"/>
          <c:tx>
            <c:strRef>
              <c:f>'2003-2013 revenue'!$F$4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revenue'!$F$5:$F$16</c:f>
              <c:numCache>
                <c:formatCode>#,##0</c:formatCode>
                <c:ptCount val="12"/>
              </c:numCache>
            </c:numRef>
          </c:val>
        </c:ser>
        <c:ser>
          <c:idx val="5"/>
          <c:order val="5"/>
          <c:tx>
            <c:strRef>
              <c:f>'2003-2013 revenue'!$V$4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revenue'!$V$5:$V$16</c:f>
              <c:numCache>
                <c:formatCode>#,##0</c:formatCode>
                <c:ptCount val="12"/>
              </c:numCache>
            </c:numRef>
          </c:val>
        </c:ser>
        <c:ser>
          <c:idx val="6"/>
          <c:order val="6"/>
          <c:tx>
            <c:strRef>
              <c:f>'2003-2013 revenue'!$W$4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revenue'!$W$5:$W$16</c:f>
              <c:numCache>
                <c:formatCode>#,##0.00</c:formatCode>
                <c:ptCount val="12"/>
              </c:numCache>
            </c:numRef>
          </c:val>
        </c:ser>
        <c:ser>
          <c:idx val="7"/>
          <c:order val="7"/>
          <c:tx>
            <c:strRef>
              <c:f>'2003-2013 revenue'!$X$4</c:f>
              <c:strCache>
                <c:ptCount val="1"/>
                <c:pt idx="0">
                  <c:v>2010</c:v>
                </c:pt>
              </c:strCache>
            </c:strRef>
          </c:tx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revenue'!$X$5:$X$16</c:f>
              <c:numCache>
                <c:formatCode>#,##0.00</c:formatCode>
                <c:ptCount val="12"/>
              </c:numCache>
            </c:numRef>
          </c:val>
        </c:ser>
        <c:ser>
          <c:idx val="8"/>
          <c:order val="8"/>
          <c:tx>
            <c:strRef>
              <c:f>'2003-2013 revenue'!$Y$4</c:f>
              <c:strCache>
                <c:ptCount val="1"/>
                <c:pt idx="0">
                  <c:v>2011</c:v>
                </c:pt>
              </c:strCache>
            </c:strRef>
          </c:tx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revenue'!$Y$5:$Y$16</c:f>
              <c:numCache>
                <c:formatCode>#,##0.00</c:formatCode>
                <c:ptCount val="12"/>
              </c:numCache>
            </c:numRef>
          </c:val>
        </c:ser>
        <c:ser>
          <c:idx val="9"/>
          <c:order val="9"/>
          <c:tx>
            <c:strRef>
              <c:f>'2003-2013 revenue'!$Z$4</c:f>
              <c:strCache>
                <c:ptCount val="1"/>
                <c:pt idx="0">
                  <c:v>2012</c:v>
                </c:pt>
              </c:strCache>
            </c:strRef>
          </c:tx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revenue'!$Z$5:$Z$16</c:f>
              <c:numCache>
                <c:formatCode>#,##0.00</c:formatCode>
                <c:ptCount val="12"/>
              </c:numCache>
            </c:numRef>
          </c:val>
        </c:ser>
        <c:marker val="1"/>
        <c:axId val="114900992"/>
        <c:axId val="114902912"/>
      </c:lineChart>
      <c:catAx>
        <c:axId val="1149009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902912"/>
        <c:crosses val="autoZero"/>
        <c:auto val="1"/>
        <c:lblAlgn val="ctr"/>
        <c:lblOffset val="100"/>
      </c:catAx>
      <c:valAx>
        <c:axId val="114902912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900992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 Year No. of Events Chart</a:t>
            </a:r>
          </a:p>
        </c:rich>
      </c:tx>
      <c:layout>
        <c:manualLayout>
          <c:xMode val="edge"/>
          <c:yMode val="edge"/>
          <c:x val="0.33770895304753573"/>
          <c:y val="3.153153153153152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4272131302284137E-2"/>
          <c:y val="0.18468509089309482"/>
          <c:w val="0.7386639148875177"/>
          <c:h val="0.63513653209576493"/>
        </c:manualLayout>
      </c:layout>
      <c:barChart>
        <c:barDir val="col"/>
        <c:grouping val="clustered"/>
        <c:ser>
          <c:idx val="0"/>
          <c:order val="0"/>
          <c:tx>
            <c:strRef>
              <c:f>'2003-2013 no of events'!$H$4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events'!$H$5:$H$16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tx>
            <c:strRef>
              <c:f>'2003-2013 no of events'!$G$4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events'!$G$5:$G$16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tx>
            <c:strRef>
              <c:f>'2003-2013 no of events'!$F$4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events'!$F$5:$F$16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'2003-2013 no of events'!$E$4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events'!$E$5:$E$16</c:f>
              <c:numCache>
                <c:formatCode>#,##0</c:formatCode>
                <c:ptCount val="12"/>
              </c:numCache>
            </c:numRef>
          </c:val>
        </c:ser>
        <c:ser>
          <c:idx val="4"/>
          <c:order val="4"/>
          <c:tx>
            <c:strRef>
              <c:f>'2003-2013 no of events'!$D$4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events'!$D$5:$D$16</c:f>
              <c:numCache>
                <c:formatCode>#,##0</c:formatCode>
                <c:ptCount val="12"/>
              </c:numCache>
            </c:numRef>
          </c:val>
        </c:ser>
        <c:ser>
          <c:idx val="5"/>
          <c:order val="5"/>
          <c:tx>
            <c:strRef>
              <c:f>'2003-2013 no of events'!$C$4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'2003-2013 no of events'!$C$5:$C$16</c:f>
              <c:numCache>
                <c:formatCode>#,##0</c:formatCode>
                <c:ptCount val="12"/>
              </c:numCache>
            </c:numRef>
          </c:val>
        </c:ser>
        <c:axId val="113581440"/>
        <c:axId val="113595904"/>
      </c:barChart>
      <c:dateAx>
        <c:axId val="1135814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 and Year</a:t>
                </a:r>
              </a:p>
            </c:rich>
          </c:tx>
          <c:layout>
            <c:manualLayout>
              <c:xMode val="edge"/>
              <c:yMode val="edge"/>
              <c:x val="0.38902187226596674"/>
              <c:y val="0.90090279255633576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95904"/>
        <c:crosses val="autoZero"/>
        <c:lblOffset val="100"/>
        <c:baseTimeUnit val="days"/>
        <c:majorUnit val="1"/>
        <c:majorTimeUnit val="days"/>
        <c:minorUnit val="1"/>
        <c:minorTimeUnit val="days"/>
      </c:dateAx>
      <c:valAx>
        <c:axId val="11359590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Events</a:t>
                </a:r>
              </a:p>
            </c:rich>
          </c:tx>
          <c:layout>
            <c:manualLayout>
              <c:xMode val="edge"/>
              <c:yMode val="edge"/>
              <c:x val="1.9092985171725328E-2"/>
              <c:y val="0.3806315764583481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58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038234964219207"/>
          <c:y val="0.34009079946087822"/>
          <c:w val="0.13007183076474416"/>
          <c:h val="0.3265772859473647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1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Per 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'2003-2013 no of events wo disto'!$B$4:$B$16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no of events wo disto'!$C$4:$C$16</c:f>
              <c:numCache>
                <c:formatCode>#,##0</c:formatCode>
                <c:ptCount val="13"/>
                <c:pt idx="0" formatCode="General">
                  <c:v>2003</c:v>
                </c:pt>
              </c:numCache>
            </c:numRef>
          </c:val>
        </c:ser>
        <c:ser>
          <c:idx val="1"/>
          <c:order val="1"/>
          <c:cat>
            <c:strRef>
              <c:f>'2003-2013 no of events wo disto'!$B$4:$B$16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no of events wo disto'!$D$4:$D$16</c:f>
              <c:numCache>
                <c:formatCode>#,##0</c:formatCode>
                <c:ptCount val="13"/>
                <c:pt idx="0" formatCode="General">
                  <c:v>2004</c:v>
                </c:pt>
              </c:numCache>
            </c:numRef>
          </c:val>
        </c:ser>
        <c:ser>
          <c:idx val="2"/>
          <c:order val="2"/>
          <c:cat>
            <c:strRef>
              <c:f>'2003-2013 no of events wo disto'!$B$4:$B$16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no of events wo disto'!$E$4:$E$16</c:f>
              <c:numCache>
                <c:formatCode>#,##0</c:formatCode>
                <c:ptCount val="13"/>
                <c:pt idx="0" formatCode="General">
                  <c:v>2005</c:v>
                </c:pt>
              </c:numCache>
            </c:numRef>
          </c:val>
        </c:ser>
        <c:ser>
          <c:idx val="3"/>
          <c:order val="3"/>
          <c:cat>
            <c:strRef>
              <c:f>'2003-2013 no of events wo disto'!$B$4:$B$16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no of events wo disto'!$F$4:$F$16</c:f>
              <c:numCache>
                <c:formatCode>General</c:formatCode>
                <c:ptCount val="13"/>
                <c:pt idx="0">
                  <c:v>2006</c:v>
                </c:pt>
              </c:numCache>
            </c:numRef>
          </c:val>
        </c:ser>
        <c:ser>
          <c:idx val="4"/>
          <c:order val="4"/>
          <c:cat>
            <c:strRef>
              <c:f>'2003-2013 no of events wo disto'!$B$4:$B$16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no of events wo disto'!$G$4:$G$16</c:f>
              <c:numCache>
                <c:formatCode>General</c:formatCode>
                <c:ptCount val="13"/>
                <c:pt idx="0">
                  <c:v>2007</c:v>
                </c:pt>
              </c:numCache>
            </c:numRef>
          </c:val>
        </c:ser>
        <c:ser>
          <c:idx val="5"/>
          <c:order val="5"/>
          <c:cat>
            <c:strRef>
              <c:f>'2003-2013 no of events wo disto'!$B$4:$B$16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no of events wo disto'!$H$4:$H$16</c:f>
              <c:numCache>
                <c:formatCode>General</c:formatCode>
                <c:ptCount val="13"/>
                <c:pt idx="0">
                  <c:v>2008</c:v>
                </c:pt>
              </c:numCache>
            </c:numRef>
          </c:val>
        </c:ser>
        <c:ser>
          <c:idx val="6"/>
          <c:order val="6"/>
          <c:cat>
            <c:strRef>
              <c:f>'2003-2013 no of events wo disto'!$B$4:$B$16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no of events wo disto'!$I$4:$I$16</c:f>
              <c:numCache>
                <c:formatCode>General</c:formatCode>
                <c:ptCount val="13"/>
                <c:pt idx="0">
                  <c:v>2009</c:v>
                </c:pt>
              </c:numCache>
            </c:numRef>
          </c:val>
        </c:ser>
        <c:ser>
          <c:idx val="7"/>
          <c:order val="7"/>
          <c:cat>
            <c:strRef>
              <c:f>'2003-2013 no of events wo disto'!$B$4:$B$16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no of events wo disto'!$J$4:$J$16</c:f>
              <c:numCache>
                <c:formatCode>General</c:formatCode>
                <c:ptCount val="13"/>
                <c:pt idx="0">
                  <c:v>2010</c:v>
                </c:pt>
              </c:numCache>
            </c:numRef>
          </c:val>
        </c:ser>
        <c:ser>
          <c:idx val="8"/>
          <c:order val="8"/>
          <c:cat>
            <c:strRef>
              <c:f>'2003-2013 no of events wo disto'!$B$4:$B$16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no of events wo disto'!$K$4:$K$16</c:f>
              <c:numCache>
                <c:formatCode>General</c:formatCode>
                <c:ptCount val="13"/>
                <c:pt idx="0">
                  <c:v>2011</c:v>
                </c:pt>
              </c:numCache>
            </c:numRef>
          </c:val>
        </c:ser>
        <c:ser>
          <c:idx val="9"/>
          <c:order val="9"/>
          <c:cat>
            <c:strRef>
              <c:f>'2003-2013 no of events wo disto'!$B$4:$B$16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no of events wo disto'!$L$4:$L$16</c:f>
              <c:numCache>
                <c:formatCode>General</c:formatCode>
                <c:ptCount val="13"/>
                <c:pt idx="0">
                  <c:v>2012</c:v>
                </c:pt>
              </c:numCache>
            </c:numRef>
          </c:val>
        </c:ser>
        <c:marker val="1"/>
        <c:axId val="113644288"/>
        <c:axId val="113646208"/>
      </c:lineChart>
      <c:catAx>
        <c:axId val="1136442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46208"/>
        <c:crosses val="autoZero"/>
        <c:auto val="1"/>
        <c:lblAlgn val="ctr"/>
        <c:lblOffset val="100"/>
      </c:catAx>
      <c:valAx>
        <c:axId val="113646208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4428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2007 Revenue vs Budget </a:t>
            </a:r>
          </a:p>
        </c:rich>
      </c:tx>
      <c:layout>
        <c:manualLayout>
          <c:xMode val="edge"/>
          <c:yMode val="edge"/>
          <c:x val="0.26824236256182266"/>
          <c:y val="3.13315926892950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043502721109382"/>
          <c:y val="0.17493472584856398"/>
          <c:w val="0.70652248909061743"/>
          <c:h val="0.57702349869451741"/>
        </c:manualLayout>
      </c:layout>
      <c:lineChart>
        <c:grouping val="standard"/>
        <c:ser>
          <c:idx val="0"/>
          <c:order val="0"/>
          <c:tx>
            <c:strRef>
              <c:f>'2003-2013 revenue'!$D$74</c:f>
              <c:strCache>
                <c:ptCount val="1"/>
                <c:pt idx="0">
                  <c:v>2007 Actual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'2003-2013 revenue'!$E$75:$E$86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revenue'!$D$75:$D$86</c:f>
              <c:numCache>
                <c:formatCode>#,##0</c:formatCode>
                <c:ptCount val="12"/>
                <c:pt idx="0">
                  <c:v>3553051</c:v>
                </c:pt>
                <c:pt idx="1">
                  <c:v>3339414</c:v>
                </c:pt>
                <c:pt idx="2">
                  <c:v>14745449</c:v>
                </c:pt>
                <c:pt idx="3">
                  <c:v>21360973</c:v>
                </c:pt>
                <c:pt idx="4">
                  <c:v>12778856</c:v>
                </c:pt>
                <c:pt idx="5">
                  <c:v>10251598</c:v>
                </c:pt>
                <c:pt idx="6">
                  <c:v>43380507</c:v>
                </c:pt>
                <c:pt idx="7">
                  <c:v>10912236</c:v>
                </c:pt>
                <c:pt idx="8">
                  <c:v>5669222</c:v>
                </c:pt>
                <c:pt idx="9">
                  <c:v>7011592</c:v>
                </c:pt>
                <c:pt idx="10">
                  <c:v>7032639</c:v>
                </c:pt>
                <c:pt idx="11">
                  <c:v>10844233</c:v>
                </c:pt>
              </c:numCache>
            </c:numRef>
          </c:val>
        </c:ser>
        <c:ser>
          <c:idx val="1"/>
          <c:order val="1"/>
          <c:tx>
            <c:strRef>
              <c:f>'2003-2013 revenue'!$C$74</c:f>
              <c:strCache>
                <c:ptCount val="1"/>
                <c:pt idx="0">
                  <c:v>2007 Budget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'2003-2013 revenue'!$E$75:$E$86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revenue'!$C$75:$C$86</c:f>
              <c:numCache>
                <c:formatCode>#,##0</c:formatCode>
                <c:ptCount val="12"/>
                <c:pt idx="0">
                  <c:v>4229100</c:v>
                </c:pt>
                <c:pt idx="1">
                  <c:v>8071500</c:v>
                </c:pt>
                <c:pt idx="2">
                  <c:v>18531600</c:v>
                </c:pt>
                <c:pt idx="3">
                  <c:v>20330220</c:v>
                </c:pt>
                <c:pt idx="4">
                  <c:v>17926300</c:v>
                </c:pt>
                <c:pt idx="5">
                  <c:v>7350900</c:v>
                </c:pt>
                <c:pt idx="6">
                  <c:v>5429900</c:v>
                </c:pt>
                <c:pt idx="7">
                  <c:v>1999980</c:v>
                </c:pt>
                <c:pt idx="8">
                  <c:v>8402500</c:v>
                </c:pt>
                <c:pt idx="9">
                  <c:v>11490200</c:v>
                </c:pt>
                <c:pt idx="10">
                  <c:v>10894100</c:v>
                </c:pt>
                <c:pt idx="11">
                  <c:v>10343700</c:v>
                </c:pt>
              </c:numCache>
            </c:numRef>
          </c:val>
        </c:ser>
        <c:marker val="1"/>
        <c:axId val="105543552"/>
        <c:axId val="106193280"/>
      </c:lineChart>
      <c:catAx>
        <c:axId val="105543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3260895959433641"/>
              <c:y val="0.822454308093994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93280"/>
        <c:crosses val="autoZero"/>
        <c:auto val="1"/>
        <c:lblAlgn val="ctr"/>
        <c:lblOffset val="100"/>
        <c:tickLblSkip val="1"/>
        <c:tickMarkSkip val="1"/>
      </c:catAx>
      <c:valAx>
        <c:axId val="1061932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4.5652150624029136E-2"/>
              <c:y val="0.39425587467362927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5435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782634313567947"/>
          <c:y val="0.92167101827676245"/>
          <c:w val="0.42173996107629402"/>
          <c:h val="5.744125326370752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 Year Revenue Chart</a:t>
            </a:r>
          </a:p>
        </c:rich>
      </c:tx>
      <c:layout>
        <c:manualLayout>
          <c:xMode val="edge"/>
          <c:yMode val="edge"/>
          <c:x val="0.38115392655564079"/>
          <c:y val="3.225806451612903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440248989441859"/>
          <c:y val="0.17866026609542948"/>
          <c:w val="0.6624481672602508"/>
          <c:h val="0.64516207201127285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revenue'!$V$4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revenue'!$V$5:$V$16</c:f>
              <c:numCache>
                <c:formatCode>#,##0</c:formatCode>
                <c:ptCount val="12"/>
              </c:numCache>
            </c:numRef>
          </c:val>
        </c:ser>
        <c:ser>
          <c:idx val="1"/>
          <c:order val="1"/>
          <c:tx>
            <c:strRef>
              <c:f>'2003-2013 revenue'!$F$4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revenue'!$F$5:$F$16</c:f>
              <c:numCache>
                <c:formatCode>#,##0</c:formatCode>
                <c:ptCount val="12"/>
              </c:numCache>
            </c:numRef>
          </c:val>
        </c:ser>
        <c:ser>
          <c:idx val="2"/>
          <c:order val="2"/>
          <c:tx>
            <c:strRef>
              <c:f>'2003-2013 revenue'!$E$4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revenue'!$E$5:$E$16</c:f>
              <c:numCache>
                <c:formatCode>#,##0</c:formatCode>
                <c:ptCount val="12"/>
              </c:numCache>
            </c:numRef>
          </c:val>
        </c:ser>
        <c:ser>
          <c:idx val="3"/>
          <c:order val="3"/>
          <c:tx>
            <c:strRef>
              <c:f>'2003-2013 revenue'!$D$4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revenue'!$D$5:$D$16</c:f>
              <c:numCache>
                <c:formatCode>#,##0</c:formatCode>
                <c:ptCount val="12"/>
              </c:numCache>
            </c:numRef>
          </c:val>
        </c:ser>
        <c:ser>
          <c:idx val="4"/>
          <c:order val="4"/>
          <c:tx>
            <c:strRef>
              <c:f>'2003-2013 revenue'!$C$4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revenue'!$C$5:$C$16</c:f>
              <c:numCache>
                <c:formatCode>#,##0</c:formatCode>
                <c:ptCount val="12"/>
              </c:numCache>
            </c:numRef>
          </c:val>
        </c:ser>
        <c:ser>
          <c:idx val="5"/>
          <c:order val="5"/>
          <c:tx>
            <c:strRef>
              <c:f>'2003-2013 revenue'!$B$4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revenue'!$B$5:$B$16</c:f>
              <c:numCache>
                <c:formatCode>#,##0</c:formatCode>
                <c:ptCount val="12"/>
              </c:numCache>
            </c:numRef>
          </c:val>
        </c:ser>
        <c:axId val="106889600"/>
        <c:axId val="106891520"/>
      </c:barChart>
      <c:catAx>
        <c:axId val="1068896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 and Year</a:t>
                </a:r>
              </a:p>
            </c:rich>
          </c:tx>
          <c:layout>
            <c:manualLayout>
              <c:xMode val="edge"/>
              <c:yMode val="edge"/>
              <c:x val="0.42334808259587015"/>
              <c:y val="0.903226848504979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91520"/>
        <c:crosses val="autoZero"/>
        <c:auto val="1"/>
        <c:lblAlgn val="ctr"/>
        <c:lblOffset val="100"/>
        <c:tickLblSkip val="1"/>
        <c:tickMarkSkip val="1"/>
      </c:catAx>
      <c:valAx>
        <c:axId val="10689152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Peso Revenue</a:t>
                </a:r>
              </a:p>
            </c:rich>
          </c:tx>
          <c:layout>
            <c:manualLayout>
              <c:xMode val="edge"/>
              <c:yMode val="edge"/>
              <c:x val="2.2503658281652846E-2"/>
              <c:y val="0.36972756817308505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889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32190555826537"/>
          <c:y val="0.33746950365695599"/>
          <c:w val="0.13642765893201403"/>
          <c:h val="0.330025334922464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161839863713811"/>
          <c:y val="7.0460891082558139E-2"/>
          <c:w val="0.67291311754684868"/>
          <c:h val="0.81030024744941864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 wo disto'!$A$220</c:f>
              <c:strCache>
                <c:ptCount val="1"/>
                <c:pt idx="0">
                  <c:v>2008 Actual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 wo disto'!$G$218:$G$221</c:f>
              <c:strCache>
                <c:ptCount val="4"/>
                <c:pt idx="0">
                  <c:v>Jan</c:v>
                </c:pt>
                <c:pt idx="2">
                  <c:v>2,446,417</c:v>
                </c:pt>
                <c:pt idx="3">
                  <c:v>7,567,251</c:v>
                </c:pt>
              </c:strCache>
            </c:strRef>
          </c:cat>
          <c:val>
            <c:numRef>
              <c:f>'2003-2013 revenue wo disto'!$G$220</c:f>
              <c:numCache>
                <c:formatCode>#,##0</c:formatCode>
                <c:ptCount val="1"/>
                <c:pt idx="0">
                  <c:v>2446416.7799999998</c:v>
                </c:pt>
              </c:numCache>
            </c:numRef>
          </c:val>
        </c:ser>
        <c:ser>
          <c:idx val="1"/>
          <c:order val="1"/>
          <c:tx>
            <c:strRef>
              <c:f>'2003-2013 revenue wo disto'!$A$221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 wo disto'!$G$218:$G$221</c:f>
              <c:strCache>
                <c:ptCount val="4"/>
                <c:pt idx="0">
                  <c:v>Jan</c:v>
                </c:pt>
                <c:pt idx="2">
                  <c:v>2,446,417</c:v>
                </c:pt>
                <c:pt idx="3">
                  <c:v>7,567,251</c:v>
                </c:pt>
              </c:strCache>
            </c:strRef>
          </c:cat>
          <c:val>
            <c:numRef>
              <c:f>'2003-2013 revenue wo disto'!$G$221</c:f>
              <c:numCache>
                <c:formatCode>#,##0</c:formatCode>
                <c:ptCount val="1"/>
                <c:pt idx="0">
                  <c:v>7567251</c:v>
                </c:pt>
              </c:numCache>
            </c:numRef>
          </c:val>
        </c:ser>
        <c:axId val="106941440"/>
        <c:axId val="106947328"/>
      </c:barChart>
      <c:catAx>
        <c:axId val="1069414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47328"/>
        <c:crosses val="autoZero"/>
        <c:auto val="1"/>
        <c:lblAlgn val="ctr"/>
        <c:lblOffset val="100"/>
        <c:tickLblSkip val="1"/>
        <c:tickMarkSkip val="1"/>
      </c:catAx>
      <c:valAx>
        <c:axId val="1069473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9414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27063283756187"/>
          <c:y val="0.42005533861112887"/>
          <c:w val="0.14310002916302134"/>
          <c:h val="0.111111395628392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983050847457628"/>
          <c:y val="6.8241644730265547E-2"/>
          <c:w val="0.78644067796610173"/>
          <c:h val="0.68504112594612743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 wo disto'!$A$272</c:f>
              <c:strCache>
                <c:ptCount val="1"/>
                <c:pt idx="0">
                  <c:v>2008 Actual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 wo disto'!$G$270:$G$273</c:f>
              <c:strCache>
                <c:ptCount val="4"/>
                <c:pt idx="0">
                  <c:v>Jan</c:v>
                </c:pt>
                <c:pt idx="2">
                  <c:v>2,446,417</c:v>
                </c:pt>
                <c:pt idx="3">
                  <c:v>3,553,051</c:v>
                </c:pt>
              </c:strCache>
            </c:strRef>
          </c:cat>
          <c:val>
            <c:numRef>
              <c:f>'2003-2013 revenue wo disto'!$G$272</c:f>
              <c:numCache>
                <c:formatCode>#,##0</c:formatCode>
                <c:ptCount val="1"/>
                <c:pt idx="0">
                  <c:v>2446416.7799999998</c:v>
                </c:pt>
              </c:numCache>
            </c:numRef>
          </c:val>
        </c:ser>
        <c:ser>
          <c:idx val="1"/>
          <c:order val="1"/>
          <c:tx>
            <c:strRef>
              <c:f>'2003-2013 revenue wo disto'!$A$273</c:f>
              <c:strCache>
                <c:ptCount val="1"/>
                <c:pt idx="0">
                  <c:v>2007 ytd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 wo disto'!$G$270:$G$273</c:f>
              <c:strCache>
                <c:ptCount val="4"/>
                <c:pt idx="0">
                  <c:v>Jan</c:v>
                </c:pt>
                <c:pt idx="2">
                  <c:v>2,446,417</c:v>
                </c:pt>
                <c:pt idx="3">
                  <c:v>3,553,051</c:v>
                </c:pt>
              </c:strCache>
            </c:strRef>
          </c:cat>
          <c:val>
            <c:numRef>
              <c:f>'2003-2013 revenue wo disto'!$G$273</c:f>
              <c:numCache>
                <c:formatCode>#,##0</c:formatCode>
                <c:ptCount val="1"/>
                <c:pt idx="0">
                  <c:v>3553051</c:v>
                </c:pt>
              </c:numCache>
            </c:numRef>
          </c:val>
        </c:ser>
        <c:axId val="114971392"/>
        <c:axId val="114973312"/>
      </c:barChart>
      <c:catAx>
        <c:axId val="1149713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4406762231644124"/>
              <c:y val="0.832023201824181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73312"/>
        <c:crosses val="autoZero"/>
        <c:auto val="1"/>
        <c:lblAlgn val="ctr"/>
        <c:lblOffset val="100"/>
        <c:tickLblSkip val="1"/>
        <c:tickMarkSkip val="1"/>
      </c:catAx>
      <c:valAx>
        <c:axId val="11497331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Peso revenue</a:t>
                </a:r>
              </a:p>
            </c:rich>
          </c:tx>
          <c:layout>
            <c:manualLayout>
              <c:xMode val="edge"/>
              <c:yMode val="edge"/>
              <c:x val="2.7118487112187898E-2"/>
              <c:y val="0.30183809700952735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971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93237768355876"/>
          <c:y val="0.92126232252464502"/>
          <c:w val="0.25254253987482334"/>
          <c:h val="6.03677296243481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470349668124093"/>
          <c:y val="6.684491978609626E-2"/>
          <c:w val="0.64840327216054938"/>
          <c:h val="0.76470588235294135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 wo disto'!$A$226</c:f>
              <c:strCache>
                <c:ptCount val="1"/>
                <c:pt idx="0">
                  <c:v>2008 Actual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 wo disto'!$G$225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'2003-2013 revenue wo disto'!$G$226</c:f>
              <c:numCache>
                <c:formatCode>#,##0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'2003-2013 revenue wo disto'!$A$227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 wo disto'!$G$225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'2003-2013 revenue wo disto'!$G$227</c:f>
              <c:numCache>
                <c:formatCode>#,##0</c:formatCode>
                <c:ptCount val="1"/>
                <c:pt idx="0">
                  <c:v>14</c:v>
                </c:pt>
              </c:numCache>
            </c:numRef>
          </c:val>
        </c:ser>
        <c:axId val="115002368"/>
        <c:axId val="115020928"/>
      </c:barChart>
      <c:catAx>
        <c:axId val="1150023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0639362243898614"/>
              <c:y val="0.90374331550802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20928"/>
        <c:crosses val="autoZero"/>
        <c:auto val="1"/>
        <c:lblAlgn val="ctr"/>
        <c:lblOffset val="100"/>
        <c:tickLblSkip val="1"/>
        <c:tickMarkSkip val="1"/>
      </c:catAx>
      <c:valAx>
        <c:axId val="11502092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Events</a:t>
                </a:r>
              </a:p>
            </c:rich>
          </c:tx>
          <c:layout>
            <c:manualLayout>
              <c:xMode val="edge"/>
              <c:yMode val="edge"/>
              <c:x val="3.6529752810749404E-2"/>
              <c:y val="0.3502673796791444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02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22109922826813"/>
          <c:y val="0.39839572192513367"/>
          <c:w val="0.17351647275433857"/>
          <c:h val="0.104278074866310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854057849217579"/>
          <c:y val="6.5616966086793821E-2"/>
          <c:w val="0.84096039488101448"/>
          <c:h val="0.7007891978069577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 wo disto'!$A$282</c:f>
              <c:strCache>
                <c:ptCount val="1"/>
                <c:pt idx="0">
                  <c:v>2008 Actual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 wo disto'!$G$280:$G$283</c:f>
              <c:strCache>
                <c:ptCount val="4"/>
                <c:pt idx="0">
                  <c:v>Jan</c:v>
                </c:pt>
                <c:pt idx="2">
                  <c:v>8</c:v>
                </c:pt>
                <c:pt idx="3">
                  <c:v>13</c:v>
                </c:pt>
              </c:strCache>
            </c:strRef>
          </c:cat>
          <c:val>
            <c:numRef>
              <c:f>'2003-2013 revenue wo disto'!$G$282</c:f>
              <c:numCache>
                <c:formatCode>#,##0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'2003-2013 revenue wo disto'!$A$283</c:f>
              <c:strCache>
                <c:ptCount val="1"/>
                <c:pt idx="0">
                  <c:v>2007 ytd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 wo disto'!$G$280:$G$283</c:f>
              <c:strCache>
                <c:ptCount val="4"/>
                <c:pt idx="0">
                  <c:v>Jan</c:v>
                </c:pt>
                <c:pt idx="2">
                  <c:v>8</c:v>
                </c:pt>
                <c:pt idx="3">
                  <c:v>13</c:v>
                </c:pt>
              </c:strCache>
            </c:strRef>
          </c:cat>
          <c:val>
            <c:numRef>
              <c:f>'2003-2013 revenue wo disto'!$G$283</c:f>
              <c:numCache>
                <c:formatCode>#,##0</c:formatCode>
                <c:ptCount val="1"/>
                <c:pt idx="0">
                  <c:v>13</c:v>
                </c:pt>
              </c:numCache>
            </c:numRef>
          </c:val>
        </c:ser>
        <c:axId val="115054080"/>
        <c:axId val="115056000"/>
      </c:barChart>
      <c:catAx>
        <c:axId val="1150540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9891177426879091"/>
              <c:y val="0.837272545656202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56000"/>
        <c:crosses val="autoZero"/>
        <c:auto val="1"/>
        <c:lblAlgn val="ctr"/>
        <c:lblOffset val="100"/>
        <c:tickLblSkip val="1"/>
        <c:tickMarkSkip val="1"/>
      </c:catAx>
      <c:valAx>
        <c:axId val="1150560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Events</a:t>
                </a:r>
              </a:p>
            </c:rich>
          </c:tx>
          <c:layout>
            <c:manualLayout>
              <c:xMode val="edge"/>
              <c:yMode val="edge"/>
              <c:x val="3.4858281853008946E-2"/>
              <c:y val="0.31758612850559037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5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87231465905176"/>
          <c:y val="0.92388699444065558"/>
          <c:w val="0.29411837882921726"/>
          <c:h val="5.774305770833765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Per Year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'2003-2013 no of events'!$C$4</c:f>
              <c:strCache>
                <c:ptCount val="1"/>
                <c:pt idx="0">
                  <c:v>2003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events'!$C$5:$C$16</c:f>
              <c:numCache>
                <c:formatCode>#,##0</c:formatCode>
                <c:ptCount val="12"/>
              </c:numCache>
            </c:numRef>
          </c:val>
        </c:ser>
        <c:ser>
          <c:idx val="1"/>
          <c:order val="1"/>
          <c:tx>
            <c:strRef>
              <c:f>'2003-2013 no of events'!$D$4</c:f>
              <c:strCache>
                <c:ptCount val="1"/>
                <c:pt idx="0">
                  <c:v>2004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events'!$D$5:$D$16</c:f>
              <c:numCache>
                <c:formatCode>#,##0</c:formatCode>
                <c:ptCount val="12"/>
              </c:numCache>
            </c:numRef>
          </c:val>
        </c:ser>
        <c:ser>
          <c:idx val="2"/>
          <c:order val="2"/>
          <c:tx>
            <c:strRef>
              <c:f>'2003-2013 no of events'!$E$4</c:f>
              <c:strCache>
                <c:ptCount val="1"/>
                <c:pt idx="0">
                  <c:v>2005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events'!$E$5:$E$16</c:f>
              <c:numCache>
                <c:formatCode>#,##0</c:formatCode>
                <c:ptCount val="12"/>
              </c:numCache>
            </c:numRef>
          </c:val>
        </c:ser>
        <c:ser>
          <c:idx val="3"/>
          <c:order val="3"/>
          <c:tx>
            <c:strRef>
              <c:f>'2003-2013 no of events'!$F$4</c:f>
              <c:strCache>
                <c:ptCount val="1"/>
                <c:pt idx="0">
                  <c:v>2006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events'!$F$5:$F$16</c:f>
              <c:numCache>
                <c:formatCode>General</c:formatCode>
                <c:ptCount val="12"/>
              </c:numCache>
            </c:numRef>
          </c:val>
        </c:ser>
        <c:ser>
          <c:idx val="4"/>
          <c:order val="4"/>
          <c:tx>
            <c:strRef>
              <c:f>'2003-2013 no of events'!$G$4</c:f>
              <c:strCache>
                <c:ptCount val="1"/>
                <c:pt idx="0">
                  <c:v>2007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events'!$G$5:$G$16</c:f>
              <c:numCache>
                <c:formatCode>General</c:formatCode>
                <c:ptCount val="12"/>
              </c:numCache>
            </c:numRef>
          </c:val>
        </c:ser>
        <c:ser>
          <c:idx val="5"/>
          <c:order val="5"/>
          <c:tx>
            <c:strRef>
              <c:f>'2003-2013 no of events'!$H$4</c:f>
              <c:strCache>
                <c:ptCount val="1"/>
                <c:pt idx="0">
                  <c:v>2008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events'!$H$5:$H$16</c:f>
              <c:numCache>
                <c:formatCode>General</c:formatCode>
                <c:ptCount val="12"/>
              </c:numCache>
            </c:numRef>
          </c:val>
        </c:ser>
        <c:ser>
          <c:idx val="6"/>
          <c:order val="6"/>
          <c:tx>
            <c:strRef>
              <c:f>'2003-2013 no of events'!$I$4</c:f>
              <c:strCache>
                <c:ptCount val="1"/>
                <c:pt idx="0">
                  <c:v>2009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events'!$I$5:$I$16</c:f>
              <c:numCache>
                <c:formatCode>General</c:formatCode>
                <c:ptCount val="12"/>
              </c:numCache>
            </c:numRef>
          </c:val>
        </c:ser>
        <c:ser>
          <c:idx val="7"/>
          <c:order val="7"/>
          <c:tx>
            <c:strRef>
              <c:f>'2003-2013 no of events'!$Z$4</c:f>
              <c:strCache>
                <c:ptCount val="1"/>
                <c:pt idx="0">
                  <c:v>2026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events'!$Z$5:$Z$16</c:f>
              <c:numCache>
                <c:formatCode>General</c:formatCode>
                <c:ptCount val="12"/>
              </c:numCache>
            </c:numRef>
          </c:val>
        </c:ser>
        <c:ser>
          <c:idx val="8"/>
          <c:order val="8"/>
          <c:tx>
            <c:strRef>
              <c:f>'2003-2013 no of events'!$AA$4</c:f>
              <c:strCache>
                <c:ptCount val="1"/>
                <c:pt idx="0">
                  <c:v>2028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events'!$AA$5:$AA$16</c:f>
              <c:numCache>
                <c:formatCode>General</c:formatCode>
                <c:ptCount val="12"/>
              </c:numCache>
            </c:numRef>
          </c:val>
        </c:ser>
        <c:ser>
          <c:idx val="9"/>
          <c:order val="9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0"/>
          <c:order val="10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1"/>
          <c:order val="11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2"/>
          <c:order val="12"/>
          <c:tx>
            <c:strRef>
              <c:f>'2003-2013 no of events'!$AB$4</c:f>
              <c:strCache>
                <c:ptCount val="1"/>
                <c:pt idx="0">
                  <c:v>Average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events'!$AB$5:$AB$16</c:f>
            </c:numRef>
          </c:val>
        </c:ser>
        <c:ser>
          <c:idx val="13"/>
          <c:order val="13"/>
          <c:tx>
            <c:strRef>
              <c:f>'2003-2013 no of events'!$AC$4</c:f>
              <c:strCache>
                <c:ptCount val="1"/>
                <c:pt idx="0">
                  <c:v>Average           (2009-2013)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events'!$AC$5:$AC$16</c:f>
            </c:numRef>
          </c:val>
        </c:ser>
        <c:ser>
          <c:idx val="14"/>
          <c:order val="14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5"/>
          <c:order val="15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6"/>
          <c:order val="16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7"/>
          <c:order val="17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8"/>
          <c:order val="18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9"/>
          <c:order val="19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0"/>
          <c:order val="20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1"/>
          <c:order val="21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2"/>
          <c:order val="22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3"/>
          <c:order val="23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4"/>
          <c:order val="24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5"/>
          <c:order val="25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6"/>
          <c:order val="26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7"/>
          <c:order val="27"/>
          <c:tx>
            <c:strRef>
              <c:f>'2003-2013 no of events'!#REF!</c:f>
              <c:strCache>
                <c:ptCount val="1"/>
                <c:pt idx="0">
                  <c:v>#REF!</c:v>
                </c:pt>
              </c:strCache>
            </c:strRef>
          </c:tx>
          <c:cat>
            <c:strRef>
              <c:f>'2003-2013 no of events'!$B$5:$B$16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no of events'!#REF!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marker val="1"/>
        <c:axId val="120424320"/>
        <c:axId val="114425856"/>
      </c:lineChart>
      <c:catAx>
        <c:axId val="1204243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425856"/>
        <c:crosses val="autoZero"/>
        <c:auto val="1"/>
        <c:lblAlgn val="ctr"/>
        <c:lblOffset val="100"/>
      </c:catAx>
      <c:valAx>
        <c:axId val="114425856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424320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 Year Revenue Chart</a:t>
            </a:r>
          </a:p>
        </c:rich>
      </c:tx>
      <c:layout>
        <c:manualLayout>
          <c:xMode val="edge"/>
          <c:yMode val="edge"/>
          <c:x val="0.35855913465362288"/>
          <c:y val="3.24324324324324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279313202620371"/>
          <c:y val="0.17027049497267607"/>
          <c:w val="0.7819833579380594"/>
          <c:h val="0.65946032973544333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 wo disto'!$A$314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'2003-2013 revenue wo disto'!$G$312:$G$314</c:f>
              <c:numCache>
                <c:formatCode>General</c:formatCode>
                <c:ptCount val="3"/>
                <c:pt idx="0">
                  <c:v>2008</c:v>
                </c:pt>
                <c:pt idx="2" formatCode="#,##0">
                  <c:v>160000000</c:v>
                </c:pt>
              </c:numCache>
            </c:numRef>
          </c:cat>
          <c:val>
            <c:numRef>
              <c:f>'2003-2013 revenue wo disto'!$G$314</c:f>
              <c:numCache>
                <c:formatCode>#,##0</c:formatCode>
                <c:ptCount val="1"/>
                <c:pt idx="0">
                  <c:v>160000000</c:v>
                </c:pt>
              </c:numCache>
            </c:numRef>
          </c:val>
        </c:ser>
        <c:axId val="115083136"/>
        <c:axId val="115097600"/>
      </c:barChart>
      <c:catAx>
        <c:axId val="1150831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5855934674832308"/>
              <c:y val="0.902703837695963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97600"/>
        <c:crosses val="autoZero"/>
        <c:auto val="1"/>
        <c:lblAlgn val="ctr"/>
        <c:lblOffset val="100"/>
        <c:tickLblSkip val="1"/>
        <c:tickMarkSkip val="1"/>
      </c:catAx>
      <c:valAx>
        <c:axId val="11509760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Peso Revenue</a:t>
                </a:r>
              </a:p>
            </c:rich>
          </c:tx>
          <c:layout>
            <c:manualLayout>
              <c:xMode val="edge"/>
              <c:yMode val="edge"/>
              <c:x val="2.8828866088708608E-2"/>
              <c:y val="0.38918975668581968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083136"/>
        <c:crosses val="autoZero"/>
        <c:crossBetween val="between"/>
      </c:valAx>
      <c:spPr>
        <a:solidFill>
          <a:srgbClr val="FFFFFF"/>
        </a:solidFill>
        <a:ln w="12700">
          <a:solidFill>
            <a:srgbClr val="FFFF99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7832957110609488"/>
          <c:y val="6.7750856810152069E-2"/>
          <c:w val="0.6004514672686232"/>
          <c:h val="0.8211403845390427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revenue'!$D$74</c:f>
              <c:strCache>
                <c:ptCount val="1"/>
                <c:pt idx="0">
                  <c:v>2007 Actual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revenue'!$E$75:$E$79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'2003-2013 revenue'!$D$75:$D$79</c:f>
              <c:numCache>
                <c:formatCode>#,##0</c:formatCode>
                <c:ptCount val="5"/>
                <c:pt idx="0">
                  <c:v>3553051</c:v>
                </c:pt>
                <c:pt idx="1">
                  <c:v>3339414</c:v>
                </c:pt>
                <c:pt idx="2">
                  <c:v>14745449</c:v>
                </c:pt>
                <c:pt idx="3">
                  <c:v>21360973</c:v>
                </c:pt>
                <c:pt idx="4">
                  <c:v>12778856</c:v>
                </c:pt>
              </c:numCache>
            </c:numRef>
          </c:val>
        </c:ser>
        <c:ser>
          <c:idx val="1"/>
          <c:order val="1"/>
          <c:tx>
            <c:strRef>
              <c:f>'2003-2013 revenue'!$C$74</c:f>
              <c:strCache>
                <c:ptCount val="1"/>
                <c:pt idx="0">
                  <c:v>2007 Budget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revenue'!$E$75:$E$79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'2003-2013 revenue'!$C$75:$C$79</c:f>
              <c:numCache>
                <c:formatCode>#,##0</c:formatCode>
                <c:ptCount val="5"/>
                <c:pt idx="0">
                  <c:v>4229100</c:v>
                </c:pt>
                <c:pt idx="1">
                  <c:v>8071500</c:v>
                </c:pt>
                <c:pt idx="2">
                  <c:v>18531600</c:v>
                </c:pt>
                <c:pt idx="3">
                  <c:v>20330220</c:v>
                </c:pt>
                <c:pt idx="4">
                  <c:v>17926300</c:v>
                </c:pt>
              </c:numCache>
            </c:numRef>
          </c:val>
        </c:ser>
        <c:axId val="115140096"/>
        <c:axId val="115141632"/>
      </c:barChart>
      <c:catAx>
        <c:axId val="11514009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41632"/>
        <c:crosses val="autoZero"/>
        <c:auto val="1"/>
        <c:lblAlgn val="ctr"/>
        <c:lblOffset val="100"/>
        <c:tickLblSkip val="1"/>
        <c:tickMarkSkip val="1"/>
      </c:catAx>
      <c:valAx>
        <c:axId val="1151416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40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361173814898423"/>
          <c:y val="0.4254753928116709"/>
          <c:w val="0.17833051906886355"/>
          <c:h val="0.1056913414278499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 Per Year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9.4596690058094263E-2"/>
          <c:y val="0.15184873442543831"/>
          <c:w val="0.89285100868667588"/>
          <c:h val="0.631431803783148"/>
        </c:manualLayout>
      </c:layout>
      <c:lineChart>
        <c:grouping val="standard"/>
        <c:ser>
          <c:idx val="0"/>
          <c:order val="0"/>
          <c:cat>
            <c:strRef>
              <c:f>'2003-2013 revenue wo disto'!$A$4:$A$16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revenue wo disto'!$B$4:$B$16</c:f>
              <c:numCache>
                <c:formatCode>#,##0</c:formatCode>
                <c:ptCount val="13"/>
                <c:pt idx="0" formatCode="General">
                  <c:v>2003</c:v>
                </c:pt>
              </c:numCache>
            </c:numRef>
          </c:val>
        </c:ser>
        <c:ser>
          <c:idx val="1"/>
          <c:order val="1"/>
          <c:cat>
            <c:strRef>
              <c:f>'2003-2013 revenue wo disto'!$A$4:$A$16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revenue wo disto'!$C$4:$C$16</c:f>
              <c:numCache>
                <c:formatCode>#,##0</c:formatCode>
                <c:ptCount val="13"/>
                <c:pt idx="0" formatCode="General">
                  <c:v>2004</c:v>
                </c:pt>
              </c:numCache>
            </c:numRef>
          </c:val>
        </c:ser>
        <c:ser>
          <c:idx val="2"/>
          <c:order val="2"/>
          <c:cat>
            <c:strRef>
              <c:f>'2003-2013 revenue wo disto'!$A$4:$A$16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revenue wo disto'!$D$4:$D$16</c:f>
              <c:numCache>
                <c:formatCode>#,##0</c:formatCode>
                <c:ptCount val="13"/>
                <c:pt idx="0" formatCode="General">
                  <c:v>2005</c:v>
                </c:pt>
              </c:numCache>
            </c:numRef>
          </c:val>
        </c:ser>
        <c:ser>
          <c:idx val="3"/>
          <c:order val="3"/>
          <c:cat>
            <c:strRef>
              <c:f>'2003-2013 revenue wo disto'!$A$4:$A$16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revenue wo disto'!$E$4:$E$16</c:f>
              <c:numCache>
                <c:formatCode>#,##0</c:formatCode>
                <c:ptCount val="13"/>
                <c:pt idx="0" formatCode="General">
                  <c:v>2006</c:v>
                </c:pt>
              </c:numCache>
            </c:numRef>
          </c:val>
        </c:ser>
        <c:ser>
          <c:idx val="4"/>
          <c:order val="4"/>
          <c:cat>
            <c:strRef>
              <c:f>'2003-2013 revenue wo disto'!$A$4:$A$16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revenue wo disto'!$F$4:$F$16</c:f>
              <c:numCache>
                <c:formatCode>#,##0</c:formatCode>
                <c:ptCount val="13"/>
                <c:pt idx="0" formatCode="General">
                  <c:v>2007</c:v>
                </c:pt>
              </c:numCache>
            </c:numRef>
          </c:val>
        </c:ser>
        <c:ser>
          <c:idx val="5"/>
          <c:order val="5"/>
          <c:cat>
            <c:strRef>
              <c:f>'2003-2013 revenue wo disto'!$A$4:$A$16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revenue wo disto'!$G$4:$G$16</c:f>
              <c:numCache>
                <c:formatCode>#,##0</c:formatCode>
                <c:ptCount val="13"/>
                <c:pt idx="0" formatCode="General">
                  <c:v>2008</c:v>
                </c:pt>
              </c:numCache>
            </c:numRef>
          </c:val>
        </c:ser>
        <c:ser>
          <c:idx val="6"/>
          <c:order val="6"/>
          <c:cat>
            <c:strRef>
              <c:f>'2003-2013 revenue wo disto'!$A$4:$A$16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revenue wo disto'!$H$4:$H$16</c:f>
              <c:numCache>
                <c:formatCode>#,##0.00</c:formatCode>
                <c:ptCount val="13"/>
                <c:pt idx="0" formatCode="General">
                  <c:v>2009</c:v>
                </c:pt>
              </c:numCache>
            </c:numRef>
          </c:val>
        </c:ser>
        <c:ser>
          <c:idx val="7"/>
          <c:order val="7"/>
          <c:cat>
            <c:strRef>
              <c:f>'2003-2013 revenue wo disto'!$A$4:$A$16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revenue wo disto'!$I$4:$I$16</c:f>
              <c:numCache>
                <c:formatCode>#,##0.00</c:formatCode>
                <c:ptCount val="13"/>
                <c:pt idx="0" formatCode="General">
                  <c:v>2010</c:v>
                </c:pt>
              </c:numCache>
            </c:numRef>
          </c:val>
        </c:ser>
        <c:ser>
          <c:idx val="8"/>
          <c:order val="8"/>
          <c:cat>
            <c:strRef>
              <c:f>'2003-2013 revenue wo disto'!$A$4:$A$16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revenue wo disto'!$J$4:$J$16</c:f>
              <c:numCache>
                <c:formatCode>#,##0.00</c:formatCode>
                <c:ptCount val="13"/>
                <c:pt idx="0" formatCode="General">
                  <c:v>2011</c:v>
                </c:pt>
              </c:numCache>
            </c:numRef>
          </c:val>
        </c:ser>
        <c:ser>
          <c:idx val="9"/>
          <c:order val="9"/>
          <c:cat>
            <c:strRef>
              <c:f>'2003-2013 revenue wo disto'!$A$4:$A$16</c:f>
              <c:strCache>
                <c:ptCount val="13"/>
                <c:pt idx="0">
                  <c:v>Month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'2003-2013 revenue wo disto'!$K$4:$K$16</c:f>
              <c:numCache>
                <c:formatCode>#,##0.00</c:formatCode>
                <c:ptCount val="13"/>
                <c:pt idx="0" formatCode="General">
                  <c:v>2012</c:v>
                </c:pt>
              </c:numCache>
            </c:numRef>
          </c:val>
        </c:ser>
        <c:marker val="1"/>
        <c:axId val="115193344"/>
        <c:axId val="115195264"/>
      </c:lineChart>
      <c:catAx>
        <c:axId val="1151933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195264"/>
        <c:crosses val="autoZero"/>
        <c:auto val="1"/>
        <c:lblAlgn val="ctr"/>
        <c:lblOffset val="100"/>
      </c:catAx>
      <c:valAx>
        <c:axId val="1151952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19334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Per Year (2003)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'No. of Events Per Year'!$B$2</c:f>
              <c:strCache>
                <c:ptCount val="1"/>
                <c:pt idx="0">
                  <c:v>2003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'No. of Events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'No. of Events Per Year'!$B$3:$B$14</c:f>
              <c:numCache>
                <c:formatCode>#,##0</c:formatCode>
                <c:ptCount val="12"/>
              </c:numCache>
            </c:numRef>
          </c:val>
        </c:ser>
        <c:marker val="1"/>
        <c:axId val="106285312"/>
        <c:axId val="115240960"/>
      </c:lineChart>
      <c:catAx>
        <c:axId val="1062853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240960"/>
        <c:crosses val="autoZero"/>
        <c:auto val="1"/>
        <c:lblAlgn val="ctr"/>
        <c:lblOffset val="100"/>
      </c:catAx>
      <c:valAx>
        <c:axId val="115240960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628531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Per Year (2004)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'No. of Events Per Year'!$C$2</c:f>
              <c:strCache>
                <c:ptCount val="1"/>
                <c:pt idx="0">
                  <c:v>2004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'No. of Events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'No. of Events Per Year'!$C$3:$C$14</c:f>
              <c:numCache>
                <c:formatCode>#,##0</c:formatCode>
                <c:ptCount val="12"/>
              </c:numCache>
            </c:numRef>
          </c:val>
        </c:ser>
        <c:marker val="1"/>
        <c:axId val="115248512"/>
        <c:axId val="115250304"/>
      </c:lineChart>
      <c:catAx>
        <c:axId val="1152485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250304"/>
        <c:crosses val="autoZero"/>
        <c:auto val="1"/>
        <c:lblAlgn val="ctr"/>
        <c:lblOffset val="100"/>
      </c:catAx>
      <c:valAx>
        <c:axId val="115250304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24851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Per Year (2005)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'No. of Events Per Year'!$D$2</c:f>
              <c:strCache>
                <c:ptCount val="1"/>
                <c:pt idx="0">
                  <c:v>2005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'No. of Events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'No. of Events Per Year'!$D$3:$D$14</c:f>
              <c:numCache>
                <c:formatCode>#,##0</c:formatCode>
                <c:ptCount val="12"/>
              </c:numCache>
            </c:numRef>
          </c:val>
        </c:ser>
        <c:marker val="1"/>
        <c:axId val="115270400"/>
        <c:axId val="115271936"/>
      </c:lineChart>
      <c:catAx>
        <c:axId val="1152704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271936"/>
        <c:crosses val="autoZero"/>
        <c:auto val="1"/>
        <c:lblAlgn val="ctr"/>
        <c:lblOffset val="100"/>
      </c:catAx>
      <c:valAx>
        <c:axId val="115271936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27040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Per Year (2006)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'No. of Events Per Year'!$E$2</c:f>
              <c:strCache>
                <c:ptCount val="1"/>
                <c:pt idx="0">
                  <c:v>2006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'No. of Events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'No. of Events Per Year'!$E$3:$E$14</c:f>
              <c:numCache>
                <c:formatCode>General</c:formatCode>
                <c:ptCount val="12"/>
              </c:numCache>
            </c:numRef>
          </c:val>
        </c:ser>
        <c:marker val="1"/>
        <c:axId val="119499008"/>
        <c:axId val="119508992"/>
      </c:lineChart>
      <c:catAx>
        <c:axId val="1194990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508992"/>
        <c:crosses val="autoZero"/>
        <c:auto val="1"/>
        <c:lblAlgn val="ctr"/>
        <c:lblOffset val="100"/>
      </c:catAx>
      <c:valAx>
        <c:axId val="1195089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49900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Per Year (2007)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'No. of Events Per Year'!$F$2</c:f>
              <c:strCache>
                <c:ptCount val="1"/>
                <c:pt idx="0">
                  <c:v>2007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'No. of Events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'No. of Events Per Year'!$F$3:$F$14</c:f>
              <c:numCache>
                <c:formatCode>General</c:formatCode>
                <c:ptCount val="12"/>
              </c:numCache>
            </c:numRef>
          </c:val>
        </c:ser>
        <c:marker val="1"/>
        <c:axId val="109260160"/>
        <c:axId val="109274240"/>
      </c:lineChart>
      <c:catAx>
        <c:axId val="1092601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274240"/>
        <c:crosses val="autoZero"/>
        <c:auto val="1"/>
        <c:lblAlgn val="ctr"/>
        <c:lblOffset val="100"/>
      </c:catAx>
      <c:valAx>
        <c:axId val="1092742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26016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Per Year (2008)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'No. of Events Per Year'!$G$2</c:f>
              <c:strCache>
                <c:ptCount val="1"/>
                <c:pt idx="0">
                  <c:v>2008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'No. of Events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'No. of Events Per Year'!$G$3:$G$14</c:f>
              <c:numCache>
                <c:formatCode>General</c:formatCode>
                <c:ptCount val="12"/>
              </c:numCache>
            </c:numRef>
          </c:val>
        </c:ser>
        <c:marker val="1"/>
        <c:axId val="109302528"/>
        <c:axId val="109304064"/>
      </c:lineChart>
      <c:catAx>
        <c:axId val="1093025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304064"/>
        <c:crosses val="autoZero"/>
        <c:auto val="1"/>
        <c:lblAlgn val="ctr"/>
        <c:lblOffset val="100"/>
      </c:catAx>
      <c:valAx>
        <c:axId val="1093040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0930252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Per Year (2009)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'No. of Events Per Year'!$H$2</c:f>
              <c:strCache>
                <c:ptCount val="1"/>
                <c:pt idx="0">
                  <c:v>2009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'No. of Events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'No. of Events Per Year'!$H$3:$H$14</c:f>
              <c:numCache>
                <c:formatCode>General</c:formatCode>
                <c:ptCount val="12"/>
              </c:numCache>
            </c:numRef>
          </c:val>
        </c:ser>
        <c:marker val="1"/>
        <c:axId val="115300224"/>
        <c:axId val="115301760"/>
      </c:lineChart>
      <c:catAx>
        <c:axId val="1153002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301760"/>
        <c:crosses val="autoZero"/>
        <c:auto val="1"/>
        <c:lblAlgn val="ctr"/>
        <c:lblOffset val="100"/>
      </c:catAx>
      <c:valAx>
        <c:axId val="1153017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30022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2007 Revenue vs Budget </a:t>
            </a:r>
          </a:p>
        </c:rich>
      </c:tx>
      <c:layout>
        <c:manualLayout>
          <c:xMode val="edge"/>
          <c:yMode val="edge"/>
          <c:x val="0.26824236256182266"/>
          <c:y val="3.133159268929503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3043502721109377"/>
          <c:y val="0.17493472584856398"/>
          <c:w val="0.70652248909061766"/>
          <c:h val="0.57702349869451697"/>
        </c:manualLayout>
      </c:layout>
      <c:lineChart>
        <c:grouping val="standard"/>
        <c:ser>
          <c:idx val="0"/>
          <c:order val="0"/>
          <c:tx>
            <c:strRef>
              <c:f>'2003-2013 revenue'!$D$74</c:f>
              <c:strCache>
                <c:ptCount val="1"/>
                <c:pt idx="0">
                  <c:v>2007 Actual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'2003-2013 revenue'!$E$75:$E$86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revenue'!$D$75:$D$86</c:f>
              <c:numCache>
                <c:formatCode>#,##0</c:formatCode>
                <c:ptCount val="12"/>
                <c:pt idx="0">
                  <c:v>3553051</c:v>
                </c:pt>
                <c:pt idx="1">
                  <c:v>3339414</c:v>
                </c:pt>
                <c:pt idx="2">
                  <c:v>14745449</c:v>
                </c:pt>
                <c:pt idx="3">
                  <c:v>21360973</c:v>
                </c:pt>
                <c:pt idx="4">
                  <c:v>12778856</c:v>
                </c:pt>
                <c:pt idx="5">
                  <c:v>10251598</c:v>
                </c:pt>
                <c:pt idx="6">
                  <c:v>43380507</c:v>
                </c:pt>
                <c:pt idx="7">
                  <c:v>10912236</c:v>
                </c:pt>
                <c:pt idx="8">
                  <c:v>5669222</c:v>
                </c:pt>
                <c:pt idx="9">
                  <c:v>7011592</c:v>
                </c:pt>
                <c:pt idx="10">
                  <c:v>7032639</c:v>
                </c:pt>
                <c:pt idx="11">
                  <c:v>10844233</c:v>
                </c:pt>
              </c:numCache>
            </c:numRef>
          </c:val>
        </c:ser>
        <c:ser>
          <c:idx val="1"/>
          <c:order val="1"/>
          <c:tx>
            <c:strRef>
              <c:f>'2003-2013 revenue'!$C$74</c:f>
              <c:strCache>
                <c:ptCount val="1"/>
                <c:pt idx="0">
                  <c:v>2007 Budget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'2003-2013 revenue'!$E$75:$E$86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revenue'!$C$75:$C$86</c:f>
              <c:numCache>
                <c:formatCode>#,##0</c:formatCode>
                <c:ptCount val="12"/>
                <c:pt idx="0">
                  <c:v>4229100</c:v>
                </c:pt>
                <c:pt idx="1">
                  <c:v>8071500</c:v>
                </c:pt>
                <c:pt idx="2">
                  <c:v>18531600</c:v>
                </c:pt>
                <c:pt idx="3">
                  <c:v>20330220</c:v>
                </c:pt>
                <c:pt idx="4">
                  <c:v>17926300</c:v>
                </c:pt>
                <c:pt idx="5">
                  <c:v>7350900</c:v>
                </c:pt>
                <c:pt idx="6">
                  <c:v>5429900</c:v>
                </c:pt>
                <c:pt idx="7">
                  <c:v>1999980</c:v>
                </c:pt>
                <c:pt idx="8">
                  <c:v>8402500</c:v>
                </c:pt>
                <c:pt idx="9">
                  <c:v>11490200</c:v>
                </c:pt>
                <c:pt idx="10">
                  <c:v>10894100</c:v>
                </c:pt>
                <c:pt idx="11">
                  <c:v>10343700</c:v>
                </c:pt>
              </c:numCache>
            </c:numRef>
          </c:val>
        </c:ser>
        <c:marker val="1"/>
        <c:axId val="114434432"/>
        <c:axId val="114436736"/>
      </c:lineChart>
      <c:catAx>
        <c:axId val="114434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3260895959433641"/>
              <c:y val="0.8224543080939947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36736"/>
        <c:crosses val="autoZero"/>
        <c:auto val="1"/>
        <c:lblAlgn val="ctr"/>
        <c:lblOffset val="100"/>
        <c:tickLblSkip val="1"/>
        <c:tickMarkSkip val="1"/>
      </c:catAx>
      <c:valAx>
        <c:axId val="1144367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Revenue</a:t>
                </a:r>
              </a:p>
            </c:rich>
          </c:tx>
          <c:layout>
            <c:manualLayout>
              <c:xMode val="edge"/>
              <c:yMode val="edge"/>
              <c:x val="4.5652150624029136E-2"/>
              <c:y val="0.39425587467362927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434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782634313567947"/>
          <c:y val="0.92167101827676245"/>
          <c:w val="0.42173996107629402"/>
          <c:h val="5.744125326370752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Per Year (2010)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'No. of Events Per Year'!$I$2</c:f>
              <c:strCache>
                <c:ptCount val="1"/>
                <c:pt idx="0">
                  <c:v>2010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'No. of Events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'No. of Events Per Year'!$I$3:$I$14</c:f>
              <c:numCache>
                <c:formatCode>General</c:formatCode>
                <c:ptCount val="12"/>
              </c:numCache>
            </c:numRef>
          </c:val>
        </c:ser>
        <c:marker val="1"/>
        <c:axId val="115325952"/>
        <c:axId val="115331840"/>
      </c:lineChart>
      <c:catAx>
        <c:axId val="1153259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331840"/>
        <c:crosses val="autoZero"/>
        <c:auto val="1"/>
        <c:lblAlgn val="ctr"/>
        <c:lblOffset val="100"/>
      </c:catAx>
      <c:valAx>
        <c:axId val="11533184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32595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Per Year (2011)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'No. of Events Per Year'!$J$2</c:f>
              <c:strCache>
                <c:ptCount val="1"/>
                <c:pt idx="0">
                  <c:v>2011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'No. of Events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'No. of Events Per Year'!$J$3:$J$14</c:f>
              <c:numCache>
                <c:formatCode>General</c:formatCode>
                <c:ptCount val="12"/>
              </c:numCache>
            </c:numRef>
          </c:val>
        </c:ser>
        <c:marker val="1"/>
        <c:axId val="115360128"/>
        <c:axId val="115361664"/>
      </c:lineChart>
      <c:catAx>
        <c:axId val="1153601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361664"/>
        <c:crosses val="autoZero"/>
        <c:auto val="1"/>
        <c:lblAlgn val="ctr"/>
        <c:lblOffset val="100"/>
      </c:catAx>
      <c:valAx>
        <c:axId val="1153616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36012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Jan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Month'!$A$3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Month'!$B$3:$J$3</c:f>
              <c:numCache>
                <c:formatCode>#,##0</c:formatCode>
                <c:ptCount val="9"/>
              </c:numCache>
            </c:numRef>
          </c:val>
        </c:ser>
        <c:shape val="box"/>
        <c:axId val="113677440"/>
        <c:axId val="113678976"/>
        <c:axId val="0"/>
      </c:bar3DChart>
      <c:catAx>
        <c:axId val="11367744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78976"/>
        <c:crosses val="autoZero"/>
        <c:auto val="1"/>
        <c:lblAlgn val="ctr"/>
        <c:lblOffset val="100"/>
      </c:catAx>
      <c:valAx>
        <c:axId val="113678976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67744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Feb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Month'!$A$4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Month'!$B$4:$J$4</c:f>
              <c:numCache>
                <c:formatCode>#,##0</c:formatCode>
                <c:ptCount val="9"/>
              </c:numCache>
            </c:numRef>
          </c:val>
        </c:ser>
        <c:shape val="box"/>
        <c:axId val="120555776"/>
        <c:axId val="113717248"/>
        <c:axId val="0"/>
      </c:bar3DChart>
      <c:catAx>
        <c:axId val="1205557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17248"/>
        <c:crosses val="autoZero"/>
        <c:auto val="1"/>
        <c:lblAlgn val="ctr"/>
        <c:lblOffset val="100"/>
      </c:catAx>
      <c:valAx>
        <c:axId val="113717248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205557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Mar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Month'!$A$5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Month'!$B$5:$J$5</c:f>
              <c:numCache>
                <c:formatCode>#,##0</c:formatCode>
                <c:ptCount val="9"/>
              </c:numCache>
            </c:numRef>
          </c:val>
        </c:ser>
        <c:shape val="box"/>
        <c:axId val="113737088"/>
        <c:axId val="113742976"/>
        <c:axId val="0"/>
      </c:bar3DChart>
      <c:catAx>
        <c:axId val="1137370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42976"/>
        <c:crosses val="autoZero"/>
        <c:auto val="1"/>
        <c:lblAlgn val="ctr"/>
        <c:lblOffset val="100"/>
      </c:catAx>
      <c:valAx>
        <c:axId val="113742976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37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Apr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Month'!$A$6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Month'!$B$6:$J$6</c:f>
              <c:numCache>
                <c:formatCode>#,##0</c:formatCode>
                <c:ptCount val="9"/>
              </c:numCache>
            </c:numRef>
          </c:val>
        </c:ser>
        <c:shape val="box"/>
        <c:axId val="113767168"/>
        <c:axId val="113768704"/>
        <c:axId val="0"/>
      </c:bar3DChart>
      <c:catAx>
        <c:axId val="1137671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68704"/>
        <c:crosses val="autoZero"/>
        <c:auto val="1"/>
        <c:lblAlgn val="ctr"/>
        <c:lblOffset val="100"/>
      </c:catAx>
      <c:valAx>
        <c:axId val="113768704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76716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May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Month'!$A$7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Month'!$B$7:$J$7</c:f>
              <c:numCache>
                <c:formatCode>#,##0</c:formatCode>
                <c:ptCount val="9"/>
              </c:numCache>
            </c:numRef>
          </c:val>
        </c:ser>
        <c:shape val="box"/>
        <c:axId val="113813376"/>
        <c:axId val="113814912"/>
        <c:axId val="0"/>
      </c:bar3DChart>
      <c:catAx>
        <c:axId val="1138133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14912"/>
        <c:crosses val="autoZero"/>
        <c:auto val="1"/>
        <c:lblAlgn val="ctr"/>
        <c:lblOffset val="100"/>
      </c:catAx>
      <c:valAx>
        <c:axId val="113814912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13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July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Month'!$A$9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Month'!$B$9:$J$9</c:f>
              <c:numCache>
                <c:formatCode>#,##0</c:formatCode>
                <c:ptCount val="9"/>
              </c:numCache>
            </c:numRef>
          </c:val>
        </c:ser>
        <c:shape val="box"/>
        <c:axId val="113855488"/>
        <c:axId val="113857280"/>
        <c:axId val="0"/>
      </c:bar3DChart>
      <c:catAx>
        <c:axId val="1138554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57280"/>
        <c:crosses val="autoZero"/>
        <c:auto val="1"/>
        <c:lblAlgn val="ctr"/>
        <c:lblOffset val="100"/>
      </c:catAx>
      <c:valAx>
        <c:axId val="113857280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8554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June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Month'!$A$8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Month'!$B$8:$J$8</c:f>
              <c:numCache>
                <c:formatCode>#,##0</c:formatCode>
                <c:ptCount val="9"/>
              </c:numCache>
            </c:numRef>
          </c:val>
        </c:ser>
        <c:shape val="box"/>
        <c:axId val="113910528"/>
        <c:axId val="113912064"/>
        <c:axId val="0"/>
      </c:bar3DChart>
      <c:catAx>
        <c:axId val="11391052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12064"/>
        <c:crosses val="autoZero"/>
        <c:auto val="1"/>
        <c:lblAlgn val="ctr"/>
        <c:lblOffset val="100"/>
      </c:catAx>
      <c:valAx>
        <c:axId val="113912064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105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Aug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Month'!$A$10</c:f>
              <c:strCache>
                <c:ptCount val="1"/>
                <c:pt idx="0">
                  <c:v>Aug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Month'!$B$10:$J$10</c:f>
              <c:numCache>
                <c:formatCode>#,##0</c:formatCode>
                <c:ptCount val="9"/>
              </c:numCache>
            </c:numRef>
          </c:val>
        </c:ser>
        <c:shape val="box"/>
        <c:axId val="113940352"/>
        <c:axId val="113941888"/>
        <c:axId val="0"/>
      </c:bar3DChart>
      <c:catAx>
        <c:axId val="1139403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41888"/>
        <c:crosses val="autoZero"/>
        <c:auto val="1"/>
        <c:lblAlgn val="ctr"/>
        <c:lblOffset val="100"/>
      </c:catAx>
      <c:valAx>
        <c:axId val="113941888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403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 Year Revenue Chart</a:t>
            </a:r>
          </a:p>
        </c:rich>
      </c:tx>
      <c:layout>
        <c:manualLayout>
          <c:xMode val="edge"/>
          <c:yMode val="edge"/>
          <c:x val="0.38115386520081218"/>
          <c:y val="3.225806451612903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7440248989441848"/>
          <c:y val="0.17866026609542943"/>
          <c:w val="0.6624481672602508"/>
          <c:h val="0.64516207201127285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revenue'!$V$4:$V$4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revenue'!$V$5:$V$16</c:f>
              <c:numCache>
                <c:formatCode>#,##0</c:formatCode>
                <c:ptCount val="12"/>
              </c:numCache>
            </c:numRef>
          </c:val>
        </c:ser>
        <c:ser>
          <c:idx val="1"/>
          <c:order val="1"/>
          <c:tx>
            <c:strRef>
              <c:f>'2003-2013 revenue'!$F$4:$F$4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revenue'!$F$5:$F$16</c:f>
              <c:numCache>
                <c:formatCode>#,##0</c:formatCode>
                <c:ptCount val="12"/>
              </c:numCache>
            </c:numRef>
          </c:val>
        </c:ser>
        <c:ser>
          <c:idx val="2"/>
          <c:order val="2"/>
          <c:tx>
            <c:strRef>
              <c:f>'2003-2013 revenue'!$E$4:$E$4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revenue'!$E$5:$E$16</c:f>
              <c:numCache>
                <c:formatCode>#,##0</c:formatCode>
                <c:ptCount val="12"/>
              </c:numCache>
            </c:numRef>
          </c:val>
        </c:ser>
        <c:ser>
          <c:idx val="3"/>
          <c:order val="3"/>
          <c:tx>
            <c:strRef>
              <c:f>'2003-2013 revenue'!$D$4:$D$4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revenue'!$D$5:$D$16</c:f>
              <c:numCache>
                <c:formatCode>#,##0</c:formatCode>
                <c:ptCount val="12"/>
              </c:numCache>
            </c:numRef>
          </c:val>
        </c:ser>
        <c:ser>
          <c:idx val="4"/>
          <c:order val="4"/>
          <c:tx>
            <c:strRef>
              <c:f>'2003-2013 revenue'!$C$4:$C$4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rgbClr val="FF66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revenue'!$C$5:$C$16</c:f>
              <c:numCache>
                <c:formatCode>#,##0</c:formatCode>
                <c:ptCount val="12"/>
              </c:numCache>
            </c:numRef>
          </c:val>
        </c:ser>
        <c:ser>
          <c:idx val="5"/>
          <c:order val="5"/>
          <c:tx>
            <c:strRef>
              <c:f>'2003-2013 revenue'!$B$4:$B$4</c:f>
              <c:strCache>
                <c:ptCount val="1"/>
                <c:pt idx="0">
                  <c:v>2003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revenue'!$A$5:$A$16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'2003-2013 revenue'!$B$5:$B$16</c:f>
              <c:numCache>
                <c:formatCode>#,##0</c:formatCode>
                <c:ptCount val="12"/>
              </c:numCache>
            </c:numRef>
          </c:val>
        </c:ser>
        <c:axId val="120265344"/>
        <c:axId val="114500352"/>
      </c:barChart>
      <c:catAx>
        <c:axId val="120265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 and Year</a:t>
                </a:r>
              </a:p>
            </c:rich>
          </c:tx>
          <c:layout>
            <c:manualLayout>
              <c:xMode val="edge"/>
              <c:yMode val="edge"/>
              <c:x val="0.42334810257485844"/>
              <c:y val="0.9032268485049790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00352"/>
        <c:crosses val="autoZero"/>
        <c:auto val="1"/>
        <c:lblAlgn val="ctr"/>
        <c:lblOffset val="100"/>
        <c:tickLblSkip val="1"/>
        <c:tickMarkSkip val="1"/>
      </c:catAx>
      <c:valAx>
        <c:axId val="1145003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Peso Revenue</a:t>
                </a:r>
              </a:p>
            </c:rich>
          </c:tx>
          <c:layout>
            <c:manualLayout>
              <c:xMode val="edge"/>
              <c:yMode val="edge"/>
              <c:x val="2.2503546657111812E-2"/>
              <c:y val="0.36972756817308505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0265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23218005074561"/>
          <c:y val="0.33746950365695599"/>
          <c:w val="0.13642782443537516"/>
          <c:h val="0.3300253349224647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Sept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Month'!$A$11</c:f>
              <c:strCache>
                <c:ptCount val="1"/>
                <c:pt idx="0">
                  <c:v>Sep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Month'!$B$11:$J$11</c:f>
              <c:numCache>
                <c:formatCode>#,##0</c:formatCode>
                <c:ptCount val="9"/>
              </c:numCache>
            </c:numRef>
          </c:val>
        </c:ser>
        <c:shape val="box"/>
        <c:axId val="113982080"/>
        <c:axId val="113996160"/>
        <c:axId val="0"/>
      </c:bar3DChart>
      <c:catAx>
        <c:axId val="11398208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96160"/>
        <c:crosses val="autoZero"/>
        <c:auto val="1"/>
        <c:lblAlgn val="ctr"/>
        <c:lblOffset val="100"/>
      </c:catAx>
      <c:valAx>
        <c:axId val="113996160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3982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Oct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Month'!$A$12</c:f>
              <c:strCache>
                <c:ptCount val="1"/>
                <c:pt idx="0">
                  <c:v>Oct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Month'!$B$12:$J$12</c:f>
              <c:numCache>
                <c:formatCode>#,##0</c:formatCode>
                <c:ptCount val="9"/>
              </c:numCache>
            </c:numRef>
          </c:val>
        </c:ser>
        <c:shape val="box"/>
        <c:axId val="114012160"/>
        <c:axId val="114013696"/>
        <c:axId val="0"/>
      </c:bar3DChart>
      <c:catAx>
        <c:axId val="11401216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013696"/>
        <c:crosses val="autoZero"/>
        <c:auto val="1"/>
        <c:lblAlgn val="ctr"/>
        <c:lblOffset val="100"/>
      </c:catAx>
      <c:valAx>
        <c:axId val="114013696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01216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Nov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Month'!$A$13</c:f>
              <c:strCache>
                <c:ptCount val="1"/>
                <c:pt idx="0">
                  <c:v>Nov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Month'!$B$13:$J$13</c:f>
              <c:numCache>
                <c:formatCode>#,##0</c:formatCode>
                <c:ptCount val="9"/>
              </c:numCache>
            </c:numRef>
          </c:val>
        </c:ser>
        <c:shape val="box"/>
        <c:axId val="114057984"/>
        <c:axId val="114059520"/>
        <c:axId val="0"/>
      </c:bar3DChart>
      <c:catAx>
        <c:axId val="11405798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059520"/>
        <c:crosses val="autoZero"/>
        <c:auto val="1"/>
        <c:lblAlgn val="ctr"/>
        <c:lblOffset val="100"/>
      </c:catAx>
      <c:valAx>
        <c:axId val="114059520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05798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No. of events for Dec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'No. of Events Per Month'!$A$14</c:f>
              <c:strCache>
                <c:ptCount val="1"/>
                <c:pt idx="0">
                  <c:v>Dec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numRef>
              <c:f>'No. of Events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'No. of Events Per Month'!$B$14:$J$14</c:f>
              <c:numCache>
                <c:formatCode>#,##0</c:formatCode>
                <c:ptCount val="9"/>
              </c:numCache>
            </c:numRef>
          </c:val>
        </c:ser>
        <c:shape val="box"/>
        <c:axId val="114108288"/>
        <c:axId val="114109824"/>
        <c:axId val="0"/>
      </c:bar3DChart>
      <c:catAx>
        <c:axId val="1141082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109824"/>
        <c:crosses val="autoZero"/>
        <c:auto val="1"/>
        <c:lblAlgn val="ctr"/>
        <c:lblOffset val="100"/>
      </c:catAx>
      <c:valAx>
        <c:axId val="114109824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1082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Per Year (2003)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'Revenue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Per Year'!$B$3:$B$14</c:f>
              <c:numCache>
                <c:formatCode>#,##0</c:formatCode>
                <c:ptCount val="12"/>
              </c:numCache>
            </c:numRef>
          </c:val>
        </c:ser>
        <c:marker val="1"/>
        <c:axId val="115381376"/>
        <c:axId val="115383296"/>
      </c:lineChart>
      <c:catAx>
        <c:axId val="11538137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383296"/>
        <c:crosses val="autoZero"/>
        <c:auto val="1"/>
        <c:lblAlgn val="ctr"/>
        <c:lblOffset val="100"/>
      </c:catAx>
      <c:valAx>
        <c:axId val="115383296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38137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Per Year (2004)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'Revenue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Per Year'!$C$3:$C$14</c:f>
              <c:numCache>
                <c:formatCode>#,##0</c:formatCode>
                <c:ptCount val="12"/>
              </c:numCache>
            </c:numRef>
          </c:val>
        </c:ser>
        <c:marker val="1"/>
        <c:axId val="115406720"/>
        <c:axId val="119513088"/>
      </c:lineChart>
      <c:catAx>
        <c:axId val="1154067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513088"/>
        <c:crosses val="autoZero"/>
        <c:auto val="1"/>
        <c:lblAlgn val="ctr"/>
        <c:lblOffset val="100"/>
      </c:catAx>
      <c:valAx>
        <c:axId val="119513088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406720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Per Year (2005)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'Revenue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Per Year'!$D$3:$D$14</c:f>
              <c:numCache>
                <c:formatCode>#,##0</c:formatCode>
                <c:ptCount val="12"/>
              </c:numCache>
            </c:numRef>
          </c:val>
        </c:ser>
        <c:marker val="1"/>
        <c:axId val="119651712"/>
        <c:axId val="119650944"/>
      </c:lineChart>
      <c:catAx>
        <c:axId val="11965171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650944"/>
        <c:crosses val="autoZero"/>
        <c:auto val="1"/>
        <c:lblAlgn val="ctr"/>
        <c:lblOffset val="100"/>
      </c:catAx>
      <c:valAx>
        <c:axId val="119650944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65171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Per Year (2006)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'Revenue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Per Year'!$E$3:$E$14</c:f>
              <c:numCache>
                <c:formatCode>#,##0</c:formatCode>
                <c:ptCount val="12"/>
              </c:numCache>
            </c:numRef>
          </c:val>
        </c:ser>
        <c:marker val="1"/>
        <c:axId val="119558144"/>
        <c:axId val="119560064"/>
      </c:lineChart>
      <c:catAx>
        <c:axId val="1195581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560064"/>
        <c:crosses val="autoZero"/>
        <c:auto val="1"/>
        <c:lblAlgn val="ctr"/>
        <c:lblOffset val="100"/>
      </c:catAx>
      <c:valAx>
        <c:axId val="119560064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55814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Per Year (2007)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'Revenue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Per Year'!$F$3:$F$14</c:f>
              <c:numCache>
                <c:formatCode>#,##0</c:formatCode>
                <c:ptCount val="12"/>
              </c:numCache>
            </c:numRef>
          </c:val>
        </c:ser>
        <c:marker val="1"/>
        <c:axId val="119579392"/>
        <c:axId val="119581312"/>
      </c:lineChart>
      <c:catAx>
        <c:axId val="1195793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581312"/>
        <c:crosses val="autoZero"/>
        <c:auto val="1"/>
        <c:lblAlgn val="ctr"/>
        <c:lblOffset val="100"/>
      </c:catAx>
      <c:valAx>
        <c:axId val="119581312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579392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Per Year (2008)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'Revenue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Per Year'!$G$3:$G$14</c:f>
              <c:numCache>
                <c:formatCode>#,##0</c:formatCode>
                <c:ptCount val="12"/>
              </c:numCache>
            </c:numRef>
          </c:val>
        </c:ser>
        <c:marker val="1"/>
        <c:axId val="119694848"/>
        <c:axId val="119696768"/>
      </c:lineChart>
      <c:catAx>
        <c:axId val="11969484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696768"/>
        <c:crosses val="autoZero"/>
        <c:auto val="1"/>
        <c:lblAlgn val="ctr"/>
        <c:lblOffset val="100"/>
      </c:catAx>
      <c:valAx>
        <c:axId val="119696768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69484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51618398637138"/>
          <c:y val="7.0460891082558125E-2"/>
          <c:w val="0.67291311754684835"/>
          <c:h val="0.81030024744941842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revenue'!$A$220</c:f>
              <c:strCache>
                <c:ptCount val="1"/>
                <c:pt idx="0">
                  <c:v>2008 Actual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revenue'!$V$218:$V$219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'2003-2013 revenue'!$V$220:$V$220</c:f>
              <c:numCache>
                <c:formatCode>#,##0</c:formatCode>
                <c:ptCount val="1"/>
                <c:pt idx="0">
                  <c:v>2446416.7799999998</c:v>
                </c:pt>
              </c:numCache>
            </c:numRef>
          </c:val>
        </c:ser>
        <c:ser>
          <c:idx val="1"/>
          <c:order val="1"/>
          <c:tx>
            <c:strRef>
              <c:f>'2003-2013 revenue'!$A$221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revenue'!$V$218:$V$219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'2003-2013 revenue'!$V$221:$V$221</c:f>
              <c:numCache>
                <c:formatCode>#,##0</c:formatCode>
                <c:ptCount val="1"/>
                <c:pt idx="0">
                  <c:v>7567251</c:v>
                </c:pt>
              </c:numCache>
            </c:numRef>
          </c:val>
        </c:ser>
        <c:axId val="114521600"/>
        <c:axId val="114523136"/>
      </c:barChart>
      <c:catAx>
        <c:axId val="11452160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23136"/>
        <c:crosses val="autoZero"/>
        <c:auto val="1"/>
        <c:lblAlgn val="ctr"/>
        <c:lblOffset val="100"/>
        <c:tickLblSkip val="1"/>
        <c:tickMarkSkip val="1"/>
      </c:catAx>
      <c:valAx>
        <c:axId val="1145231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21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4327063283756187"/>
          <c:y val="0.42005533861112887"/>
          <c:w val="0.14310002916302134"/>
          <c:h val="0.1111113956283920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Per Year (2009)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'Revenue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Per Year'!$H$3:$H$14</c:f>
              <c:numCache>
                <c:formatCode>#,##0.00</c:formatCode>
                <c:ptCount val="12"/>
              </c:numCache>
            </c:numRef>
          </c:val>
        </c:ser>
        <c:marker val="1"/>
        <c:axId val="119707904"/>
        <c:axId val="119710080"/>
      </c:lineChart>
      <c:catAx>
        <c:axId val="11970790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710080"/>
        <c:crosses val="autoZero"/>
        <c:auto val="1"/>
        <c:lblAlgn val="ctr"/>
        <c:lblOffset val="100"/>
      </c:catAx>
      <c:valAx>
        <c:axId val="119710080"/>
        <c:scaling>
          <c:orientation val="minMax"/>
        </c:scaling>
        <c:axPos val="l"/>
        <c:majorGridlines/>
        <c:numFmt formatCode="#,##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707904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Per Year (2010)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'Revenue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Per Year'!$I$3:$I$14</c:f>
              <c:numCache>
                <c:formatCode>#,##0.00</c:formatCode>
                <c:ptCount val="12"/>
              </c:numCache>
            </c:numRef>
          </c:val>
        </c:ser>
        <c:marker val="1"/>
        <c:axId val="115411968"/>
        <c:axId val="115418240"/>
      </c:lineChart>
      <c:catAx>
        <c:axId val="11541196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418240"/>
        <c:crosses val="autoZero"/>
        <c:auto val="1"/>
        <c:lblAlgn val="ctr"/>
        <c:lblOffset val="100"/>
      </c:catAx>
      <c:valAx>
        <c:axId val="115418240"/>
        <c:scaling>
          <c:orientation val="minMax"/>
        </c:scaling>
        <c:axPos val="l"/>
        <c:majorGridlines/>
        <c:numFmt formatCode="#,##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411968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Per Year (2011)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cat>
            <c:strRef>
              <c:f>'Revenue Per Year'!$A$3:$A$14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'Revenue Per Year'!$J$3:$J$14</c:f>
              <c:numCache>
                <c:formatCode>#,##0.00</c:formatCode>
                <c:ptCount val="12"/>
              </c:numCache>
            </c:numRef>
          </c:val>
        </c:ser>
        <c:marker val="1"/>
        <c:axId val="115449856"/>
        <c:axId val="115451776"/>
      </c:lineChart>
      <c:catAx>
        <c:axId val="1154498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451776"/>
        <c:crosses val="autoZero"/>
        <c:auto val="1"/>
        <c:lblAlgn val="ctr"/>
        <c:lblOffset val="100"/>
      </c:catAx>
      <c:valAx>
        <c:axId val="115451776"/>
        <c:scaling>
          <c:orientation val="minMax"/>
        </c:scaling>
        <c:axPos val="l"/>
        <c:majorGridlines/>
        <c:numFmt formatCode="#,##0.0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5449856"/>
        <c:crosses val="autoZero"/>
        <c:crossBetween val="between"/>
      </c:valAx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Jan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Month'!$A$3</c:f>
              <c:strCache>
                <c:ptCount val="1"/>
                <c:pt idx="0">
                  <c:v>Jan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Month'!$B$3:$J$3</c:f>
              <c:numCache>
                <c:formatCode>#,##0</c:formatCode>
                <c:ptCount val="9"/>
              </c:numCache>
            </c:numRef>
          </c:val>
        </c:ser>
        <c:shape val="box"/>
        <c:axId val="114138496"/>
        <c:axId val="114140288"/>
        <c:axId val="0"/>
      </c:bar3DChart>
      <c:catAx>
        <c:axId val="11413849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140288"/>
        <c:crosses val="autoZero"/>
        <c:auto val="1"/>
        <c:lblAlgn val="ctr"/>
        <c:lblOffset val="100"/>
      </c:catAx>
      <c:valAx>
        <c:axId val="114140288"/>
        <c:scaling>
          <c:orientation val="minMax"/>
          <c:max val="4000000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13849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Feb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Month'!$A$4</c:f>
              <c:strCache>
                <c:ptCount val="1"/>
                <c:pt idx="0">
                  <c:v>Feb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Month'!$B$4:$J$4</c:f>
              <c:numCache>
                <c:formatCode>#,##0</c:formatCode>
                <c:ptCount val="9"/>
              </c:numCache>
            </c:numRef>
          </c:val>
        </c:ser>
        <c:shape val="box"/>
        <c:axId val="114160000"/>
        <c:axId val="114161536"/>
        <c:axId val="0"/>
      </c:bar3DChart>
      <c:catAx>
        <c:axId val="11416000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161536"/>
        <c:crosses val="autoZero"/>
        <c:auto val="1"/>
        <c:lblAlgn val="ctr"/>
        <c:lblOffset val="100"/>
      </c:catAx>
      <c:valAx>
        <c:axId val="114161536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16000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Mar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Month'!$A$5</c:f>
              <c:strCache>
                <c:ptCount val="1"/>
                <c:pt idx="0">
                  <c:v>Mar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Month'!$B$5:$J$5</c:f>
              <c:numCache>
                <c:formatCode>#,##0</c:formatCode>
                <c:ptCount val="9"/>
              </c:numCache>
            </c:numRef>
          </c:val>
        </c:ser>
        <c:shape val="box"/>
        <c:axId val="119788672"/>
        <c:axId val="119790208"/>
        <c:axId val="0"/>
      </c:bar3DChart>
      <c:catAx>
        <c:axId val="1197886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790208"/>
        <c:crosses val="autoZero"/>
        <c:auto val="1"/>
        <c:lblAlgn val="ctr"/>
        <c:lblOffset val="100"/>
      </c:catAx>
      <c:valAx>
        <c:axId val="119790208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7886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Apr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Month'!$A$6</c:f>
              <c:strCache>
                <c:ptCount val="1"/>
                <c:pt idx="0">
                  <c:v>Apr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Month'!$B$6:$J$6</c:f>
              <c:numCache>
                <c:formatCode>#,##0</c:formatCode>
                <c:ptCount val="9"/>
              </c:numCache>
            </c:numRef>
          </c:val>
        </c:ser>
        <c:shape val="box"/>
        <c:axId val="119809920"/>
        <c:axId val="119811456"/>
        <c:axId val="0"/>
      </c:bar3DChart>
      <c:catAx>
        <c:axId val="119809920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811456"/>
        <c:crosses val="autoZero"/>
        <c:auto val="1"/>
        <c:lblAlgn val="ctr"/>
        <c:lblOffset val="100"/>
      </c:catAx>
      <c:valAx>
        <c:axId val="119811456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80992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May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Month'!$A$7</c:f>
              <c:strCache>
                <c:ptCount val="1"/>
                <c:pt idx="0">
                  <c:v>May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Month'!$B$7:$J$7</c:f>
              <c:numCache>
                <c:formatCode>#,##0</c:formatCode>
                <c:ptCount val="9"/>
              </c:numCache>
            </c:numRef>
          </c:val>
        </c:ser>
        <c:shape val="box"/>
        <c:axId val="119847552"/>
        <c:axId val="119849344"/>
        <c:axId val="0"/>
      </c:bar3DChart>
      <c:catAx>
        <c:axId val="11984755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849344"/>
        <c:crosses val="autoZero"/>
        <c:auto val="1"/>
        <c:lblAlgn val="ctr"/>
        <c:lblOffset val="100"/>
      </c:catAx>
      <c:valAx>
        <c:axId val="119849344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98475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June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Month'!$A$8</c:f>
              <c:strCache>
                <c:ptCount val="1"/>
                <c:pt idx="0">
                  <c:v>June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Month'!$B$8:$J$8</c:f>
              <c:numCache>
                <c:formatCode>#,##0</c:formatCode>
                <c:ptCount val="9"/>
              </c:numCache>
            </c:numRef>
          </c:val>
        </c:ser>
        <c:shape val="box"/>
        <c:axId val="114179456"/>
        <c:axId val="114189440"/>
        <c:axId val="0"/>
      </c:bar3DChart>
      <c:catAx>
        <c:axId val="11417945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189440"/>
        <c:crosses val="autoZero"/>
        <c:auto val="1"/>
        <c:lblAlgn val="ctr"/>
        <c:lblOffset val="100"/>
      </c:catAx>
      <c:valAx>
        <c:axId val="114189440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17945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July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Month'!$A$9</c:f>
              <c:strCache>
                <c:ptCount val="1"/>
                <c:pt idx="0">
                  <c:v>July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Month'!$B$9:$J$9</c:f>
              <c:numCache>
                <c:formatCode>#,##0</c:formatCode>
                <c:ptCount val="9"/>
              </c:numCache>
            </c:numRef>
          </c:val>
        </c:ser>
        <c:shape val="box"/>
        <c:axId val="114209536"/>
        <c:axId val="114211072"/>
        <c:axId val="0"/>
      </c:bar3DChart>
      <c:catAx>
        <c:axId val="114209536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211072"/>
        <c:crosses val="autoZero"/>
        <c:auto val="1"/>
        <c:lblAlgn val="ctr"/>
        <c:lblOffset val="100"/>
      </c:catAx>
      <c:valAx>
        <c:axId val="114211072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2095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983050847457628"/>
          <c:y val="6.8241644730265574E-2"/>
          <c:w val="0.78644067796610173"/>
          <c:h val="0.68504112594612743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revenue'!$A$272</c:f>
              <c:strCache>
                <c:ptCount val="1"/>
                <c:pt idx="0">
                  <c:v>2008 Actual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revenue'!$V$270:$V$271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'2003-2013 revenue'!$V$272:$V$272</c:f>
              <c:numCache>
                <c:formatCode>#,##0</c:formatCode>
                <c:ptCount val="1"/>
                <c:pt idx="0">
                  <c:v>2446416.7799999998</c:v>
                </c:pt>
              </c:numCache>
            </c:numRef>
          </c:val>
        </c:ser>
        <c:ser>
          <c:idx val="1"/>
          <c:order val="1"/>
          <c:tx>
            <c:strRef>
              <c:f>'2003-2013 revenue'!$A$273</c:f>
              <c:strCache>
                <c:ptCount val="1"/>
                <c:pt idx="0">
                  <c:v>2007 ytd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revenue'!$V$270:$V$271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'2003-2013 revenue'!$V$273:$V$273</c:f>
              <c:numCache>
                <c:formatCode>#,##0</c:formatCode>
                <c:ptCount val="1"/>
                <c:pt idx="0">
                  <c:v>3553051</c:v>
                </c:pt>
              </c:numCache>
            </c:numRef>
          </c:val>
        </c:ser>
        <c:axId val="114555904"/>
        <c:axId val="114558080"/>
      </c:barChart>
      <c:catAx>
        <c:axId val="1145559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4406762231644124"/>
              <c:y val="0.832023201824181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58080"/>
        <c:crosses val="autoZero"/>
        <c:auto val="1"/>
        <c:lblAlgn val="ctr"/>
        <c:lblOffset val="100"/>
        <c:tickLblSkip val="1"/>
        <c:tickMarkSkip val="1"/>
      </c:catAx>
      <c:valAx>
        <c:axId val="1145580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Peso revenue</a:t>
                </a:r>
              </a:p>
            </c:rich>
          </c:tx>
          <c:layout>
            <c:manualLayout>
              <c:xMode val="edge"/>
              <c:yMode val="edge"/>
              <c:x val="2.7118487112187898E-2"/>
              <c:y val="0.30183809700952735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555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93237768355876"/>
          <c:y val="0.92126232252464502"/>
          <c:w val="0.25254253987482334"/>
          <c:h val="6.036772962434811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Aug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Month'!$A$10</c:f>
              <c:strCache>
                <c:ptCount val="1"/>
                <c:pt idx="0">
                  <c:v>Aug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Month'!$B$10:$J$10</c:f>
              <c:numCache>
                <c:formatCode>#,##0</c:formatCode>
                <c:ptCount val="9"/>
              </c:numCache>
            </c:numRef>
          </c:val>
        </c:ser>
        <c:shape val="box"/>
        <c:axId val="114243072"/>
        <c:axId val="114244608"/>
        <c:axId val="0"/>
      </c:bar3DChart>
      <c:catAx>
        <c:axId val="11424307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244608"/>
        <c:crosses val="autoZero"/>
        <c:auto val="1"/>
        <c:lblAlgn val="ctr"/>
        <c:lblOffset val="100"/>
      </c:catAx>
      <c:valAx>
        <c:axId val="114244608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2430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Sept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Month'!$A$11</c:f>
              <c:strCache>
                <c:ptCount val="1"/>
                <c:pt idx="0">
                  <c:v>Sep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Month'!$B$11:$J$11</c:f>
              <c:numCache>
                <c:formatCode>#,##0</c:formatCode>
                <c:ptCount val="9"/>
              </c:numCache>
            </c:numRef>
          </c:val>
        </c:ser>
        <c:shape val="box"/>
        <c:axId val="114292608"/>
        <c:axId val="114294144"/>
        <c:axId val="0"/>
      </c:bar3DChart>
      <c:catAx>
        <c:axId val="11429260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294144"/>
        <c:crosses val="autoZero"/>
        <c:auto val="1"/>
        <c:lblAlgn val="ctr"/>
        <c:lblOffset val="100"/>
      </c:catAx>
      <c:valAx>
        <c:axId val="114294144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29260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Oct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Month'!$A$12</c:f>
              <c:strCache>
                <c:ptCount val="1"/>
                <c:pt idx="0">
                  <c:v>Oct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Month'!$B$12:$J$12</c:f>
              <c:numCache>
                <c:formatCode>#,##0</c:formatCode>
                <c:ptCount val="9"/>
              </c:numCache>
            </c:numRef>
          </c:val>
        </c:ser>
        <c:shape val="box"/>
        <c:axId val="114326144"/>
        <c:axId val="114327936"/>
        <c:axId val="0"/>
      </c:bar3DChart>
      <c:catAx>
        <c:axId val="11432614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27936"/>
        <c:crosses val="autoZero"/>
        <c:auto val="1"/>
        <c:lblAlgn val="ctr"/>
        <c:lblOffset val="100"/>
      </c:catAx>
      <c:valAx>
        <c:axId val="114327936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26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Nov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Month'!$A$13</c:f>
              <c:strCache>
                <c:ptCount val="1"/>
                <c:pt idx="0">
                  <c:v>Nov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Month'!$B$13:$J$13</c:f>
              <c:numCache>
                <c:formatCode>#,##0</c:formatCode>
                <c:ptCount val="9"/>
              </c:numCache>
            </c:numRef>
          </c:val>
        </c:ser>
        <c:shape val="box"/>
        <c:axId val="114363392"/>
        <c:axId val="114365184"/>
        <c:axId val="0"/>
      </c:bar3DChart>
      <c:catAx>
        <c:axId val="114363392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65184"/>
        <c:crosses val="autoZero"/>
        <c:auto val="1"/>
        <c:lblAlgn val="ctr"/>
        <c:lblOffset val="100"/>
      </c:catAx>
      <c:valAx>
        <c:axId val="114365184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633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33" l="0.70000000000000062" r="0.70000000000000062" t="0.75000000000000233" header="0.30000000000000032" footer="0.3000000000000003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Revenue for Dec (2003-2011)</a:t>
            </a:r>
          </a:p>
        </c:rich>
      </c:tx>
      <c:layout/>
    </c:title>
    <c:view3D>
      <c:depthPercent val="100"/>
      <c:rAngAx val="1"/>
    </c:view3D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'Revenue Per Month'!$A$14</c:f>
              <c:strCache>
                <c:ptCount val="1"/>
                <c:pt idx="0">
                  <c:v>Dec</c:v>
                </c:pt>
              </c:strCache>
            </c:strRef>
          </c:tx>
          <c:dPt>
            <c:idx val="0"/>
            <c:spPr/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cat>
            <c:numRef>
              <c:f>'Revenue Per Month'!$B$2:$J$2</c:f>
              <c:numCache>
                <c:formatCode>General</c:formatCode>
                <c:ptCount val="9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</c:numCache>
            </c:numRef>
          </c:cat>
          <c:val>
            <c:numRef>
              <c:f>'Revenue Per Month'!$B$14:$J$14</c:f>
              <c:numCache>
                <c:formatCode>#,##0</c:formatCode>
                <c:ptCount val="9"/>
              </c:numCache>
            </c:numRef>
          </c:val>
        </c:ser>
        <c:shape val="box"/>
        <c:axId val="114393088"/>
        <c:axId val="114394624"/>
        <c:axId val="0"/>
      </c:bar3DChart>
      <c:catAx>
        <c:axId val="1143930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94624"/>
        <c:crosses val="autoZero"/>
        <c:auto val="1"/>
        <c:lblAlgn val="ctr"/>
        <c:lblOffset val="100"/>
      </c:catAx>
      <c:valAx>
        <c:axId val="114394624"/>
        <c:scaling>
          <c:orientation val="minMax"/>
        </c:scaling>
        <c:axPos val="l"/>
        <c:majorGridlines/>
        <c:numFmt formatCode="#,##0" sourceLinked="1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439308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255" l="0.70000000000000062" r="0.70000000000000062" t="0.75000000000000255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470349668124082"/>
          <c:y val="6.684491978609626E-2"/>
          <c:w val="0.64840327216054905"/>
          <c:h val="0.76470588235294112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revenue'!$A$226</c:f>
              <c:strCache>
                <c:ptCount val="1"/>
                <c:pt idx="0">
                  <c:v>2008 Actual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revenue'!$V$225:$V$225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'2003-2013 revenue'!$V$226:$V$226</c:f>
              <c:numCache>
                <c:formatCode>#,##0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'2003-2013 revenue'!$A$227</c:f>
              <c:strCache>
                <c:ptCount val="1"/>
                <c:pt idx="0">
                  <c:v>Budget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revenue'!$V$225:$V$225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'2003-2013 revenue'!$V$227:$V$227</c:f>
              <c:numCache>
                <c:formatCode>#,##0</c:formatCode>
                <c:ptCount val="1"/>
                <c:pt idx="0">
                  <c:v>14</c:v>
                </c:pt>
              </c:numCache>
            </c:numRef>
          </c:val>
        </c:ser>
        <c:axId val="114607616"/>
        <c:axId val="114609536"/>
      </c:barChart>
      <c:catAx>
        <c:axId val="114607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0639362243898614"/>
              <c:y val="0.903743315508021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09536"/>
        <c:crosses val="autoZero"/>
        <c:auto val="1"/>
        <c:lblAlgn val="ctr"/>
        <c:lblOffset val="100"/>
        <c:tickLblSkip val="1"/>
        <c:tickMarkSkip val="1"/>
      </c:catAx>
      <c:valAx>
        <c:axId val="11460953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Events</a:t>
                </a:r>
              </a:p>
            </c:rich>
          </c:tx>
          <c:layout>
            <c:manualLayout>
              <c:xMode val="edge"/>
              <c:yMode val="edge"/>
              <c:x val="3.6529752810749404E-2"/>
              <c:y val="0.3502673796791444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076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22109922826813"/>
          <c:y val="0.39839572192513367"/>
          <c:w val="0.17351647275433857"/>
          <c:h val="0.1042780748663101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2854057849217579"/>
          <c:y val="6.5616966086793821E-2"/>
          <c:w val="0.84096039488101448"/>
          <c:h val="0.70078919780695792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revenue'!$A$282</c:f>
              <c:strCache>
                <c:ptCount val="1"/>
                <c:pt idx="0">
                  <c:v>2008 Actual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revenue'!$V$280:$V$281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'2003-2013 revenue'!$V$282:$V$282</c:f>
              <c:numCache>
                <c:formatCode>#,##0</c:formatCode>
                <c:ptCount val="1"/>
                <c:pt idx="0">
                  <c:v>8</c:v>
                </c:pt>
              </c:numCache>
            </c:numRef>
          </c:val>
        </c:ser>
        <c:ser>
          <c:idx val="1"/>
          <c:order val="1"/>
          <c:tx>
            <c:strRef>
              <c:f>'2003-2013 revenue'!$A$283</c:f>
              <c:strCache>
                <c:ptCount val="1"/>
                <c:pt idx="0">
                  <c:v>2007 ytd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'2003-2013 revenue'!$V$280:$V$281</c:f>
              <c:strCache>
                <c:ptCount val="1"/>
                <c:pt idx="0">
                  <c:v>Jan</c:v>
                </c:pt>
              </c:strCache>
            </c:strRef>
          </c:cat>
          <c:val>
            <c:numRef>
              <c:f>'2003-2013 revenue'!$V$283:$V$283</c:f>
              <c:numCache>
                <c:formatCode>#,##0</c:formatCode>
                <c:ptCount val="1"/>
                <c:pt idx="0">
                  <c:v>13</c:v>
                </c:pt>
              </c:numCache>
            </c:numRef>
          </c:val>
        </c:ser>
        <c:axId val="114659328"/>
        <c:axId val="114661248"/>
      </c:barChart>
      <c:catAx>
        <c:axId val="1146593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49891177426879091"/>
              <c:y val="0.837272545656202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61248"/>
        <c:crosses val="autoZero"/>
        <c:auto val="1"/>
        <c:lblAlgn val="ctr"/>
        <c:lblOffset val="100"/>
        <c:tickLblSkip val="1"/>
        <c:tickMarkSkip val="1"/>
      </c:catAx>
      <c:valAx>
        <c:axId val="11466124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Events</a:t>
                </a:r>
              </a:p>
            </c:rich>
          </c:tx>
          <c:layout>
            <c:manualLayout>
              <c:xMode val="edge"/>
              <c:yMode val="edge"/>
              <c:x val="3.4858281853008946E-2"/>
              <c:y val="0.31758612850559037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593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87231465905176"/>
          <c:y val="0.92388699444065558"/>
          <c:w val="0.29411837882921726"/>
          <c:h val="5.7743057708337653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6 Year Revenue Chart</a:t>
            </a:r>
          </a:p>
        </c:rich>
      </c:tx>
      <c:layout>
        <c:manualLayout>
          <c:xMode val="edge"/>
          <c:yMode val="edge"/>
          <c:x val="0.35855913465362288"/>
          <c:y val="3.24324324324324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927931320262036"/>
          <c:y val="0.17027049497267602"/>
          <c:w val="0.7819833579380594"/>
          <c:h val="0.65946032973544355"/>
        </c:manualLayout>
      </c:layout>
      <c:barChart>
        <c:barDir val="col"/>
        <c:grouping val="clustered"/>
        <c:ser>
          <c:idx val="0"/>
          <c:order val="0"/>
          <c:tx>
            <c:strRef>
              <c:f>'2003-2013 revenue'!$A$314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'2003-2013 revenue'!$V$312:$V$313</c:f>
              <c:numCache>
                <c:formatCode>General</c:formatCode>
                <c:ptCount val="2"/>
                <c:pt idx="0">
                  <c:v>2008</c:v>
                </c:pt>
              </c:numCache>
            </c:numRef>
          </c:cat>
          <c:val>
            <c:numRef>
              <c:f>'2003-2013 revenue'!$V$314:$V$314</c:f>
              <c:numCache>
                <c:formatCode>#,##0</c:formatCode>
                <c:ptCount val="1"/>
                <c:pt idx="0">
                  <c:v>160000000</c:v>
                </c:pt>
              </c:numCache>
            </c:numRef>
          </c:val>
        </c:ser>
        <c:axId val="114684672"/>
        <c:axId val="114686592"/>
      </c:barChart>
      <c:catAx>
        <c:axId val="114684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55855934674832308"/>
              <c:y val="0.902703837695963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86592"/>
        <c:crosses val="autoZero"/>
        <c:auto val="1"/>
        <c:lblAlgn val="ctr"/>
        <c:lblOffset val="100"/>
        <c:tickLblSkip val="1"/>
        <c:tickMarkSkip val="1"/>
      </c:catAx>
      <c:valAx>
        <c:axId val="11468659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Peso Revenue</a:t>
                </a:r>
              </a:p>
            </c:rich>
          </c:tx>
          <c:layout>
            <c:manualLayout>
              <c:xMode val="edge"/>
              <c:yMode val="edge"/>
              <c:x val="2.8828866088708608E-2"/>
              <c:y val="0.38918975668581968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4684672"/>
        <c:crosses val="autoZero"/>
        <c:crossBetween val="between"/>
      </c:valAx>
      <c:spPr>
        <a:solidFill>
          <a:srgbClr val="FFFFFF"/>
        </a:solidFill>
        <a:ln w="12700">
          <a:solidFill>
            <a:srgbClr val="FFFF99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9.xml"/><Relationship Id="rId3" Type="http://schemas.openxmlformats.org/officeDocument/2006/relationships/chart" Target="../charts/chart34.xml"/><Relationship Id="rId7" Type="http://schemas.openxmlformats.org/officeDocument/2006/relationships/chart" Target="../charts/chart38.xml"/><Relationship Id="rId12" Type="http://schemas.openxmlformats.org/officeDocument/2006/relationships/chart" Target="../charts/chart43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Relationship Id="rId6" Type="http://schemas.openxmlformats.org/officeDocument/2006/relationships/chart" Target="../charts/chart37.xml"/><Relationship Id="rId11" Type="http://schemas.openxmlformats.org/officeDocument/2006/relationships/chart" Target="../charts/chart42.xml"/><Relationship Id="rId5" Type="http://schemas.openxmlformats.org/officeDocument/2006/relationships/chart" Target="../charts/chart36.xml"/><Relationship Id="rId10" Type="http://schemas.openxmlformats.org/officeDocument/2006/relationships/chart" Target="../charts/chart41.xml"/><Relationship Id="rId4" Type="http://schemas.openxmlformats.org/officeDocument/2006/relationships/chart" Target="../charts/chart35.xml"/><Relationship Id="rId9" Type="http://schemas.openxmlformats.org/officeDocument/2006/relationships/chart" Target="../charts/chart4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1.xml"/><Relationship Id="rId3" Type="http://schemas.openxmlformats.org/officeDocument/2006/relationships/chart" Target="../charts/chart46.xml"/><Relationship Id="rId7" Type="http://schemas.openxmlformats.org/officeDocument/2006/relationships/chart" Target="../charts/chart50.xml"/><Relationship Id="rId2" Type="http://schemas.openxmlformats.org/officeDocument/2006/relationships/chart" Target="../charts/chart45.xml"/><Relationship Id="rId1" Type="http://schemas.openxmlformats.org/officeDocument/2006/relationships/chart" Target="../charts/chart44.xml"/><Relationship Id="rId6" Type="http://schemas.openxmlformats.org/officeDocument/2006/relationships/chart" Target="../charts/chart49.xml"/><Relationship Id="rId5" Type="http://schemas.openxmlformats.org/officeDocument/2006/relationships/chart" Target="../charts/chart48.xml"/><Relationship Id="rId4" Type="http://schemas.openxmlformats.org/officeDocument/2006/relationships/chart" Target="../charts/chart47.xml"/><Relationship Id="rId9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0.xml"/><Relationship Id="rId3" Type="http://schemas.openxmlformats.org/officeDocument/2006/relationships/chart" Target="../charts/chart55.xml"/><Relationship Id="rId7" Type="http://schemas.openxmlformats.org/officeDocument/2006/relationships/chart" Target="../charts/chart59.xml"/><Relationship Id="rId12" Type="http://schemas.openxmlformats.org/officeDocument/2006/relationships/chart" Target="../charts/chart64.xml"/><Relationship Id="rId2" Type="http://schemas.openxmlformats.org/officeDocument/2006/relationships/chart" Target="../charts/chart54.xml"/><Relationship Id="rId1" Type="http://schemas.openxmlformats.org/officeDocument/2006/relationships/chart" Target="../charts/chart53.xml"/><Relationship Id="rId6" Type="http://schemas.openxmlformats.org/officeDocument/2006/relationships/chart" Target="../charts/chart58.xml"/><Relationship Id="rId11" Type="http://schemas.openxmlformats.org/officeDocument/2006/relationships/chart" Target="../charts/chart63.xml"/><Relationship Id="rId5" Type="http://schemas.openxmlformats.org/officeDocument/2006/relationships/chart" Target="../charts/chart57.xml"/><Relationship Id="rId10" Type="http://schemas.openxmlformats.org/officeDocument/2006/relationships/chart" Target="../charts/chart62.xml"/><Relationship Id="rId4" Type="http://schemas.openxmlformats.org/officeDocument/2006/relationships/chart" Target="../charts/chart56.xml"/><Relationship Id="rId9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76</xdr:row>
      <xdr:rowOff>85725</xdr:rowOff>
    </xdr:from>
    <xdr:to>
      <xdr:col>32</xdr:col>
      <xdr:colOff>409575</xdr:colOff>
      <xdr:row>102</xdr:row>
      <xdr:rowOff>104775</xdr:rowOff>
    </xdr:to>
    <xdr:graphicFrame macro="">
      <xdr:nvGraphicFramePr>
        <xdr:cNvPr id="105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228600</xdr:colOff>
      <xdr:row>19</xdr:row>
      <xdr:rowOff>19050</xdr:rowOff>
    </xdr:from>
    <xdr:to>
      <xdr:col>29</xdr:col>
      <xdr:colOff>904875</xdr:colOff>
      <xdr:row>42</xdr:row>
      <xdr:rowOff>142875</xdr:rowOff>
    </xdr:to>
    <xdr:graphicFrame macro="">
      <xdr:nvGraphicFramePr>
        <xdr:cNvPr id="1053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361950</xdr:colOff>
      <xdr:row>73</xdr:row>
      <xdr:rowOff>38100</xdr:rowOff>
    </xdr:from>
    <xdr:to>
      <xdr:col>40</xdr:col>
      <xdr:colOff>438150</xdr:colOff>
      <xdr:row>95</xdr:row>
      <xdr:rowOff>123825</xdr:rowOff>
    </xdr:to>
    <xdr:graphicFrame macro="">
      <xdr:nvGraphicFramePr>
        <xdr:cNvPr id="3932444" name="Chart 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209550</xdr:colOff>
      <xdr:row>118</xdr:row>
      <xdr:rowOff>142875</xdr:rowOff>
    </xdr:from>
    <xdr:to>
      <xdr:col>38</xdr:col>
      <xdr:colOff>571500</xdr:colOff>
      <xdr:row>142</xdr:row>
      <xdr:rowOff>95250</xdr:rowOff>
    </xdr:to>
    <xdr:graphicFrame macro="">
      <xdr:nvGraphicFramePr>
        <xdr:cNvPr id="3932445" name="Chart 20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191</xdr:row>
      <xdr:rowOff>85725</xdr:rowOff>
    </xdr:from>
    <xdr:to>
      <xdr:col>28</xdr:col>
      <xdr:colOff>685800</xdr:colOff>
      <xdr:row>212</xdr:row>
      <xdr:rowOff>123825</xdr:rowOff>
    </xdr:to>
    <xdr:graphicFrame macro="">
      <xdr:nvGraphicFramePr>
        <xdr:cNvPr id="3932446" name="Chart 20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676275</xdr:colOff>
      <xdr:row>243</xdr:row>
      <xdr:rowOff>38100</xdr:rowOff>
    </xdr:from>
    <xdr:to>
      <xdr:col>28</xdr:col>
      <xdr:colOff>752475</xdr:colOff>
      <xdr:row>265</xdr:row>
      <xdr:rowOff>104775</xdr:rowOff>
    </xdr:to>
    <xdr:graphicFrame macro="">
      <xdr:nvGraphicFramePr>
        <xdr:cNvPr id="3932447" name="Chart 20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371475</xdr:colOff>
      <xdr:row>191</xdr:row>
      <xdr:rowOff>28575</xdr:rowOff>
    </xdr:from>
    <xdr:to>
      <xdr:col>36</xdr:col>
      <xdr:colOff>333375</xdr:colOff>
      <xdr:row>212</xdr:row>
      <xdr:rowOff>114300</xdr:rowOff>
    </xdr:to>
    <xdr:graphicFrame macro="">
      <xdr:nvGraphicFramePr>
        <xdr:cNvPr id="3932448" name="Chart 20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104775</xdr:colOff>
      <xdr:row>243</xdr:row>
      <xdr:rowOff>76200</xdr:rowOff>
    </xdr:from>
    <xdr:to>
      <xdr:col>36</xdr:col>
      <xdr:colOff>266700</xdr:colOff>
      <xdr:row>265</xdr:row>
      <xdr:rowOff>142875</xdr:rowOff>
    </xdr:to>
    <xdr:graphicFrame macro="">
      <xdr:nvGraphicFramePr>
        <xdr:cNvPr id="3932449" name="Chart 20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285</xdr:row>
      <xdr:rowOff>9525</xdr:rowOff>
    </xdr:from>
    <xdr:to>
      <xdr:col>28</xdr:col>
      <xdr:colOff>333375</xdr:colOff>
      <xdr:row>306</xdr:row>
      <xdr:rowOff>133350</xdr:rowOff>
    </xdr:to>
    <xdr:graphicFrame macro="">
      <xdr:nvGraphicFramePr>
        <xdr:cNvPr id="3932450" name="Chart 20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285750</xdr:colOff>
      <xdr:row>73</xdr:row>
      <xdr:rowOff>38100</xdr:rowOff>
    </xdr:from>
    <xdr:to>
      <xdr:col>34</xdr:col>
      <xdr:colOff>314325</xdr:colOff>
      <xdr:row>94</xdr:row>
      <xdr:rowOff>152400</xdr:rowOff>
    </xdr:to>
    <xdr:graphicFrame macro="">
      <xdr:nvGraphicFramePr>
        <xdr:cNvPr id="3932451" name="Chart 20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18</xdr:row>
      <xdr:rowOff>142875</xdr:rowOff>
    </xdr:from>
    <xdr:to>
      <xdr:col>27</xdr:col>
      <xdr:colOff>838200</xdr:colOff>
      <xdr:row>41</xdr:row>
      <xdr:rowOff>57150</xdr:rowOff>
    </xdr:to>
    <xdr:graphicFrame macro="">
      <xdr:nvGraphicFramePr>
        <xdr:cNvPr id="393245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76</xdr:row>
      <xdr:rowOff>85725</xdr:rowOff>
    </xdr:from>
    <xdr:to>
      <xdr:col>18</xdr:col>
      <xdr:colOff>409575</xdr:colOff>
      <xdr:row>102</xdr:row>
      <xdr:rowOff>104775</xdr:rowOff>
    </xdr:to>
    <xdr:graphicFrame macro="">
      <xdr:nvGraphicFramePr>
        <xdr:cNvPr id="3597387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19050</xdr:rowOff>
    </xdr:from>
    <xdr:to>
      <xdr:col>13</xdr:col>
      <xdr:colOff>438150</xdr:colOff>
      <xdr:row>42</xdr:row>
      <xdr:rowOff>142875</xdr:rowOff>
    </xdr:to>
    <xdr:graphicFrame macro="">
      <xdr:nvGraphicFramePr>
        <xdr:cNvPr id="359738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361950</xdr:colOff>
      <xdr:row>73</xdr:row>
      <xdr:rowOff>38100</xdr:rowOff>
    </xdr:from>
    <xdr:to>
      <xdr:col>25</xdr:col>
      <xdr:colOff>438150</xdr:colOff>
      <xdr:row>95</xdr:row>
      <xdr:rowOff>123825</xdr:rowOff>
    </xdr:to>
    <xdr:graphicFrame macro="">
      <xdr:nvGraphicFramePr>
        <xdr:cNvPr id="3353970" name="Chart 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209550</xdr:colOff>
      <xdr:row>118</xdr:row>
      <xdr:rowOff>142875</xdr:rowOff>
    </xdr:from>
    <xdr:to>
      <xdr:col>23</xdr:col>
      <xdr:colOff>571500</xdr:colOff>
      <xdr:row>142</xdr:row>
      <xdr:rowOff>95250</xdr:rowOff>
    </xdr:to>
    <xdr:graphicFrame macro="">
      <xdr:nvGraphicFramePr>
        <xdr:cNvPr id="3353971" name="Chart 20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191</xdr:row>
      <xdr:rowOff>85725</xdr:rowOff>
    </xdr:from>
    <xdr:to>
      <xdr:col>13</xdr:col>
      <xdr:colOff>685800</xdr:colOff>
      <xdr:row>212</xdr:row>
      <xdr:rowOff>123825</xdr:rowOff>
    </xdr:to>
    <xdr:graphicFrame macro="">
      <xdr:nvGraphicFramePr>
        <xdr:cNvPr id="3353972" name="Chart 20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676275</xdr:colOff>
      <xdr:row>243</xdr:row>
      <xdr:rowOff>38100</xdr:rowOff>
    </xdr:from>
    <xdr:to>
      <xdr:col>13</xdr:col>
      <xdr:colOff>752475</xdr:colOff>
      <xdr:row>265</xdr:row>
      <xdr:rowOff>104775</xdr:rowOff>
    </xdr:to>
    <xdr:graphicFrame macro="">
      <xdr:nvGraphicFramePr>
        <xdr:cNvPr id="3353973" name="Chart 20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371475</xdr:colOff>
      <xdr:row>191</xdr:row>
      <xdr:rowOff>28575</xdr:rowOff>
    </xdr:from>
    <xdr:to>
      <xdr:col>21</xdr:col>
      <xdr:colOff>333375</xdr:colOff>
      <xdr:row>212</xdr:row>
      <xdr:rowOff>114300</xdr:rowOff>
    </xdr:to>
    <xdr:graphicFrame macro="">
      <xdr:nvGraphicFramePr>
        <xdr:cNvPr id="3353974" name="Chart 20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104775</xdr:colOff>
      <xdr:row>243</xdr:row>
      <xdr:rowOff>76200</xdr:rowOff>
    </xdr:from>
    <xdr:to>
      <xdr:col>21</xdr:col>
      <xdr:colOff>266700</xdr:colOff>
      <xdr:row>265</xdr:row>
      <xdr:rowOff>142875</xdr:rowOff>
    </xdr:to>
    <xdr:graphicFrame macro="">
      <xdr:nvGraphicFramePr>
        <xdr:cNvPr id="3353975" name="Chart 20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533400</xdr:colOff>
      <xdr:row>285</xdr:row>
      <xdr:rowOff>9525</xdr:rowOff>
    </xdr:from>
    <xdr:to>
      <xdr:col>13</xdr:col>
      <xdr:colOff>333375</xdr:colOff>
      <xdr:row>306</xdr:row>
      <xdr:rowOff>133350</xdr:rowOff>
    </xdr:to>
    <xdr:graphicFrame macro="">
      <xdr:nvGraphicFramePr>
        <xdr:cNvPr id="3353976" name="Chart 20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285750</xdr:colOff>
      <xdr:row>73</xdr:row>
      <xdr:rowOff>38100</xdr:rowOff>
    </xdr:from>
    <xdr:to>
      <xdr:col>19</xdr:col>
      <xdr:colOff>314325</xdr:colOff>
      <xdr:row>94</xdr:row>
      <xdr:rowOff>152400</xdr:rowOff>
    </xdr:to>
    <xdr:graphicFrame macro="">
      <xdr:nvGraphicFramePr>
        <xdr:cNvPr id="3353977" name="Chart 20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38100</xdr:colOff>
      <xdr:row>18</xdr:row>
      <xdr:rowOff>142875</xdr:rowOff>
    </xdr:from>
    <xdr:to>
      <xdr:col>12</xdr:col>
      <xdr:colOff>838200</xdr:colOff>
      <xdr:row>41</xdr:row>
      <xdr:rowOff>57150</xdr:rowOff>
    </xdr:to>
    <xdr:graphicFrame macro="">
      <xdr:nvGraphicFramePr>
        <xdr:cNvPr id="335397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</xdr:row>
      <xdr:rowOff>9525</xdr:rowOff>
    </xdr:from>
    <xdr:to>
      <xdr:col>19</xdr:col>
      <xdr:colOff>19050</xdr:colOff>
      <xdr:row>17</xdr:row>
      <xdr:rowOff>123825</xdr:rowOff>
    </xdr:to>
    <xdr:graphicFrame macro="">
      <xdr:nvGraphicFramePr>
        <xdr:cNvPr id="63472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314325</xdr:colOff>
      <xdr:row>1</xdr:row>
      <xdr:rowOff>9525</xdr:rowOff>
    </xdr:from>
    <xdr:to>
      <xdr:col>28</xdr:col>
      <xdr:colOff>85725</xdr:colOff>
      <xdr:row>17</xdr:row>
      <xdr:rowOff>123825</xdr:rowOff>
    </xdr:to>
    <xdr:graphicFrame macro="">
      <xdr:nvGraphicFramePr>
        <xdr:cNvPr id="63472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257175</xdr:colOff>
      <xdr:row>18</xdr:row>
      <xdr:rowOff>104775</xdr:rowOff>
    </xdr:from>
    <xdr:to>
      <xdr:col>19</xdr:col>
      <xdr:colOff>19050</xdr:colOff>
      <xdr:row>35</xdr:row>
      <xdr:rowOff>95250</xdr:rowOff>
    </xdr:to>
    <xdr:graphicFrame macro="">
      <xdr:nvGraphicFramePr>
        <xdr:cNvPr id="634723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314325</xdr:colOff>
      <xdr:row>18</xdr:row>
      <xdr:rowOff>114300</xdr:rowOff>
    </xdr:from>
    <xdr:to>
      <xdr:col>28</xdr:col>
      <xdr:colOff>85725</xdr:colOff>
      <xdr:row>35</xdr:row>
      <xdr:rowOff>104775</xdr:rowOff>
    </xdr:to>
    <xdr:graphicFrame macro="">
      <xdr:nvGraphicFramePr>
        <xdr:cNvPr id="634724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257175</xdr:colOff>
      <xdr:row>36</xdr:row>
      <xdr:rowOff>142875</xdr:rowOff>
    </xdr:from>
    <xdr:to>
      <xdr:col>19</xdr:col>
      <xdr:colOff>19050</xdr:colOff>
      <xdr:row>53</xdr:row>
      <xdr:rowOff>133350</xdr:rowOff>
    </xdr:to>
    <xdr:graphicFrame macro="">
      <xdr:nvGraphicFramePr>
        <xdr:cNvPr id="63472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304800</xdr:colOff>
      <xdr:row>36</xdr:row>
      <xdr:rowOff>152400</xdr:rowOff>
    </xdr:from>
    <xdr:to>
      <xdr:col>28</xdr:col>
      <xdr:colOff>76200</xdr:colOff>
      <xdr:row>53</xdr:row>
      <xdr:rowOff>142875</xdr:rowOff>
    </xdr:to>
    <xdr:graphicFrame macro="">
      <xdr:nvGraphicFramePr>
        <xdr:cNvPr id="63472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276225</xdr:colOff>
      <xdr:row>54</xdr:row>
      <xdr:rowOff>152400</xdr:rowOff>
    </xdr:from>
    <xdr:to>
      <xdr:col>19</xdr:col>
      <xdr:colOff>38100</xdr:colOff>
      <xdr:row>71</xdr:row>
      <xdr:rowOff>142875</xdr:rowOff>
    </xdr:to>
    <xdr:graphicFrame macro="">
      <xdr:nvGraphicFramePr>
        <xdr:cNvPr id="63472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342900</xdr:colOff>
      <xdr:row>55</xdr:row>
      <xdr:rowOff>0</xdr:rowOff>
    </xdr:from>
    <xdr:to>
      <xdr:col>28</xdr:col>
      <xdr:colOff>114300</xdr:colOff>
      <xdr:row>71</xdr:row>
      <xdr:rowOff>152400</xdr:rowOff>
    </xdr:to>
    <xdr:graphicFrame macro="">
      <xdr:nvGraphicFramePr>
        <xdr:cNvPr id="634728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266700</xdr:colOff>
      <xdr:row>72</xdr:row>
      <xdr:rowOff>142875</xdr:rowOff>
    </xdr:from>
    <xdr:to>
      <xdr:col>19</xdr:col>
      <xdr:colOff>28575</xdr:colOff>
      <xdr:row>89</xdr:row>
      <xdr:rowOff>133350</xdr:rowOff>
    </xdr:to>
    <xdr:graphicFrame macro="">
      <xdr:nvGraphicFramePr>
        <xdr:cNvPr id="63472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</xdr:row>
      <xdr:rowOff>9525</xdr:rowOff>
    </xdr:from>
    <xdr:to>
      <xdr:col>18</xdr:col>
      <xdr:colOff>295275</xdr:colOff>
      <xdr:row>17</xdr:row>
      <xdr:rowOff>123825</xdr:rowOff>
    </xdr:to>
    <xdr:graphicFrame macro="">
      <xdr:nvGraphicFramePr>
        <xdr:cNvPr id="566688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57150</xdr:colOff>
      <xdr:row>17</xdr:row>
      <xdr:rowOff>114300</xdr:rowOff>
    </xdr:to>
    <xdr:graphicFrame macro="">
      <xdr:nvGraphicFramePr>
        <xdr:cNvPr id="5666886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18</xdr:row>
      <xdr:rowOff>142875</xdr:rowOff>
    </xdr:from>
    <xdr:to>
      <xdr:col>18</xdr:col>
      <xdr:colOff>285750</xdr:colOff>
      <xdr:row>35</xdr:row>
      <xdr:rowOff>133350</xdr:rowOff>
    </xdr:to>
    <xdr:graphicFrame macro="">
      <xdr:nvGraphicFramePr>
        <xdr:cNvPr id="5666887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19</xdr:row>
      <xdr:rowOff>0</xdr:rowOff>
    </xdr:from>
    <xdr:to>
      <xdr:col>27</xdr:col>
      <xdr:colOff>57150</xdr:colOff>
      <xdr:row>35</xdr:row>
      <xdr:rowOff>152400</xdr:rowOff>
    </xdr:to>
    <xdr:graphicFrame macro="">
      <xdr:nvGraphicFramePr>
        <xdr:cNvPr id="5666888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228600</xdr:colOff>
      <xdr:row>37</xdr:row>
      <xdr:rowOff>0</xdr:rowOff>
    </xdr:from>
    <xdr:to>
      <xdr:col>18</xdr:col>
      <xdr:colOff>276225</xdr:colOff>
      <xdr:row>53</xdr:row>
      <xdr:rowOff>152400</xdr:rowOff>
    </xdr:to>
    <xdr:graphicFrame macro="">
      <xdr:nvGraphicFramePr>
        <xdr:cNvPr id="566688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219075</xdr:colOff>
      <xdr:row>55</xdr:row>
      <xdr:rowOff>0</xdr:rowOff>
    </xdr:from>
    <xdr:to>
      <xdr:col>18</xdr:col>
      <xdr:colOff>266700</xdr:colOff>
      <xdr:row>71</xdr:row>
      <xdr:rowOff>152400</xdr:rowOff>
    </xdr:to>
    <xdr:graphicFrame macro="">
      <xdr:nvGraphicFramePr>
        <xdr:cNvPr id="566689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37</xdr:row>
      <xdr:rowOff>0</xdr:rowOff>
    </xdr:from>
    <xdr:to>
      <xdr:col>27</xdr:col>
      <xdr:colOff>57150</xdr:colOff>
      <xdr:row>53</xdr:row>
      <xdr:rowOff>152400</xdr:rowOff>
    </xdr:to>
    <xdr:graphicFrame macro="">
      <xdr:nvGraphicFramePr>
        <xdr:cNvPr id="5666891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55</xdr:row>
      <xdr:rowOff>0</xdr:rowOff>
    </xdr:from>
    <xdr:to>
      <xdr:col>27</xdr:col>
      <xdr:colOff>57150</xdr:colOff>
      <xdr:row>71</xdr:row>
      <xdr:rowOff>152400</xdr:rowOff>
    </xdr:to>
    <xdr:graphicFrame macro="">
      <xdr:nvGraphicFramePr>
        <xdr:cNvPr id="5666892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209550</xdr:colOff>
      <xdr:row>73</xdr:row>
      <xdr:rowOff>38100</xdr:rowOff>
    </xdr:from>
    <xdr:to>
      <xdr:col>18</xdr:col>
      <xdr:colOff>257175</xdr:colOff>
      <xdr:row>90</xdr:row>
      <xdr:rowOff>28575</xdr:rowOff>
    </xdr:to>
    <xdr:graphicFrame macro="">
      <xdr:nvGraphicFramePr>
        <xdr:cNvPr id="5666893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9525</xdr:colOff>
      <xdr:row>73</xdr:row>
      <xdr:rowOff>38100</xdr:rowOff>
    </xdr:from>
    <xdr:to>
      <xdr:col>27</xdr:col>
      <xdr:colOff>66675</xdr:colOff>
      <xdr:row>90</xdr:row>
      <xdr:rowOff>28575</xdr:rowOff>
    </xdr:to>
    <xdr:graphicFrame macro="">
      <xdr:nvGraphicFramePr>
        <xdr:cNvPr id="566689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228600</xdr:colOff>
      <xdr:row>91</xdr:row>
      <xdr:rowOff>0</xdr:rowOff>
    </xdr:from>
    <xdr:to>
      <xdr:col>18</xdr:col>
      <xdr:colOff>276225</xdr:colOff>
      <xdr:row>107</xdr:row>
      <xdr:rowOff>152400</xdr:rowOff>
    </xdr:to>
    <xdr:graphicFrame macro="">
      <xdr:nvGraphicFramePr>
        <xdr:cNvPr id="5666895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91</xdr:row>
      <xdr:rowOff>0</xdr:rowOff>
    </xdr:from>
    <xdr:to>
      <xdr:col>27</xdr:col>
      <xdr:colOff>57150</xdr:colOff>
      <xdr:row>107</xdr:row>
      <xdr:rowOff>152400</xdr:rowOff>
    </xdr:to>
    <xdr:graphicFrame macro="">
      <xdr:nvGraphicFramePr>
        <xdr:cNvPr id="5666896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152400</xdr:colOff>
      <xdr:row>0</xdr:row>
      <xdr:rowOff>161925</xdr:rowOff>
    </xdr:from>
    <xdr:to>
      <xdr:col>21</xdr:col>
      <xdr:colOff>0</xdr:colOff>
      <xdr:row>17</xdr:row>
      <xdr:rowOff>161925</xdr:rowOff>
    </xdr:to>
    <xdr:graphicFrame macro="">
      <xdr:nvGraphicFramePr>
        <xdr:cNvPr id="90292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238125</xdr:colOff>
      <xdr:row>1</xdr:row>
      <xdr:rowOff>19050</xdr:rowOff>
    </xdr:from>
    <xdr:to>
      <xdr:col>31</xdr:col>
      <xdr:colOff>85725</xdr:colOff>
      <xdr:row>18</xdr:row>
      <xdr:rowOff>19050</xdr:rowOff>
    </xdr:to>
    <xdr:graphicFrame macro="">
      <xdr:nvGraphicFramePr>
        <xdr:cNvPr id="90292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152400</xdr:colOff>
      <xdr:row>19</xdr:row>
      <xdr:rowOff>0</xdr:rowOff>
    </xdr:from>
    <xdr:to>
      <xdr:col>21</xdr:col>
      <xdr:colOff>0</xdr:colOff>
      <xdr:row>36</xdr:row>
      <xdr:rowOff>38100</xdr:rowOff>
    </xdr:to>
    <xdr:graphicFrame macro="">
      <xdr:nvGraphicFramePr>
        <xdr:cNvPr id="90293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247650</xdr:colOff>
      <xdr:row>19</xdr:row>
      <xdr:rowOff>19050</xdr:rowOff>
    </xdr:from>
    <xdr:to>
      <xdr:col>31</xdr:col>
      <xdr:colOff>95250</xdr:colOff>
      <xdr:row>36</xdr:row>
      <xdr:rowOff>57150</xdr:rowOff>
    </xdr:to>
    <xdr:graphicFrame macro="">
      <xdr:nvGraphicFramePr>
        <xdr:cNvPr id="90293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142875</xdr:colOff>
      <xdr:row>37</xdr:row>
      <xdr:rowOff>19050</xdr:rowOff>
    </xdr:from>
    <xdr:to>
      <xdr:col>20</xdr:col>
      <xdr:colOff>600075</xdr:colOff>
      <xdr:row>54</xdr:row>
      <xdr:rowOff>57150</xdr:rowOff>
    </xdr:to>
    <xdr:graphicFrame macro="">
      <xdr:nvGraphicFramePr>
        <xdr:cNvPr id="90293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266700</xdr:colOff>
      <xdr:row>37</xdr:row>
      <xdr:rowOff>19050</xdr:rowOff>
    </xdr:from>
    <xdr:to>
      <xdr:col>31</xdr:col>
      <xdr:colOff>114300</xdr:colOff>
      <xdr:row>54</xdr:row>
      <xdr:rowOff>57150</xdr:rowOff>
    </xdr:to>
    <xdr:graphicFrame macro="">
      <xdr:nvGraphicFramePr>
        <xdr:cNvPr id="90293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55</xdr:row>
      <xdr:rowOff>76200</xdr:rowOff>
    </xdr:from>
    <xdr:to>
      <xdr:col>21</xdr:col>
      <xdr:colOff>19050</xdr:colOff>
      <xdr:row>72</xdr:row>
      <xdr:rowOff>114300</xdr:rowOff>
    </xdr:to>
    <xdr:graphicFrame macro="">
      <xdr:nvGraphicFramePr>
        <xdr:cNvPr id="90293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276225</xdr:colOff>
      <xdr:row>55</xdr:row>
      <xdr:rowOff>76200</xdr:rowOff>
    </xdr:from>
    <xdr:to>
      <xdr:col>31</xdr:col>
      <xdr:colOff>123825</xdr:colOff>
      <xdr:row>72</xdr:row>
      <xdr:rowOff>114300</xdr:rowOff>
    </xdr:to>
    <xdr:graphicFrame macro="">
      <xdr:nvGraphicFramePr>
        <xdr:cNvPr id="902935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190500</xdr:colOff>
      <xdr:row>74</xdr:row>
      <xdr:rowOff>28575</xdr:rowOff>
    </xdr:from>
    <xdr:to>
      <xdr:col>21</xdr:col>
      <xdr:colOff>38100</xdr:colOff>
      <xdr:row>91</xdr:row>
      <xdr:rowOff>66675</xdr:rowOff>
    </xdr:to>
    <xdr:graphicFrame macro="">
      <xdr:nvGraphicFramePr>
        <xdr:cNvPr id="902936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0</xdr:row>
      <xdr:rowOff>152400</xdr:rowOff>
    </xdr:from>
    <xdr:to>
      <xdr:col>19</xdr:col>
      <xdr:colOff>314325</xdr:colOff>
      <xdr:row>18</xdr:row>
      <xdr:rowOff>142875</xdr:rowOff>
    </xdr:to>
    <xdr:graphicFrame macro="">
      <xdr:nvGraphicFramePr>
        <xdr:cNvPr id="913401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</xdr:row>
      <xdr:rowOff>0</xdr:rowOff>
    </xdr:from>
    <xdr:to>
      <xdr:col>28</xdr:col>
      <xdr:colOff>133350</xdr:colOff>
      <xdr:row>18</xdr:row>
      <xdr:rowOff>152400</xdr:rowOff>
    </xdr:to>
    <xdr:graphicFrame macro="">
      <xdr:nvGraphicFramePr>
        <xdr:cNvPr id="91340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190500</xdr:colOff>
      <xdr:row>20</xdr:row>
      <xdr:rowOff>0</xdr:rowOff>
    </xdr:from>
    <xdr:to>
      <xdr:col>19</xdr:col>
      <xdr:colOff>323850</xdr:colOff>
      <xdr:row>38</xdr:row>
      <xdr:rowOff>28575</xdr:rowOff>
    </xdr:to>
    <xdr:graphicFrame macro="">
      <xdr:nvGraphicFramePr>
        <xdr:cNvPr id="91340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20</xdr:row>
      <xdr:rowOff>0</xdr:rowOff>
    </xdr:from>
    <xdr:to>
      <xdr:col>28</xdr:col>
      <xdr:colOff>133350</xdr:colOff>
      <xdr:row>38</xdr:row>
      <xdr:rowOff>28575</xdr:rowOff>
    </xdr:to>
    <xdr:graphicFrame macro="">
      <xdr:nvGraphicFramePr>
        <xdr:cNvPr id="913404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200025</xdr:colOff>
      <xdr:row>39</xdr:row>
      <xdr:rowOff>9525</xdr:rowOff>
    </xdr:from>
    <xdr:to>
      <xdr:col>19</xdr:col>
      <xdr:colOff>333375</xdr:colOff>
      <xdr:row>57</xdr:row>
      <xdr:rowOff>38100</xdr:rowOff>
    </xdr:to>
    <xdr:graphicFrame macro="">
      <xdr:nvGraphicFramePr>
        <xdr:cNvPr id="91340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19050</xdr:colOff>
      <xdr:row>39</xdr:row>
      <xdr:rowOff>9525</xdr:rowOff>
    </xdr:from>
    <xdr:to>
      <xdr:col>28</xdr:col>
      <xdr:colOff>152400</xdr:colOff>
      <xdr:row>57</xdr:row>
      <xdr:rowOff>38100</xdr:rowOff>
    </xdr:to>
    <xdr:graphicFrame macro="">
      <xdr:nvGraphicFramePr>
        <xdr:cNvPr id="913406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171450</xdr:colOff>
      <xdr:row>58</xdr:row>
      <xdr:rowOff>28575</xdr:rowOff>
    </xdr:from>
    <xdr:to>
      <xdr:col>19</xdr:col>
      <xdr:colOff>304800</xdr:colOff>
      <xdr:row>76</xdr:row>
      <xdr:rowOff>57150</xdr:rowOff>
    </xdr:to>
    <xdr:graphicFrame macro="">
      <xdr:nvGraphicFramePr>
        <xdr:cNvPr id="913407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28575</xdr:colOff>
      <xdr:row>58</xdr:row>
      <xdr:rowOff>19050</xdr:rowOff>
    </xdr:from>
    <xdr:to>
      <xdr:col>28</xdr:col>
      <xdr:colOff>161925</xdr:colOff>
      <xdr:row>76</xdr:row>
      <xdr:rowOff>47625</xdr:rowOff>
    </xdr:to>
    <xdr:graphicFrame macro="">
      <xdr:nvGraphicFramePr>
        <xdr:cNvPr id="608665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161925</xdr:colOff>
      <xdr:row>77</xdr:row>
      <xdr:rowOff>38100</xdr:rowOff>
    </xdr:from>
    <xdr:to>
      <xdr:col>19</xdr:col>
      <xdr:colOff>295275</xdr:colOff>
      <xdr:row>95</xdr:row>
      <xdr:rowOff>66675</xdr:rowOff>
    </xdr:to>
    <xdr:graphicFrame macro="">
      <xdr:nvGraphicFramePr>
        <xdr:cNvPr id="608665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77</xdr:row>
      <xdr:rowOff>38100</xdr:rowOff>
    </xdr:from>
    <xdr:to>
      <xdr:col>28</xdr:col>
      <xdr:colOff>133350</xdr:colOff>
      <xdr:row>95</xdr:row>
      <xdr:rowOff>66675</xdr:rowOff>
    </xdr:to>
    <xdr:graphicFrame macro="">
      <xdr:nvGraphicFramePr>
        <xdr:cNvPr id="608665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171450</xdr:colOff>
      <xdr:row>96</xdr:row>
      <xdr:rowOff>38100</xdr:rowOff>
    </xdr:from>
    <xdr:to>
      <xdr:col>19</xdr:col>
      <xdr:colOff>304800</xdr:colOff>
      <xdr:row>114</xdr:row>
      <xdr:rowOff>66675</xdr:rowOff>
    </xdr:to>
    <xdr:graphicFrame macro="">
      <xdr:nvGraphicFramePr>
        <xdr:cNvPr id="608665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9525</xdr:colOff>
      <xdr:row>96</xdr:row>
      <xdr:rowOff>28575</xdr:rowOff>
    </xdr:from>
    <xdr:to>
      <xdr:col>28</xdr:col>
      <xdr:colOff>142875</xdr:colOff>
      <xdr:row>114</xdr:row>
      <xdr:rowOff>57150</xdr:rowOff>
    </xdr:to>
    <xdr:graphicFrame macro="">
      <xdr:nvGraphicFramePr>
        <xdr:cNvPr id="608666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D18"/>
  <sheetViews>
    <sheetView tabSelected="1" view="pageBreakPreview" zoomScaleNormal="75" workbookViewId="0">
      <selection activeCell="AD16" sqref="AD16"/>
    </sheetView>
  </sheetViews>
  <sheetFormatPr defaultRowHeight="12.75"/>
  <cols>
    <col min="1" max="1" width="3.42578125" customWidth="1"/>
    <col min="28" max="28" width="9.5703125" hidden="1" customWidth="1"/>
    <col min="29" max="29" width="15.140625" hidden="1" customWidth="1"/>
    <col min="30" max="30" width="14.42578125" style="145" customWidth="1"/>
    <col min="32" max="32" width="12" bestFit="1" customWidth="1"/>
    <col min="33" max="35" width="11.28515625" bestFit="1" customWidth="1"/>
  </cols>
  <sheetData>
    <row r="1" spans="2:30" ht="18">
      <c r="B1" s="149" t="s">
        <v>45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C1" s="113"/>
    </row>
    <row r="2" spans="2:30" ht="18">
      <c r="B2" s="149" t="s">
        <v>53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C2" s="113"/>
    </row>
    <row r="3" spans="2:30">
      <c r="AB3" s="118" t="s">
        <v>52</v>
      </c>
    </row>
    <row r="4" spans="2:30" ht="31.5">
      <c r="B4" s="128" t="s">
        <v>43</v>
      </c>
      <c r="C4" s="128">
        <v>2003</v>
      </c>
      <c r="D4" s="128">
        <v>2004</v>
      </c>
      <c r="E4" s="128">
        <v>2005</v>
      </c>
      <c r="F4" s="128">
        <v>2006</v>
      </c>
      <c r="G4" s="129">
        <v>2007</v>
      </c>
      <c r="H4" s="129">
        <v>2008</v>
      </c>
      <c r="I4" s="128">
        <v>2009</v>
      </c>
      <c r="J4" s="128">
        <v>2010</v>
      </c>
      <c r="K4" s="128">
        <v>2011</v>
      </c>
      <c r="L4" s="128">
        <v>2012</v>
      </c>
      <c r="M4" s="128">
        <v>2013</v>
      </c>
      <c r="N4" s="128">
        <v>2014</v>
      </c>
      <c r="O4" s="128">
        <v>2015</v>
      </c>
      <c r="P4" s="128">
        <v>2016</v>
      </c>
      <c r="Q4" s="128">
        <v>2017</v>
      </c>
      <c r="R4" s="128">
        <v>2018</v>
      </c>
      <c r="S4" s="128">
        <v>2019</v>
      </c>
      <c r="T4" s="128">
        <v>2020</v>
      </c>
      <c r="U4" s="128">
        <v>2021</v>
      </c>
      <c r="V4" s="128">
        <v>2022</v>
      </c>
      <c r="W4" s="128">
        <v>2023</v>
      </c>
      <c r="X4" s="128">
        <v>2024</v>
      </c>
      <c r="Y4" s="128">
        <v>2025</v>
      </c>
      <c r="Z4" s="128">
        <v>2026</v>
      </c>
      <c r="AA4" s="128">
        <v>2028</v>
      </c>
      <c r="AB4" s="128" t="s">
        <v>44</v>
      </c>
      <c r="AC4" s="120" t="s">
        <v>54</v>
      </c>
      <c r="AD4" s="144" t="s">
        <v>55</v>
      </c>
    </row>
    <row r="5" spans="2:30">
      <c r="B5" s="75" t="s">
        <v>0</v>
      </c>
      <c r="C5" s="86"/>
      <c r="D5" s="86"/>
      <c r="E5" s="86"/>
      <c r="F5" s="77"/>
      <c r="G5" s="90"/>
      <c r="H5" s="8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93">
        <f>SUM(C5:AA5)/11</f>
        <v>0</v>
      </c>
      <c r="AC5" s="93">
        <f t="shared" ref="AC5:AC16" si="0">SUM(I5:AA5)/5</f>
        <v>0</v>
      </c>
      <c r="AD5" s="146" t="e">
        <f xml:space="preserve"> SUM(C5:AA5)/(25-COUNTIF(C5:AA5,""))</f>
        <v>#DIV/0!</v>
      </c>
    </row>
    <row r="6" spans="2:30">
      <c r="B6" s="75" t="s">
        <v>1</v>
      </c>
      <c r="C6" s="86"/>
      <c r="D6" s="86"/>
      <c r="E6" s="86"/>
      <c r="F6" s="77"/>
      <c r="G6" s="90"/>
      <c r="H6" s="8"/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93">
        <f>SUM(C6:AA6)/11</f>
        <v>0</v>
      </c>
      <c r="AC6" s="93">
        <f t="shared" si="0"/>
        <v>0</v>
      </c>
      <c r="AD6" s="146" t="e">
        <f xml:space="preserve"> SUM(C6:AA6)/(25-COUNTIF(C6:AA6,""))</f>
        <v>#DIV/0!</v>
      </c>
    </row>
    <row r="7" spans="2:30">
      <c r="B7" s="75" t="s">
        <v>2</v>
      </c>
      <c r="C7" s="86"/>
      <c r="D7" s="86"/>
      <c r="E7" s="86"/>
      <c r="F7" s="77"/>
      <c r="G7" s="90"/>
      <c r="H7" s="8"/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93">
        <f>SUM(C7:AA7)/11</f>
        <v>0</v>
      </c>
      <c r="AC7" s="93">
        <f t="shared" si="0"/>
        <v>0</v>
      </c>
      <c r="AD7" s="146" t="e">
        <f xml:space="preserve"> SUM(C7:AA7)/(25-COUNTIF(C7:AA7,""))</f>
        <v>#DIV/0!</v>
      </c>
    </row>
    <row r="8" spans="2:30">
      <c r="B8" s="75" t="s">
        <v>3</v>
      </c>
      <c r="C8" s="86"/>
      <c r="D8" s="86"/>
      <c r="E8" s="86"/>
      <c r="F8" s="77"/>
      <c r="G8" s="90"/>
      <c r="H8" s="8"/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93">
        <f>SUM(C8:AA8)/11</f>
        <v>0</v>
      </c>
      <c r="AC8" s="93">
        <f t="shared" si="0"/>
        <v>0</v>
      </c>
      <c r="AD8" s="146" t="e">
        <f xml:space="preserve"> SUM(C8:AA8)/(25-COUNTIF(C8:AA8,""))</f>
        <v>#DIV/0!</v>
      </c>
    </row>
    <row r="9" spans="2:30">
      <c r="B9" s="75" t="s">
        <v>4</v>
      </c>
      <c r="C9" s="86"/>
      <c r="D9" s="86"/>
      <c r="E9" s="86"/>
      <c r="F9" s="77"/>
      <c r="G9" s="90"/>
      <c r="H9" s="8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93">
        <f>SUM(C9:AA9)/11</f>
        <v>0</v>
      </c>
      <c r="AC9" s="93">
        <f t="shared" si="0"/>
        <v>0</v>
      </c>
      <c r="AD9" s="146" t="e">
        <f xml:space="preserve"> SUM(C9:AA9)/(25-COUNTIF(C9:AA9,""))</f>
        <v>#DIV/0!</v>
      </c>
    </row>
    <row r="10" spans="2:30">
      <c r="B10" s="75" t="s">
        <v>5</v>
      </c>
      <c r="C10" s="86"/>
      <c r="D10" s="86"/>
      <c r="E10" s="86"/>
      <c r="F10" s="77"/>
      <c r="G10" s="90"/>
      <c r="H10" s="8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93">
        <f t="shared" ref="AB10:AB16" si="1">SUM(C10:AA10)/10</f>
        <v>0</v>
      </c>
      <c r="AC10" s="93">
        <f t="shared" si="0"/>
        <v>0</v>
      </c>
      <c r="AD10" s="146" t="e">
        <f xml:space="preserve"> SUM(C10:AA10)/(25-COUNTIF(C10:AA10,""))</f>
        <v>#DIV/0!</v>
      </c>
    </row>
    <row r="11" spans="2:30">
      <c r="B11" s="75" t="s">
        <v>6</v>
      </c>
      <c r="C11" s="86"/>
      <c r="D11" s="86"/>
      <c r="E11" s="86"/>
      <c r="F11" s="77"/>
      <c r="G11" s="90"/>
      <c r="H11" s="8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93">
        <f t="shared" si="1"/>
        <v>0</v>
      </c>
      <c r="AC11" s="93">
        <f t="shared" si="0"/>
        <v>0</v>
      </c>
      <c r="AD11" s="146" t="e">
        <f xml:space="preserve"> SUM(C11:AA11)/(25-COUNTIF(C11:AA11,""))</f>
        <v>#DIV/0!</v>
      </c>
    </row>
    <row r="12" spans="2:30">
      <c r="B12" s="75" t="s">
        <v>7</v>
      </c>
      <c r="C12" s="86"/>
      <c r="D12" s="86"/>
      <c r="E12" s="86"/>
      <c r="F12" s="77"/>
      <c r="G12" s="90"/>
      <c r="H12" s="8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93">
        <f t="shared" si="1"/>
        <v>0</v>
      </c>
      <c r="AC12" s="93">
        <f t="shared" si="0"/>
        <v>0</v>
      </c>
      <c r="AD12" s="146" t="e">
        <f xml:space="preserve"> SUM(C12:AA12)/(25-COUNTIF(C12:AA12,""))</f>
        <v>#DIV/0!</v>
      </c>
    </row>
    <row r="13" spans="2:30">
      <c r="B13" s="75" t="s">
        <v>8</v>
      </c>
      <c r="C13" s="86"/>
      <c r="D13" s="86"/>
      <c r="E13" s="86"/>
      <c r="F13" s="77"/>
      <c r="G13" s="90"/>
      <c r="H13" s="8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93">
        <f t="shared" si="1"/>
        <v>0</v>
      </c>
      <c r="AC13" s="93">
        <f t="shared" si="0"/>
        <v>0</v>
      </c>
      <c r="AD13" s="146" t="e">
        <f xml:space="preserve"> SUM(C13:AA13)/(25-COUNTIF(C13:AA13,""))</f>
        <v>#DIV/0!</v>
      </c>
    </row>
    <row r="14" spans="2:30">
      <c r="B14" s="75" t="s">
        <v>9</v>
      </c>
      <c r="C14" s="86"/>
      <c r="D14" s="86"/>
      <c r="E14" s="86"/>
      <c r="F14" s="77"/>
      <c r="G14" s="90"/>
      <c r="H14" s="8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93">
        <f t="shared" si="1"/>
        <v>0</v>
      </c>
      <c r="AC14" s="93">
        <f t="shared" si="0"/>
        <v>0</v>
      </c>
      <c r="AD14" s="146" t="e">
        <f xml:space="preserve"> SUM(C14:AA14)/(25-COUNTIF(C14:AA14,""))</f>
        <v>#DIV/0!</v>
      </c>
    </row>
    <row r="15" spans="2:30">
      <c r="B15" s="75" t="s">
        <v>10</v>
      </c>
      <c r="C15" s="86"/>
      <c r="D15" s="86"/>
      <c r="E15" s="86"/>
      <c r="F15" s="77"/>
      <c r="G15" s="90"/>
      <c r="H15" s="8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93">
        <f t="shared" si="1"/>
        <v>0</v>
      </c>
      <c r="AC15" s="93">
        <f t="shared" si="0"/>
        <v>0</v>
      </c>
      <c r="AD15" s="146" t="e">
        <f xml:space="preserve"> SUM(C15:AA15)/(25-COUNTIF(C15:AA15,""))</f>
        <v>#DIV/0!</v>
      </c>
    </row>
    <row r="16" spans="2:30">
      <c r="B16" s="75" t="s">
        <v>11</v>
      </c>
      <c r="C16" s="86"/>
      <c r="D16" s="86"/>
      <c r="E16" s="86"/>
      <c r="F16" s="77"/>
      <c r="G16" s="90"/>
      <c r="H16" s="8"/>
      <c r="I16" s="109"/>
      <c r="J16" s="109"/>
      <c r="K16" s="109"/>
      <c r="L16" s="109"/>
      <c r="M16" s="109"/>
      <c r="N16" s="109"/>
      <c r="O16" s="109"/>
      <c r="P16" s="109"/>
      <c r="Q16" s="109"/>
      <c r="R16" s="109"/>
      <c r="S16" s="109"/>
      <c r="T16" s="109"/>
      <c r="U16" s="109"/>
      <c r="V16" s="109"/>
      <c r="W16" s="109"/>
      <c r="X16" s="109"/>
      <c r="Y16" s="109"/>
      <c r="Z16" s="75"/>
      <c r="AA16" s="75"/>
      <c r="AB16" s="93">
        <f t="shared" si="1"/>
        <v>0</v>
      </c>
      <c r="AC16" s="93">
        <f t="shared" si="0"/>
        <v>0</v>
      </c>
      <c r="AD16" s="146" t="e">
        <f xml:space="preserve"> SUM(C16:AA16)/(25-COUNTIF(C16:AA16,""))</f>
        <v>#DIV/0!</v>
      </c>
    </row>
    <row r="17" spans="2:30">
      <c r="B17" s="76" t="s">
        <v>12</v>
      </c>
      <c r="C17" s="92">
        <f t="shared" ref="C17:AD17" si="2">SUM(C5:C16)</f>
        <v>0</v>
      </c>
      <c r="D17" s="92">
        <f t="shared" si="2"/>
        <v>0</v>
      </c>
      <c r="E17" s="92">
        <f t="shared" si="2"/>
        <v>0</v>
      </c>
      <c r="F17" s="76">
        <f t="shared" si="2"/>
        <v>0</v>
      </c>
      <c r="G17" s="91">
        <f t="shared" si="2"/>
        <v>0</v>
      </c>
      <c r="H17" s="76">
        <f t="shared" si="2"/>
        <v>0</v>
      </c>
      <c r="I17" s="76">
        <f t="shared" si="2"/>
        <v>0</v>
      </c>
      <c r="J17" s="92">
        <f t="shared" si="2"/>
        <v>0</v>
      </c>
      <c r="K17" s="92">
        <f t="shared" si="2"/>
        <v>0</v>
      </c>
      <c r="L17" s="76">
        <f t="shared" si="2"/>
        <v>0</v>
      </c>
      <c r="M17" s="91">
        <f t="shared" si="2"/>
        <v>0</v>
      </c>
      <c r="N17" s="76">
        <f t="shared" si="2"/>
        <v>0</v>
      </c>
      <c r="O17" s="76">
        <f t="shared" si="2"/>
        <v>0</v>
      </c>
      <c r="P17" s="92">
        <f t="shared" si="2"/>
        <v>0</v>
      </c>
      <c r="Q17" s="92">
        <f t="shared" si="2"/>
        <v>0</v>
      </c>
      <c r="R17" s="76">
        <f t="shared" si="2"/>
        <v>0</v>
      </c>
      <c r="S17" s="91">
        <f t="shared" si="2"/>
        <v>0</v>
      </c>
      <c r="T17" s="76">
        <f t="shared" si="2"/>
        <v>0</v>
      </c>
      <c r="U17" s="76">
        <f t="shared" si="2"/>
        <v>0</v>
      </c>
      <c r="V17" s="92">
        <f t="shared" si="2"/>
        <v>0</v>
      </c>
      <c r="W17" s="92">
        <f t="shared" si="2"/>
        <v>0</v>
      </c>
      <c r="X17" s="76">
        <f t="shared" si="2"/>
        <v>0</v>
      </c>
      <c r="Y17" s="91">
        <f t="shared" si="2"/>
        <v>0</v>
      </c>
      <c r="Z17" s="76">
        <f t="shared" si="2"/>
        <v>0</v>
      </c>
      <c r="AA17" s="76">
        <f t="shared" si="2"/>
        <v>0</v>
      </c>
      <c r="AB17" s="76">
        <f t="shared" si="2"/>
        <v>0</v>
      </c>
      <c r="AC17" s="112">
        <f t="shared" si="2"/>
        <v>0</v>
      </c>
      <c r="AD17" s="112" t="e">
        <f t="shared" si="2"/>
        <v>#DIV/0!</v>
      </c>
    </row>
    <row r="18" spans="2:30">
      <c r="B18" s="77" t="s">
        <v>16</v>
      </c>
      <c r="C18" s="80"/>
      <c r="D18" s="79" t="e">
        <f t="shared" ref="D18:AA18" si="3">+(D17-C17)/C17</f>
        <v>#DIV/0!</v>
      </c>
      <c r="E18" s="79" t="e">
        <f t="shared" si="3"/>
        <v>#DIV/0!</v>
      </c>
      <c r="F18" s="79" t="e">
        <f t="shared" si="3"/>
        <v>#DIV/0!</v>
      </c>
      <c r="G18" s="78" t="e">
        <f t="shared" si="3"/>
        <v>#DIV/0!</v>
      </c>
      <c r="H18" s="78" t="e">
        <f t="shared" si="3"/>
        <v>#DIV/0!</v>
      </c>
      <c r="I18" s="78" t="e">
        <f t="shared" si="3"/>
        <v>#DIV/0!</v>
      </c>
      <c r="J18" s="79" t="e">
        <f t="shared" si="3"/>
        <v>#DIV/0!</v>
      </c>
      <c r="K18" s="79" t="e">
        <f t="shared" si="3"/>
        <v>#DIV/0!</v>
      </c>
      <c r="L18" s="79" t="e">
        <f t="shared" si="3"/>
        <v>#DIV/0!</v>
      </c>
      <c r="M18" s="78" t="e">
        <f t="shared" si="3"/>
        <v>#DIV/0!</v>
      </c>
      <c r="N18" s="78" t="e">
        <f t="shared" si="3"/>
        <v>#DIV/0!</v>
      </c>
      <c r="O18" s="78" t="e">
        <f t="shared" si="3"/>
        <v>#DIV/0!</v>
      </c>
      <c r="P18" s="79" t="e">
        <f t="shared" si="3"/>
        <v>#DIV/0!</v>
      </c>
      <c r="Q18" s="79" t="e">
        <f t="shared" si="3"/>
        <v>#DIV/0!</v>
      </c>
      <c r="R18" s="79" t="e">
        <f t="shared" si="3"/>
        <v>#DIV/0!</v>
      </c>
      <c r="S18" s="78" t="e">
        <f t="shared" si="3"/>
        <v>#DIV/0!</v>
      </c>
      <c r="T18" s="78" t="e">
        <f t="shared" si="3"/>
        <v>#DIV/0!</v>
      </c>
      <c r="U18" s="78" t="e">
        <f t="shared" si="3"/>
        <v>#DIV/0!</v>
      </c>
      <c r="V18" s="79" t="e">
        <f t="shared" si="3"/>
        <v>#DIV/0!</v>
      </c>
      <c r="W18" s="79" t="e">
        <f t="shared" si="3"/>
        <v>#DIV/0!</v>
      </c>
      <c r="X18" s="79" t="e">
        <f t="shared" si="3"/>
        <v>#DIV/0!</v>
      </c>
      <c r="Y18" s="78" t="e">
        <f t="shared" si="3"/>
        <v>#DIV/0!</v>
      </c>
      <c r="Z18" s="78" t="e">
        <f t="shared" si="3"/>
        <v>#DIV/0!</v>
      </c>
      <c r="AA18" s="78" t="e">
        <f t="shared" si="3"/>
        <v>#DIV/0!</v>
      </c>
      <c r="AB18" s="20"/>
      <c r="AC18" s="20"/>
      <c r="AD18" s="146"/>
    </row>
  </sheetData>
  <mergeCells count="2">
    <mergeCell ref="B1:AB1"/>
    <mergeCell ref="B2:AB2"/>
  </mergeCells>
  <phoneticPr fontId="3" type="noConversion"/>
  <printOptions horizontalCentered="1"/>
  <pageMargins left="0.75" right="0.75" top="1" bottom="1" header="0.5" footer="0.5"/>
  <pageSetup scale="75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2:K16"/>
  <sheetViews>
    <sheetView zoomScaleNormal="100" zoomScaleSheetLayoutView="100" workbookViewId="0">
      <selection activeCell="B3" sqref="B3:J14"/>
    </sheetView>
  </sheetViews>
  <sheetFormatPr defaultRowHeight="12.75"/>
  <cols>
    <col min="1" max="1" width="12.42578125" bestFit="1" customWidth="1"/>
    <col min="2" max="8" width="12.42578125" customWidth="1"/>
    <col min="9" max="9" width="12.7109375" bestFit="1" customWidth="1"/>
    <col min="10" max="10" width="12.42578125" customWidth="1"/>
    <col min="11" max="11" width="13.85546875" bestFit="1" customWidth="1"/>
  </cols>
  <sheetData>
    <row r="2" spans="1:11" ht="15.75">
      <c r="A2" s="106" t="s">
        <v>43</v>
      </c>
      <c r="B2" s="82">
        <v>2003</v>
      </c>
      <c r="C2" s="82">
        <v>2004</v>
      </c>
      <c r="D2" s="82">
        <v>2005</v>
      </c>
      <c r="E2" s="82">
        <v>2006</v>
      </c>
      <c r="F2" s="83">
        <v>2007</v>
      </c>
      <c r="G2" s="82">
        <v>2008</v>
      </c>
      <c r="H2" s="106">
        <v>2009</v>
      </c>
      <c r="I2" s="106">
        <v>2010</v>
      </c>
      <c r="J2" s="106">
        <v>2011</v>
      </c>
      <c r="K2" s="106" t="s">
        <v>44</v>
      </c>
    </row>
    <row r="3" spans="1:11">
      <c r="A3" s="8" t="s">
        <v>0</v>
      </c>
      <c r="B3" s="86"/>
      <c r="C3" s="86"/>
      <c r="D3" s="86"/>
      <c r="E3" s="85"/>
      <c r="F3" s="107"/>
      <c r="G3" s="81"/>
      <c r="H3" s="100"/>
      <c r="I3" s="100"/>
      <c r="J3" s="100"/>
      <c r="K3" s="84">
        <f>SUM(B3:J3)/9</f>
        <v>0</v>
      </c>
    </row>
    <row r="4" spans="1:11">
      <c r="A4" s="8" t="s">
        <v>1</v>
      </c>
      <c r="B4" s="86"/>
      <c r="C4" s="86"/>
      <c r="D4" s="86"/>
      <c r="E4" s="86"/>
      <c r="F4" s="107"/>
      <c r="G4" s="81"/>
      <c r="H4" s="100"/>
      <c r="I4" s="100"/>
      <c r="J4" s="110"/>
      <c r="K4" s="84">
        <f>SUM(B4:J4)/9</f>
        <v>0</v>
      </c>
    </row>
    <row r="5" spans="1:11">
      <c r="A5" s="8" t="s">
        <v>2</v>
      </c>
      <c r="B5" s="86"/>
      <c r="C5" s="86"/>
      <c r="D5" s="86"/>
      <c r="E5" s="86"/>
      <c r="F5" s="107"/>
      <c r="G5" s="81"/>
      <c r="H5" s="100"/>
      <c r="I5" s="100"/>
      <c r="J5" s="110"/>
      <c r="K5" s="84">
        <f>SUM(B5:J5)/9</f>
        <v>0</v>
      </c>
    </row>
    <row r="6" spans="1:11">
      <c r="A6" s="8" t="s">
        <v>3</v>
      </c>
      <c r="B6" s="86"/>
      <c r="C6" s="86"/>
      <c r="D6" s="86"/>
      <c r="E6" s="86"/>
      <c r="F6" s="107"/>
      <c r="G6" s="81"/>
      <c r="H6" s="100"/>
      <c r="I6" s="100"/>
      <c r="J6" s="100"/>
      <c r="K6" s="84">
        <f>SUM(B6:J6)/9</f>
        <v>0</v>
      </c>
    </row>
    <row r="7" spans="1:11">
      <c r="A7" s="8" t="s">
        <v>4</v>
      </c>
      <c r="B7" s="86"/>
      <c r="C7" s="86"/>
      <c r="D7" s="86"/>
      <c r="E7" s="86"/>
      <c r="F7" s="107"/>
      <c r="G7" s="81"/>
      <c r="H7" s="100"/>
      <c r="I7" s="100"/>
      <c r="J7" s="111"/>
      <c r="K7" s="84">
        <f>SUM(B7:J7)/9</f>
        <v>0</v>
      </c>
    </row>
    <row r="8" spans="1:11">
      <c r="A8" s="8" t="s">
        <v>5</v>
      </c>
      <c r="B8" s="86"/>
      <c r="C8" s="86"/>
      <c r="D8" s="86"/>
      <c r="E8" s="86"/>
      <c r="F8" s="107"/>
      <c r="G8" s="11"/>
      <c r="H8" s="100"/>
      <c r="I8" s="100"/>
      <c r="J8" s="100"/>
      <c r="K8" s="84">
        <f t="shared" ref="K8:K14" si="0">SUM(B8:J8)/8</f>
        <v>0</v>
      </c>
    </row>
    <row r="9" spans="1:11">
      <c r="A9" s="8" t="s">
        <v>6</v>
      </c>
      <c r="B9" s="86"/>
      <c r="C9" s="86"/>
      <c r="D9" s="86"/>
      <c r="E9" s="86"/>
      <c r="F9" s="107"/>
      <c r="G9" s="11"/>
      <c r="H9" s="100"/>
      <c r="I9" s="100"/>
      <c r="J9" s="100"/>
      <c r="K9" s="84">
        <f t="shared" si="0"/>
        <v>0</v>
      </c>
    </row>
    <row r="10" spans="1:11">
      <c r="A10" s="8" t="s">
        <v>7</v>
      </c>
      <c r="B10" s="86"/>
      <c r="C10" s="86"/>
      <c r="D10" s="86"/>
      <c r="E10" s="86"/>
      <c r="F10" s="107"/>
      <c r="G10" s="11"/>
      <c r="H10" s="100"/>
      <c r="I10" s="100"/>
      <c r="J10" s="100"/>
      <c r="K10" s="84">
        <f t="shared" si="0"/>
        <v>0</v>
      </c>
    </row>
    <row r="11" spans="1:11">
      <c r="A11" s="8" t="s">
        <v>8</v>
      </c>
      <c r="B11" s="86"/>
      <c r="C11" s="86"/>
      <c r="D11" s="86"/>
      <c r="E11" s="86"/>
      <c r="F11" s="107"/>
      <c r="G11" s="11"/>
      <c r="H11" s="100"/>
      <c r="I11" s="100"/>
      <c r="J11" s="100"/>
      <c r="K11" s="84">
        <f t="shared" si="0"/>
        <v>0</v>
      </c>
    </row>
    <row r="12" spans="1:11">
      <c r="A12" s="8" t="s">
        <v>9</v>
      </c>
      <c r="B12" s="86"/>
      <c r="C12" s="86"/>
      <c r="D12" s="86"/>
      <c r="E12" s="86"/>
      <c r="F12" s="107"/>
      <c r="G12" s="11"/>
      <c r="H12" s="100"/>
      <c r="I12" s="100"/>
      <c r="J12" s="100"/>
      <c r="K12" s="84">
        <f t="shared" si="0"/>
        <v>0</v>
      </c>
    </row>
    <row r="13" spans="1:11">
      <c r="A13" s="8" t="s">
        <v>10</v>
      </c>
      <c r="B13" s="86"/>
      <c r="C13" s="86"/>
      <c r="D13" s="86"/>
      <c r="E13" s="86"/>
      <c r="F13" s="107"/>
      <c r="G13" s="11"/>
      <c r="H13" s="100"/>
      <c r="I13" s="100"/>
      <c r="J13" s="100"/>
      <c r="K13" s="84">
        <f t="shared" si="0"/>
        <v>0</v>
      </c>
    </row>
    <row r="14" spans="1:11">
      <c r="A14" s="8" t="s">
        <v>11</v>
      </c>
      <c r="B14" s="86"/>
      <c r="C14" s="86"/>
      <c r="D14" s="86"/>
      <c r="E14" s="86"/>
      <c r="F14" s="107"/>
      <c r="G14" s="11"/>
      <c r="H14" s="110"/>
      <c r="I14" s="100"/>
      <c r="J14" s="100"/>
      <c r="K14" s="84">
        <f t="shared" si="0"/>
        <v>0</v>
      </c>
    </row>
    <row r="15" spans="1:11">
      <c r="A15" s="8" t="s">
        <v>12</v>
      </c>
      <c r="B15" s="92">
        <f t="shared" ref="B15:J15" si="1">SUM(B3:B14)</f>
        <v>0</v>
      </c>
      <c r="C15" s="92">
        <f t="shared" si="1"/>
        <v>0</v>
      </c>
      <c r="D15" s="92">
        <f t="shared" si="1"/>
        <v>0</v>
      </c>
      <c r="E15" s="92">
        <f t="shared" si="1"/>
        <v>0</v>
      </c>
      <c r="F15" s="116">
        <f t="shared" si="1"/>
        <v>0</v>
      </c>
      <c r="G15" s="92">
        <f t="shared" si="1"/>
        <v>0</v>
      </c>
      <c r="H15" s="92">
        <f t="shared" si="1"/>
        <v>0</v>
      </c>
      <c r="I15" s="92">
        <f t="shared" si="1"/>
        <v>0</v>
      </c>
      <c r="J15" s="92">
        <f t="shared" si="1"/>
        <v>0</v>
      </c>
      <c r="K15" s="117">
        <f>SUM(B15:I15)/8</f>
        <v>0</v>
      </c>
    </row>
    <row r="16" spans="1:11">
      <c r="A16" s="8" t="s">
        <v>14</v>
      </c>
      <c r="B16" s="89"/>
      <c r="C16" s="88" t="e">
        <f t="shared" ref="C16:J16" si="2">+(C15-B15)/B15</f>
        <v>#DIV/0!</v>
      </c>
      <c r="D16" s="88" t="e">
        <f t="shared" si="2"/>
        <v>#DIV/0!</v>
      </c>
      <c r="E16" s="88" t="e">
        <f t="shared" si="2"/>
        <v>#DIV/0!</v>
      </c>
      <c r="F16" s="87" t="e">
        <f t="shared" si="2"/>
        <v>#DIV/0!</v>
      </c>
      <c r="G16" s="87" t="e">
        <f t="shared" si="2"/>
        <v>#DIV/0!</v>
      </c>
      <c r="H16" s="87" t="e">
        <f t="shared" si="2"/>
        <v>#DIV/0!</v>
      </c>
      <c r="I16" s="87" t="e">
        <f t="shared" si="2"/>
        <v>#DIV/0!</v>
      </c>
      <c r="J16" s="87" t="e">
        <f t="shared" si="2"/>
        <v>#DIV/0!</v>
      </c>
      <c r="K16" s="20"/>
    </row>
  </sheetData>
  <printOptions horizontalCentered="1"/>
  <pageMargins left="0.75" right="0.75" top="1" bottom="1" header="0.5" footer="0.5"/>
  <pageSetup paperSize="269" scale="80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3" sqref="D13"/>
    </sheetView>
  </sheetViews>
  <sheetFormatPr defaultRowHeight="12.75"/>
  <cols>
    <col min="1" max="1" width="13.5703125" customWidth="1"/>
    <col min="2" max="2" width="16" bestFit="1" customWidth="1"/>
    <col min="3" max="3" width="13.85546875" bestFit="1" customWidth="1"/>
  </cols>
  <sheetData/>
  <printOptions horizontalCentered="1"/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4" sqref="B14"/>
    </sheetView>
  </sheetViews>
  <sheetFormatPr defaultRowHeight="12.75"/>
  <cols>
    <col min="2" max="2" width="12.7109375" bestFit="1" customWidth="1"/>
    <col min="3" max="4" width="13.85546875" bestFit="1" customWidth="1"/>
    <col min="5" max="5" width="20.28515625" customWidth="1"/>
  </cols>
  <sheetData/>
  <printOptions horizontalCentered="1"/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M320"/>
  <sheetViews>
    <sheetView view="pageBreakPreview" zoomScaleNormal="75" workbookViewId="0">
      <selection activeCell="N4" sqref="N4"/>
    </sheetView>
  </sheetViews>
  <sheetFormatPr defaultRowHeight="12.75"/>
  <cols>
    <col min="1" max="1" width="12.42578125" bestFit="1" customWidth="1"/>
    <col min="2" max="23" width="12.42578125" customWidth="1"/>
    <col min="24" max="24" width="12.7109375" bestFit="1" customWidth="1"/>
    <col min="25" max="27" width="12.42578125" customWidth="1"/>
    <col min="28" max="28" width="13.85546875" hidden="1" customWidth="1"/>
    <col min="29" max="29" width="14.7109375" hidden="1" customWidth="1"/>
    <col min="30" max="30" width="13.5703125" customWidth="1"/>
    <col min="31" max="31" width="13.85546875" style="94" customWidth="1"/>
    <col min="32" max="32" width="2.140625" customWidth="1"/>
    <col min="33" max="34" width="14.28515625" style="94" customWidth="1"/>
    <col min="35" max="35" width="18.7109375" style="94" customWidth="1"/>
    <col min="36" max="36" width="13.85546875" style="94" customWidth="1"/>
    <col min="37" max="37" width="10.85546875" customWidth="1"/>
    <col min="38" max="38" width="18.5703125" customWidth="1"/>
    <col min="39" max="39" width="11.7109375" customWidth="1"/>
  </cols>
  <sheetData>
    <row r="1" spans="1:39" ht="18">
      <c r="A1" s="149" t="s">
        <v>50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  <c r="Q1" s="149"/>
      <c r="R1" s="149"/>
      <c r="S1" s="149"/>
      <c r="T1" s="149"/>
      <c r="U1" s="149"/>
      <c r="V1" s="149"/>
      <c r="W1" s="149"/>
      <c r="X1" s="149"/>
      <c r="Y1" s="149"/>
      <c r="Z1" s="149"/>
      <c r="AA1" s="149"/>
      <c r="AB1" s="149"/>
      <c r="AE1" s="130"/>
      <c r="AF1" s="131"/>
      <c r="AG1" s="130"/>
      <c r="AH1" s="130"/>
      <c r="AI1" s="130"/>
      <c r="AJ1" s="130"/>
      <c r="AK1" s="131"/>
    </row>
    <row r="2" spans="1:39" ht="18">
      <c r="A2" s="149" t="s">
        <v>53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49"/>
      <c r="P2" s="149"/>
      <c r="Q2" s="149"/>
      <c r="R2" s="149"/>
      <c r="S2" s="149"/>
      <c r="T2" s="149"/>
      <c r="U2" s="149"/>
      <c r="V2" s="149"/>
      <c r="W2" s="149"/>
      <c r="X2" s="149"/>
      <c r="Y2" s="149"/>
      <c r="Z2" s="149"/>
      <c r="AA2" s="149"/>
      <c r="AB2" s="149"/>
      <c r="AE2" s="133">
        <f>Y7*0.15+Y7</f>
        <v>0</v>
      </c>
      <c r="AF2" s="134"/>
      <c r="AG2" s="133"/>
      <c r="AH2" s="133"/>
      <c r="AI2" s="133"/>
      <c r="AJ2" s="133"/>
      <c r="AK2" s="131"/>
    </row>
    <row r="3" spans="1:39">
      <c r="AB3" s="118" t="s">
        <v>52</v>
      </c>
      <c r="AE3" s="133">
        <f>Y8*0.15+Y8</f>
        <v>0</v>
      </c>
      <c r="AF3" s="134"/>
      <c r="AG3" s="133"/>
      <c r="AH3" s="133"/>
      <c r="AI3" s="133"/>
      <c r="AJ3" s="133"/>
      <c r="AK3" s="131"/>
    </row>
    <row r="4" spans="1:39" ht="47.25">
      <c r="A4" s="106" t="s">
        <v>43</v>
      </c>
      <c r="B4" s="106">
        <v>2003</v>
      </c>
      <c r="C4" s="106">
        <v>2004</v>
      </c>
      <c r="D4" s="106">
        <v>2005</v>
      </c>
      <c r="E4" s="106">
        <v>2006</v>
      </c>
      <c r="F4" s="121">
        <v>2007</v>
      </c>
      <c r="G4" s="121">
        <v>2008</v>
      </c>
      <c r="H4" s="121">
        <v>2009</v>
      </c>
      <c r="I4" s="121">
        <v>2010</v>
      </c>
      <c r="J4" s="121">
        <v>2011</v>
      </c>
      <c r="K4" s="121">
        <v>2012</v>
      </c>
      <c r="L4" s="121">
        <v>2013</v>
      </c>
      <c r="M4" s="121">
        <v>2014</v>
      </c>
      <c r="N4" s="121"/>
      <c r="O4" s="121"/>
      <c r="P4" s="121"/>
      <c r="Q4" s="121"/>
      <c r="R4" s="121"/>
      <c r="S4" s="121"/>
      <c r="T4" s="121"/>
      <c r="U4" s="121"/>
      <c r="V4" s="106">
        <v>2008</v>
      </c>
      <c r="W4" s="106">
        <v>2009</v>
      </c>
      <c r="X4" s="106">
        <v>2010</v>
      </c>
      <c r="Y4" s="106">
        <v>2011</v>
      </c>
      <c r="Z4" s="106">
        <v>2012</v>
      </c>
      <c r="AA4" s="106">
        <v>2013</v>
      </c>
      <c r="AB4" s="106" t="s">
        <v>44</v>
      </c>
      <c r="AC4" s="120" t="s">
        <v>54</v>
      </c>
      <c r="AD4" s="139" t="s">
        <v>55</v>
      </c>
      <c r="AE4" s="133"/>
      <c r="AF4" s="134"/>
      <c r="AG4" s="133"/>
      <c r="AH4" s="133"/>
      <c r="AI4" s="133"/>
      <c r="AJ4" s="133"/>
      <c r="AK4" s="131"/>
    </row>
    <row r="5" spans="1:39">
      <c r="A5" s="8" t="s">
        <v>0</v>
      </c>
      <c r="B5" s="86"/>
      <c r="C5" s="86"/>
      <c r="D5" s="86"/>
      <c r="E5" s="85"/>
      <c r="F5" s="107"/>
      <c r="G5" s="107"/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81"/>
      <c r="W5" s="100"/>
      <c r="X5" s="100"/>
      <c r="Y5" s="100"/>
      <c r="Z5" s="100"/>
      <c r="AA5" s="100"/>
      <c r="AB5" s="84">
        <f>SUM(B5:AA5)/11</f>
        <v>0</v>
      </c>
      <c r="AC5" s="100">
        <f>SUM(W5:AA5)/5</f>
        <v>0</v>
      </c>
      <c r="AD5" s="100">
        <f>SUM(Y5:AA5)/3</f>
        <v>0</v>
      </c>
      <c r="AE5" s="133"/>
      <c r="AF5" s="134"/>
      <c r="AG5" s="133"/>
      <c r="AH5" s="133"/>
      <c r="AI5" s="133" t="s">
        <v>46</v>
      </c>
      <c r="AJ5" s="133"/>
      <c r="AK5" s="131"/>
      <c r="AL5" s="99" t="s">
        <v>47</v>
      </c>
    </row>
    <row r="6" spans="1:39">
      <c r="A6" s="8" t="s">
        <v>1</v>
      </c>
      <c r="B6" s="86"/>
      <c r="C6" s="86"/>
      <c r="D6" s="86"/>
      <c r="E6" s="8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81"/>
      <c r="W6" s="100"/>
      <c r="X6" s="100"/>
      <c r="Y6" s="110"/>
      <c r="Z6" s="110"/>
      <c r="AA6" s="110"/>
      <c r="AB6" s="84">
        <f>SUM(B6:AA6)/11</f>
        <v>0</v>
      </c>
      <c r="AC6" s="100">
        <f t="shared" ref="AC6:AC16" si="0">SUM(W6:AA6)/5</f>
        <v>0</v>
      </c>
      <c r="AD6" s="100">
        <f t="shared" ref="AD6:AD16" si="1">SUM(Y6:AA6)/3</f>
        <v>0</v>
      </c>
      <c r="AE6" s="133" t="s">
        <v>46</v>
      </c>
      <c r="AF6" s="134"/>
      <c r="AG6" s="133" t="s">
        <v>47</v>
      </c>
      <c r="AH6" s="133"/>
      <c r="AI6" s="135" t="s">
        <v>48</v>
      </c>
      <c r="AJ6" s="135" t="s">
        <v>49</v>
      </c>
      <c r="AK6" s="131"/>
      <c r="AL6" s="101" t="s">
        <v>48</v>
      </c>
      <c r="AM6" s="101" t="s">
        <v>49</v>
      </c>
    </row>
    <row r="7" spans="1:39">
      <c r="A7" s="8" t="s">
        <v>2</v>
      </c>
      <c r="B7" s="86"/>
      <c r="C7" s="86"/>
      <c r="D7" s="86"/>
      <c r="E7" s="86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7"/>
      <c r="T7" s="107"/>
      <c r="U7" s="107"/>
      <c r="V7" s="81"/>
      <c r="W7" s="100"/>
      <c r="X7" s="100"/>
      <c r="Y7" s="110"/>
      <c r="Z7" s="110"/>
      <c r="AA7" s="110"/>
      <c r="AB7" s="84">
        <f>SUM(B7:AA7)/11</f>
        <v>0</v>
      </c>
      <c r="AC7" s="100">
        <f t="shared" si="0"/>
        <v>0</v>
      </c>
      <c r="AD7" s="100">
        <f t="shared" si="1"/>
        <v>0</v>
      </c>
      <c r="AE7" s="133"/>
      <c r="AF7" s="134"/>
      <c r="AG7" s="133">
        <f>SUM(V5:V5)/4</f>
        <v>0</v>
      </c>
      <c r="AH7" s="133"/>
      <c r="AI7" s="133">
        <f>AB5*0.78</f>
        <v>0</v>
      </c>
      <c r="AJ7" s="133">
        <f>AB5*0.22</f>
        <v>0</v>
      </c>
      <c r="AK7" s="131"/>
      <c r="AL7" s="94">
        <f>AG7*0.78</f>
        <v>0</v>
      </c>
      <c r="AM7" s="94">
        <f>AG7*0.22</f>
        <v>0</v>
      </c>
    </row>
    <row r="8" spans="1:39">
      <c r="A8" s="8" t="s">
        <v>3</v>
      </c>
      <c r="B8" s="86"/>
      <c r="C8" s="86"/>
      <c r="D8" s="86"/>
      <c r="E8" s="86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07"/>
      <c r="S8" s="107"/>
      <c r="T8" s="107"/>
      <c r="U8" s="107"/>
      <c r="V8" s="81"/>
      <c r="W8" s="100"/>
      <c r="X8" s="100"/>
      <c r="Y8" s="100"/>
      <c r="Z8" s="100"/>
      <c r="AA8" s="100"/>
      <c r="AB8" s="84">
        <f>SUM(B8:AA8)/11</f>
        <v>0</v>
      </c>
      <c r="AC8" s="100">
        <f t="shared" si="0"/>
        <v>0</v>
      </c>
      <c r="AD8" s="100">
        <f t="shared" si="1"/>
        <v>0</v>
      </c>
      <c r="AE8" s="133"/>
      <c r="AF8" s="134"/>
      <c r="AG8" s="133">
        <f>SUM(V6:V6)/4</f>
        <v>0</v>
      </c>
      <c r="AH8" s="133"/>
      <c r="AI8" s="133">
        <f>AB6*0.78</f>
        <v>0</v>
      </c>
      <c r="AJ8" s="133">
        <f>AB6*0.22</f>
        <v>0</v>
      </c>
      <c r="AK8" s="131"/>
      <c r="AL8" s="94">
        <f t="shared" ref="AL8:AL18" si="2">AG8*0.78</f>
        <v>0</v>
      </c>
      <c r="AM8" s="94">
        <f t="shared" ref="AM8:AM18" si="3">AG8*0.22</f>
        <v>0</v>
      </c>
    </row>
    <row r="9" spans="1:39">
      <c r="A9" s="8" t="s">
        <v>4</v>
      </c>
      <c r="B9" s="86"/>
      <c r="C9" s="86"/>
      <c r="D9" s="86"/>
      <c r="E9" s="86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81"/>
      <c r="W9" s="100"/>
      <c r="X9" s="100"/>
      <c r="Y9" s="110"/>
      <c r="Z9" s="110"/>
      <c r="AA9" s="110"/>
      <c r="AB9" s="84">
        <f>SUM(B9:AA9)/11</f>
        <v>0</v>
      </c>
      <c r="AC9" s="100">
        <f t="shared" si="0"/>
        <v>0</v>
      </c>
      <c r="AD9" s="100">
        <f t="shared" si="1"/>
        <v>0</v>
      </c>
      <c r="AE9" s="133"/>
      <c r="AF9" s="134"/>
      <c r="AG9" s="133">
        <f>SUM(V7:V7)/4</f>
        <v>0</v>
      </c>
      <c r="AH9" s="133"/>
      <c r="AI9" s="133">
        <f>AB7*0.78</f>
        <v>0</v>
      </c>
      <c r="AJ9" s="133">
        <f>AB7*0.22</f>
        <v>0</v>
      </c>
      <c r="AK9" s="131"/>
      <c r="AL9" s="94">
        <f t="shared" si="2"/>
        <v>0</v>
      </c>
      <c r="AM9" s="94">
        <f t="shared" si="3"/>
        <v>0</v>
      </c>
    </row>
    <row r="10" spans="1:39">
      <c r="A10" s="8" t="s">
        <v>5</v>
      </c>
      <c r="B10" s="86"/>
      <c r="C10" s="86"/>
      <c r="D10" s="86"/>
      <c r="E10" s="86"/>
      <c r="F10" s="107"/>
      <c r="G10" s="107"/>
      <c r="H10" s="107"/>
      <c r="I10" s="107"/>
      <c r="J10" s="107"/>
      <c r="K10" s="107"/>
      <c r="L10" s="107"/>
      <c r="M10" s="107"/>
      <c r="N10" s="107"/>
      <c r="O10" s="107"/>
      <c r="P10" s="107"/>
      <c r="Q10" s="107"/>
      <c r="R10" s="107"/>
      <c r="S10" s="107"/>
      <c r="T10" s="107"/>
      <c r="U10" s="107"/>
      <c r="V10" s="11"/>
      <c r="W10" s="100"/>
      <c r="X10" s="100"/>
      <c r="Y10" s="110"/>
      <c r="Z10" s="125"/>
      <c r="AA10" s="125"/>
      <c r="AB10" s="84">
        <f>SUM(B10:Z10)/10</f>
        <v>0</v>
      </c>
      <c r="AC10" s="100">
        <f t="shared" si="0"/>
        <v>0</v>
      </c>
      <c r="AD10" s="100">
        <f t="shared" si="1"/>
        <v>0</v>
      </c>
      <c r="AE10" s="133">
        <f>SUM(V8:V8,C8:C8)/5</f>
        <v>0</v>
      </c>
      <c r="AF10" s="134"/>
      <c r="AG10" s="133">
        <f>SUM(V8:V8)/3</f>
        <v>0</v>
      </c>
      <c r="AH10" s="133"/>
      <c r="AI10" s="133">
        <f>AE10*0.78</f>
        <v>0</v>
      </c>
      <c r="AJ10" s="133">
        <f>AE10*0.22</f>
        <v>0</v>
      </c>
      <c r="AK10" s="131"/>
      <c r="AL10" s="94">
        <f t="shared" si="2"/>
        <v>0</v>
      </c>
      <c r="AM10" s="94">
        <f t="shared" si="3"/>
        <v>0</v>
      </c>
    </row>
    <row r="11" spans="1:39">
      <c r="A11" s="8" t="s">
        <v>6</v>
      </c>
      <c r="B11" s="86"/>
      <c r="C11" s="86"/>
      <c r="D11" s="86"/>
      <c r="E11" s="86"/>
      <c r="F11" s="107"/>
      <c r="G11" s="107"/>
      <c r="H11" s="107"/>
      <c r="I11" s="107"/>
      <c r="J11" s="107"/>
      <c r="K11" s="107"/>
      <c r="L11" s="107"/>
      <c r="M11" s="107"/>
      <c r="N11" s="107"/>
      <c r="O11" s="107"/>
      <c r="P11" s="107"/>
      <c r="Q11" s="107"/>
      <c r="R11" s="107"/>
      <c r="S11" s="107"/>
      <c r="T11" s="107"/>
      <c r="U11" s="107"/>
      <c r="V11" s="11"/>
      <c r="W11" s="100"/>
      <c r="X11" s="100"/>
      <c r="Y11" s="100"/>
      <c r="Z11" s="100"/>
      <c r="AA11" s="125"/>
      <c r="AB11" s="84">
        <f t="shared" ref="AB11:AB16" si="4">SUM(B11:Z11)/10</f>
        <v>0</v>
      </c>
      <c r="AC11" s="100">
        <f t="shared" si="0"/>
        <v>0</v>
      </c>
      <c r="AD11" s="100">
        <f t="shared" si="1"/>
        <v>0</v>
      </c>
      <c r="AE11" s="133"/>
      <c r="AF11" s="134"/>
      <c r="AG11" s="133">
        <f>SUM(V9:V9)/4</f>
        <v>0</v>
      </c>
      <c r="AH11" s="133"/>
      <c r="AI11" s="133">
        <f>AB9*0.78</f>
        <v>0</v>
      </c>
      <c r="AJ11" s="133">
        <f>AB9*0.22</f>
        <v>0</v>
      </c>
      <c r="AK11" s="131"/>
      <c r="AL11" s="94">
        <f t="shared" si="2"/>
        <v>0</v>
      </c>
      <c r="AM11" s="94">
        <f t="shared" si="3"/>
        <v>0</v>
      </c>
    </row>
    <row r="12" spans="1:39">
      <c r="A12" s="8" t="s">
        <v>7</v>
      </c>
      <c r="B12" s="86"/>
      <c r="C12" s="86"/>
      <c r="D12" s="86"/>
      <c r="E12" s="86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1"/>
      <c r="W12" s="100"/>
      <c r="X12" s="100"/>
      <c r="Y12" s="110"/>
      <c r="Z12" s="110"/>
      <c r="AA12" s="110"/>
      <c r="AB12" s="84">
        <f t="shared" si="4"/>
        <v>0</v>
      </c>
      <c r="AC12" s="100">
        <f t="shared" si="0"/>
        <v>0</v>
      </c>
      <c r="AD12" s="100">
        <f t="shared" si="1"/>
        <v>0</v>
      </c>
      <c r="AE12" s="133"/>
      <c r="AF12" s="134"/>
      <c r="AG12" s="133">
        <f>SUM(V10:V10)/4</f>
        <v>0</v>
      </c>
      <c r="AH12" s="133"/>
      <c r="AI12" s="133">
        <f>AB10*0.78</f>
        <v>0</v>
      </c>
      <c r="AJ12" s="133">
        <f>AB10*0.22</f>
        <v>0</v>
      </c>
      <c r="AK12" s="131"/>
      <c r="AL12" s="94">
        <f t="shared" si="2"/>
        <v>0</v>
      </c>
      <c r="AM12" s="94">
        <f t="shared" si="3"/>
        <v>0</v>
      </c>
    </row>
    <row r="13" spans="1:39">
      <c r="A13" s="8" t="s">
        <v>8</v>
      </c>
      <c r="B13" s="86"/>
      <c r="C13" s="86"/>
      <c r="D13" s="86"/>
      <c r="E13" s="86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07"/>
      <c r="S13" s="107"/>
      <c r="T13" s="107"/>
      <c r="U13" s="107"/>
      <c r="V13" s="11"/>
      <c r="W13" s="100"/>
      <c r="X13" s="100"/>
      <c r="Y13" s="100"/>
      <c r="Z13" s="100"/>
      <c r="AA13" s="100"/>
      <c r="AB13" s="84">
        <f t="shared" si="4"/>
        <v>0</v>
      </c>
      <c r="AC13" s="100">
        <f t="shared" si="0"/>
        <v>0</v>
      </c>
      <c r="AD13" s="100">
        <f t="shared" si="1"/>
        <v>0</v>
      </c>
      <c r="AE13" s="133">
        <f>SUM(V11,E11,C11:C11)/4</f>
        <v>0</v>
      </c>
      <c r="AF13" s="134"/>
      <c r="AG13" s="133">
        <f>SUM(V11,E11)/2</f>
        <v>0</v>
      </c>
      <c r="AH13" s="133"/>
      <c r="AI13" s="133">
        <f>AE13*0.78</f>
        <v>0</v>
      </c>
      <c r="AJ13" s="133">
        <f>AE13*0.22</f>
        <v>0</v>
      </c>
      <c r="AK13" s="131"/>
      <c r="AL13" s="94">
        <f t="shared" si="2"/>
        <v>0</v>
      </c>
      <c r="AM13" s="94">
        <f t="shared" si="3"/>
        <v>0</v>
      </c>
    </row>
    <row r="14" spans="1:39">
      <c r="A14" s="8" t="s">
        <v>9</v>
      </c>
      <c r="B14" s="86"/>
      <c r="C14" s="86"/>
      <c r="D14" s="86"/>
      <c r="E14" s="86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1"/>
      <c r="W14" s="100"/>
      <c r="X14" s="100"/>
      <c r="Y14" s="100"/>
      <c r="Z14" s="100"/>
      <c r="AA14" s="100"/>
      <c r="AB14" s="84">
        <f t="shared" si="4"/>
        <v>0</v>
      </c>
      <c r="AC14" s="100">
        <f t="shared" si="0"/>
        <v>0</v>
      </c>
      <c r="AD14" s="100">
        <f t="shared" si="1"/>
        <v>0</v>
      </c>
      <c r="AE14" s="133">
        <f>SUM(V12,E12,C12:C12)/4</f>
        <v>0</v>
      </c>
      <c r="AF14" s="134"/>
      <c r="AG14" s="133">
        <f>SUM(V12,E12)/2</f>
        <v>0</v>
      </c>
      <c r="AH14" s="133"/>
      <c r="AI14" s="133">
        <f>AE14*0.78</f>
        <v>0</v>
      </c>
      <c r="AJ14" s="133">
        <f>AE14*0.22</f>
        <v>0</v>
      </c>
      <c r="AK14" s="131"/>
      <c r="AL14" s="94">
        <f t="shared" si="2"/>
        <v>0</v>
      </c>
      <c r="AM14" s="94">
        <f t="shared" si="3"/>
        <v>0</v>
      </c>
    </row>
    <row r="15" spans="1:39">
      <c r="A15" s="8" t="s">
        <v>10</v>
      </c>
      <c r="B15" s="86"/>
      <c r="C15" s="86"/>
      <c r="D15" s="86"/>
      <c r="E15" s="86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7"/>
      <c r="T15" s="107"/>
      <c r="U15" s="107"/>
      <c r="V15" s="11"/>
      <c r="W15" s="100"/>
      <c r="X15" s="100"/>
      <c r="Y15" s="100"/>
      <c r="Z15" s="100"/>
      <c r="AA15" s="100"/>
      <c r="AB15" s="84">
        <f t="shared" si="4"/>
        <v>0</v>
      </c>
      <c r="AC15" s="100">
        <f t="shared" si="0"/>
        <v>0</v>
      </c>
      <c r="AD15" s="100">
        <f t="shared" si="1"/>
        <v>0</v>
      </c>
      <c r="AE15" s="133"/>
      <c r="AF15" s="134"/>
      <c r="AG15" s="133">
        <f>SUM(V13:V13)/4</f>
        <v>0</v>
      </c>
      <c r="AH15" s="133"/>
      <c r="AI15" s="133">
        <f>AB13*0.78</f>
        <v>0</v>
      </c>
      <c r="AJ15" s="133">
        <f>AB13*0.22</f>
        <v>0</v>
      </c>
      <c r="AK15" s="131"/>
      <c r="AL15" s="94">
        <f t="shared" si="2"/>
        <v>0</v>
      </c>
      <c r="AM15" s="94">
        <f t="shared" si="3"/>
        <v>0</v>
      </c>
    </row>
    <row r="16" spans="1:39">
      <c r="A16" s="8" t="s">
        <v>11</v>
      </c>
      <c r="B16" s="86"/>
      <c r="C16" s="86"/>
      <c r="D16" s="86"/>
      <c r="E16" s="86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07"/>
      <c r="S16" s="107"/>
      <c r="T16" s="107"/>
      <c r="U16" s="107"/>
      <c r="V16" s="11"/>
      <c r="W16" s="110"/>
      <c r="X16" s="100"/>
      <c r="Y16" s="110"/>
      <c r="Z16" s="110"/>
      <c r="AA16" s="110"/>
      <c r="AB16" s="84">
        <f t="shared" si="4"/>
        <v>0</v>
      </c>
      <c r="AC16" s="100">
        <f t="shared" si="0"/>
        <v>0</v>
      </c>
      <c r="AD16" s="100">
        <f t="shared" si="1"/>
        <v>0</v>
      </c>
      <c r="AE16" s="133">
        <f>SUM(F14:F14)/5</f>
        <v>0</v>
      </c>
      <c r="AF16" s="134"/>
      <c r="AG16" s="133">
        <f>SUM(F14:F14)/3</f>
        <v>0</v>
      </c>
      <c r="AH16" s="133"/>
      <c r="AI16" s="133">
        <f>AE16*0.78</f>
        <v>0</v>
      </c>
      <c r="AJ16" s="133">
        <f>AE16*0.22</f>
        <v>0</v>
      </c>
      <c r="AK16" s="131"/>
      <c r="AL16" s="94">
        <f t="shared" si="2"/>
        <v>0</v>
      </c>
      <c r="AM16" s="94">
        <f t="shared" si="3"/>
        <v>0</v>
      </c>
    </row>
    <row r="17" spans="1:39">
      <c r="A17" s="8" t="s">
        <v>12</v>
      </c>
      <c r="B17" s="92">
        <f t="shared" ref="B17:X17" si="5">SUM(B5:B16)</f>
        <v>0</v>
      </c>
      <c r="C17" s="92">
        <f t="shared" si="5"/>
        <v>0</v>
      </c>
      <c r="D17" s="92">
        <f t="shared" si="5"/>
        <v>0</v>
      </c>
      <c r="E17" s="92">
        <f t="shared" si="5"/>
        <v>0</v>
      </c>
      <c r="F17" s="116">
        <f>SUM(F5:F16)</f>
        <v>0</v>
      </c>
      <c r="G17" s="116"/>
      <c r="H17" s="116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92">
        <f t="shared" si="5"/>
        <v>0</v>
      </c>
      <c r="W17" s="92">
        <f t="shared" si="5"/>
        <v>0</v>
      </c>
      <c r="X17" s="92">
        <f t="shared" si="5"/>
        <v>0</v>
      </c>
      <c r="Y17" s="92">
        <f t="shared" ref="Y17:AD17" si="6">SUM(Y5:Y16)</f>
        <v>0</v>
      </c>
      <c r="Z17" s="92">
        <f t="shared" si="6"/>
        <v>0</v>
      </c>
      <c r="AA17" s="92">
        <f t="shared" si="6"/>
        <v>0</v>
      </c>
      <c r="AB17" s="92">
        <f t="shared" si="6"/>
        <v>0</v>
      </c>
      <c r="AC17" s="92">
        <f t="shared" si="6"/>
        <v>0</v>
      </c>
      <c r="AD17" s="92">
        <f t="shared" si="6"/>
        <v>0</v>
      </c>
      <c r="AE17" s="133"/>
      <c r="AF17" s="134"/>
      <c r="AG17" s="133">
        <f>SUM(V15:V15)/4</f>
        <v>0</v>
      </c>
      <c r="AH17" s="133"/>
      <c r="AI17" s="133">
        <f>AB15*0.78</f>
        <v>0</v>
      </c>
      <c r="AJ17" s="133">
        <f>AB15*0.22</f>
        <v>0</v>
      </c>
      <c r="AK17" s="131"/>
      <c r="AL17" s="94">
        <f t="shared" si="2"/>
        <v>0</v>
      </c>
      <c r="AM17" s="94">
        <f t="shared" si="3"/>
        <v>0</v>
      </c>
    </row>
    <row r="18" spans="1:39" ht="15.75">
      <c r="A18" s="8" t="s">
        <v>14</v>
      </c>
      <c r="B18" s="89"/>
      <c r="C18" s="88" t="e">
        <f t="shared" ref="C18:AA18" si="7">+(C17-B17)/B17</f>
        <v>#DIV/0!</v>
      </c>
      <c r="D18" s="88" t="e">
        <f t="shared" si="7"/>
        <v>#DIV/0!</v>
      </c>
      <c r="E18" s="88" t="e">
        <f t="shared" si="7"/>
        <v>#DIV/0!</v>
      </c>
      <c r="F18" s="87" t="e">
        <f>+(F17-E17)/E17</f>
        <v>#DIV/0!</v>
      </c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 t="e">
        <f>+(V17-F17)/F17</f>
        <v>#DIV/0!</v>
      </c>
      <c r="W18" s="87" t="e">
        <f t="shared" si="7"/>
        <v>#DIV/0!</v>
      </c>
      <c r="X18" s="87" t="e">
        <f t="shared" si="7"/>
        <v>#DIV/0!</v>
      </c>
      <c r="Y18" s="87" t="e">
        <f t="shared" si="7"/>
        <v>#DIV/0!</v>
      </c>
      <c r="Z18" s="87" t="e">
        <f t="shared" si="7"/>
        <v>#DIV/0!</v>
      </c>
      <c r="AA18" s="87" t="e">
        <f t="shared" si="7"/>
        <v>#DIV/0!</v>
      </c>
      <c r="AB18" s="20"/>
      <c r="AC18" s="20"/>
      <c r="AD18" s="20"/>
      <c r="AE18" s="133"/>
      <c r="AF18" s="134"/>
      <c r="AG18" s="133">
        <f>SUM(V16:V16)/4</f>
        <v>0</v>
      </c>
      <c r="AH18" s="133"/>
      <c r="AI18" s="133">
        <f>AB16*0.78</f>
        <v>0</v>
      </c>
      <c r="AJ18" s="133">
        <f>AB16*0.22</f>
        <v>0</v>
      </c>
      <c r="AK18" s="132"/>
      <c r="AL18" s="94">
        <f t="shared" si="2"/>
        <v>0</v>
      </c>
      <c r="AM18" s="94">
        <f t="shared" si="3"/>
        <v>0</v>
      </c>
    </row>
    <row r="19" spans="1:39">
      <c r="AE19" s="130"/>
      <c r="AF19" s="131"/>
      <c r="AG19" s="130"/>
      <c r="AH19" s="130"/>
      <c r="AI19" s="130"/>
      <c r="AJ19" s="130"/>
      <c r="AK19" s="131"/>
      <c r="AL19" s="6"/>
    </row>
    <row r="20" spans="1:39">
      <c r="AE20" s="130"/>
      <c r="AF20" s="131"/>
      <c r="AG20" s="130"/>
      <c r="AH20" s="130"/>
      <c r="AI20" s="130"/>
      <c r="AJ20" s="130"/>
      <c r="AK20" s="131"/>
      <c r="AL20" s="6"/>
    </row>
    <row r="21" spans="1:39">
      <c r="AC21" s="134">
        <v>4177665</v>
      </c>
      <c r="AD21" s="134"/>
      <c r="AE21" s="133"/>
      <c r="AF21" s="134"/>
      <c r="AG21" s="133"/>
      <c r="AK21" s="10"/>
      <c r="AL21" s="6"/>
    </row>
    <row r="22" spans="1:39">
      <c r="AC22" s="134"/>
      <c r="AD22" s="134"/>
      <c r="AE22" s="133"/>
      <c r="AF22" s="134"/>
      <c r="AG22" s="133"/>
      <c r="AK22" s="10"/>
      <c r="AL22" s="6"/>
    </row>
    <row r="23" spans="1:39">
      <c r="AC23" s="134" t="e">
        <f>AC21/AC16*100</f>
        <v>#DIV/0!</v>
      </c>
      <c r="AD23" s="134"/>
      <c r="AE23" s="133"/>
      <c r="AF23" s="134"/>
      <c r="AG23" s="133"/>
      <c r="AK23" s="10"/>
      <c r="AL23" s="6"/>
    </row>
    <row r="24" spans="1:39">
      <c r="AC24" s="134"/>
      <c r="AD24" s="134"/>
      <c r="AE24" s="133">
        <f>SUM(X6:X6)/5</f>
        <v>0</v>
      </c>
      <c r="AF24" s="134"/>
      <c r="AG24" s="133"/>
      <c r="AK24" s="10"/>
      <c r="AL24" s="6"/>
    </row>
    <row r="25" spans="1:39">
      <c r="AC25" s="134">
        <v>7000000</v>
      </c>
      <c r="AD25" s="134"/>
      <c r="AE25" s="133"/>
      <c r="AF25" s="134"/>
      <c r="AG25" s="133"/>
      <c r="AK25" s="10"/>
      <c r="AL25" s="6"/>
    </row>
    <row r="26" spans="1:39">
      <c r="AC26" s="134">
        <f>AC21/AC25*100</f>
        <v>59.680928571428574</v>
      </c>
      <c r="AD26" s="134"/>
      <c r="AE26" s="133"/>
      <c r="AF26" s="134"/>
      <c r="AG26" s="133"/>
      <c r="AK26" s="10"/>
      <c r="AL26" s="6"/>
    </row>
    <row r="27" spans="1:39">
      <c r="AC27" s="134"/>
      <c r="AD27" s="134"/>
      <c r="AE27" s="136">
        <v>109763069.05</v>
      </c>
      <c r="AF27" s="134"/>
      <c r="AG27" s="133"/>
      <c r="AK27" s="10"/>
      <c r="AL27" s="6"/>
    </row>
    <row r="28" spans="1:39">
      <c r="AC28" s="134"/>
      <c r="AD28" s="134"/>
      <c r="AE28" s="137">
        <v>102641444.04857141</v>
      </c>
      <c r="AF28" s="134"/>
      <c r="AG28" s="133"/>
      <c r="AK28" s="10"/>
      <c r="AL28" s="6"/>
    </row>
    <row r="29" spans="1:39">
      <c r="AC29" s="134"/>
      <c r="AD29" s="134"/>
      <c r="AE29" s="133">
        <f>AE27-AE28</f>
        <v>7121625.0014285892</v>
      </c>
      <c r="AF29" s="134"/>
      <c r="AG29" s="133"/>
      <c r="AK29" s="10"/>
      <c r="AL29" s="6"/>
    </row>
    <row r="30" spans="1:39">
      <c r="AK30" s="10"/>
      <c r="AL30" s="6"/>
    </row>
    <row r="31" spans="1:39">
      <c r="AK31" s="10"/>
      <c r="AL31" s="6"/>
    </row>
    <row r="32" spans="1:39">
      <c r="AK32" s="10"/>
      <c r="AL32" s="6"/>
    </row>
    <row r="33" spans="23:38">
      <c r="AK33" s="10"/>
      <c r="AL33" s="6"/>
    </row>
    <row r="34" spans="23:38">
      <c r="AK34" s="10"/>
      <c r="AL34" s="6"/>
    </row>
    <row r="35" spans="23:38">
      <c r="AK35" s="10"/>
      <c r="AL35" s="6"/>
    </row>
    <row r="36" spans="23:38">
      <c r="AK36" s="10"/>
      <c r="AL36" s="6"/>
    </row>
    <row r="37" spans="23:38">
      <c r="AK37" s="10"/>
      <c r="AL37" s="6"/>
    </row>
    <row r="38" spans="23:38">
      <c r="AK38" s="10"/>
      <c r="AL38" s="6"/>
    </row>
    <row r="39" spans="23:38">
      <c r="AK39" s="10"/>
      <c r="AL39" s="6"/>
    </row>
    <row r="40" spans="23:38">
      <c r="AK40" s="10"/>
      <c r="AL40" s="6"/>
    </row>
    <row r="41" spans="23:38">
      <c r="AK41" s="10"/>
      <c r="AL41" s="6"/>
    </row>
    <row r="42" spans="23:38">
      <c r="AK42" s="10"/>
      <c r="AL42" s="6"/>
    </row>
    <row r="43" spans="23:38">
      <c r="AK43" s="10"/>
      <c r="AL43" s="6"/>
    </row>
    <row r="44" spans="23:38" hidden="1">
      <c r="W44" s="94">
        <f>SUM(W5:W10)</f>
        <v>0</v>
      </c>
      <c r="X44" s="94">
        <f>SUM(X5:X10)</f>
        <v>0</v>
      </c>
      <c r="Y44" s="94">
        <f>SUM(Y5:Y10)</f>
        <v>0</v>
      </c>
      <c r="AK44" s="10"/>
      <c r="AL44" s="6"/>
    </row>
    <row r="45" spans="23:38" hidden="1">
      <c r="W45" s="94">
        <f>SUM(W11:W16)</f>
        <v>0</v>
      </c>
      <c r="X45" s="94">
        <f>SUM(X11:X16)</f>
        <v>0</v>
      </c>
      <c r="Y45" s="94">
        <f>SUM(Y11:Y16)</f>
        <v>0</v>
      </c>
      <c r="AK45" s="10"/>
      <c r="AL45" s="6"/>
    </row>
    <row r="46" spans="23:38">
      <c r="AK46" s="10"/>
      <c r="AL46" s="6"/>
    </row>
    <row r="74" spans="2:5">
      <c r="B74" s="8" t="s">
        <v>19</v>
      </c>
      <c r="C74" s="13" t="s">
        <v>18</v>
      </c>
      <c r="D74" s="17" t="s">
        <v>17</v>
      </c>
    </row>
    <row r="75" spans="2:5">
      <c r="B75" s="16">
        <f t="shared" ref="B75:B86" si="8">+D75-C75</f>
        <v>-676049</v>
      </c>
      <c r="C75" s="7">
        <v>4229100</v>
      </c>
      <c r="D75" s="26">
        <v>3553051</v>
      </c>
      <c r="E75" s="15" t="s">
        <v>0</v>
      </c>
    </row>
    <row r="76" spans="2:5">
      <c r="B76" s="16">
        <f t="shared" si="8"/>
        <v>-4732086</v>
      </c>
      <c r="C76" s="7">
        <v>8071500</v>
      </c>
      <c r="D76" s="26">
        <v>3339414</v>
      </c>
      <c r="E76" s="15" t="s">
        <v>1</v>
      </c>
    </row>
    <row r="77" spans="2:5">
      <c r="B77" s="16">
        <f t="shared" si="8"/>
        <v>-3786151</v>
      </c>
      <c r="C77" s="7">
        <v>18531600</v>
      </c>
      <c r="D77" s="26">
        <v>14745449</v>
      </c>
      <c r="E77" s="15" t="s">
        <v>2</v>
      </c>
    </row>
    <row r="78" spans="2:5">
      <c r="B78" s="11">
        <f t="shared" si="8"/>
        <v>1030753</v>
      </c>
      <c r="C78" s="7">
        <v>20330220</v>
      </c>
      <c r="D78" s="26">
        <v>21360973</v>
      </c>
      <c r="E78" s="15" t="s">
        <v>3</v>
      </c>
    </row>
    <row r="79" spans="2:5">
      <c r="B79" s="16">
        <f t="shared" si="8"/>
        <v>-5147444</v>
      </c>
      <c r="C79" s="7">
        <v>17926300</v>
      </c>
      <c r="D79" s="26">
        <v>12778856</v>
      </c>
      <c r="E79" s="15" t="s">
        <v>4</v>
      </c>
    </row>
    <row r="80" spans="2:5">
      <c r="B80" s="11">
        <f t="shared" si="8"/>
        <v>2900698</v>
      </c>
      <c r="C80" s="7">
        <v>7350900</v>
      </c>
      <c r="D80" s="26">
        <v>10251598</v>
      </c>
      <c r="E80" s="15" t="s">
        <v>5</v>
      </c>
    </row>
    <row r="81" spans="2:5">
      <c r="B81" s="11">
        <f t="shared" si="8"/>
        <v>37950607</v>
      </c>
      <c r="C81" s="7">
        <v>5429900</v>
      </c>
      <c r="D81" s="26">
        <v>43380507</v>
      </c>
      <c r="E81" s="15" t="s">
        <v>6</v>
      </c>
    </row>
    <row r="82" spans="2:5">
      <c r="B82" s="11">
        <f t="shared" si="8"/>
        <v>8912256</v>
      </c>
      <c r="C82" s="7">
        <v>1999980</v>
      </c>
      <c r="D82" s="26">
        <v>10912236</v>
      </c>
      <c r="E82" s="15" t="s">
        <v>7</v>
      </c>
    </row>
    <row r="83" spans="2:5">
      <c r="B83" s="16">
        <f t="shared" si="8"/>
        <v>-2733278</v>
      </c>
      <c r="C83" s="7">
        <v>8402500</v>
      </c>
      <c r="D83" s="26">
        <v>5669222</v>
      </c>
      <c r="E83" s="15" t="s">
        <v>8</v>
      </c>
    </row>
    <row r="84" spans="2:5">
      <c r="B84" s="16">
        <f t="shared" si="8"/>
        <v>-4478608</v>
      </c>
      <c r="C84" s="7">
        <v>11490200</v>
      </c>
      <c r="D84" s="26">
        <v>7011592</v>
      </c>
      <c r="E84" s="15" t="s">
        <v>9</v>
      </c>
    </row>
    <row r="85" spans="2:5">
      <c r="B85" s="16">
        <f t="shared" si="8"/>
        <v>-3861461</v>
      </c>
      <c r="C85" s="7">
        <v>10894100</v>
      </c>
      <c r="D85" s="26">
        <v>7032639</v>
      </c>
      <c r="E85" s="15" t="s">
        <v>10</v>
      </c>
    </row>
    <row r="86" spans="2:5">
      <c r="B86" s="16">
        <f t="shared" si="8"/>
        <v>500533</v>
      </c>
      <c r="C86" s="7">
        <v>10343700</v>
      </c>
      <c r="D86" s="26">
        <v>10844233</v>
      </c>
      <c r="E86" s="15" t="s">
        <v>11</v>
      </c>
    </row>
    <row r="87" spans="2:5">
      <c r="B87" s="9"/>
      <c r="C87" s="5"/>
      <c r="D87" s="1"/>
    </row>
    <row r="88" spans="2:5">
      <c r="B88" s="2">
        <f>+D88-C88</f>
        <v>25879770</v>
      </c>
      <c r="C88" s="14">
        <f>SUM(C75:C87)</f>
        <v>125000000</v>
      </c>
      <c r="D88" s="3">
        <f>SUM(D75:D87)</f>
        <v>150879770</v>
      </c>
      <c r="E88" s="12" t="s">
        <v>12</v>
      </c>
    </row>
    <row r="89" spans="2:5">
      <c r="D89" s="4">
        <f>+(D88-C88)/C88</f>
        <v>0.20703816</v>
      </c>
      <c r="E89" s="12" t="s">
        <v>20</v>
      </c>
    </row>
    <row r="100" spans="1:38">
      <c r="F100" t="s">
        <v>26</v>
      </c>
      <c r="AH100" s="94" t="s">
        <v>27</v>
      </c>
    </row>
    <row r="103" spans="1:38">
      <c r="B103" t="s">
        <v>25</v>
      </c>
      <c r="C103" t="s">
        <v>24</v>
      </c>
      <c r="D103" s="1" t="s">
        <v>12</v>
      </c>
      <c r="E103" s="1" t="s">
        <v>13</v>
      </c>
      <c r="F103" s="1" t="s">
        <v>23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AH103" s="95" t="s">
        <v>23</v>
      </c>
      <c r="AI103" s="95" t="s">
        <v>13</v>
      </c>
      <c r="AJ103" s="95" t="s">
        <v>12</v>
      </c>
      <c r="AK103" t="s">
        <v>24</v>
      </c>
      <c r="AL103" t="s">
        <v>25</v>
      </c>
    </row>
    <row r="104" spans="1:38">
      <c r="A104" s="8" t="s">
        <v>0</v>
      </c>
      <c r="B104" s="31">
        <f t="shared" ref="B104:B115" si="9">+E104/D104</f>
        <v>0.35168901318894663</v>
      </c>
      <c r="C104" s="31">
        <f>+F104/D104</f>
        <v>0.64831098681105337</v>
      </c>
      <c r="D104" s="30">
        <f>+F104+E104</f>
        <v>3553051</v>
      </c>
      <c r="E104" s="29">
        <v>1249569</v>
      </c>
      <c r="F104" s="29">
        <v>2303482</v>
      </c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8"/>
      <c r="W104" s="8"/>
      <c r="X104" s="8"/>
      <c r="Y104" s="8"/>
      <c r="Z104" s="46"/>
      <c r="AA104" s="46"/>
      <c r="AG104" s="100" t="s">
        <v>0</v>
      </c>
      <c r="AH104" s="100">
        <f>+AJ104*0.65</f>
        <v>4881012.5</v>
      </c>
      <c r="AI104" s="100">
        <f>+AJ104-AH104</f>
        <v>2628237.5</v>
      </c>
      <c r="AJ104" s="102">
        <f>7425917+83333</f>
        <v>7509250</v>
      </c>
      <c r="AK104" s="27">
        <f>+AH104/AJ104</f>
        <v>0.65</v>
      </c>
      <c r="AL104" s="27">
        <f>+AI104/AJ104</f>
        <v>0.35</v>
      </c>
    </row>
    <row r="105" spans="1:38">
      <c r="A105" s="8" t="s">
        <v>1</v>
      </c>
      <c r="B105" s="31">
        <f t="shared" si="9"/>
        <v>0.22777469340429188</v>
      </c>
      <c r="C105" s="31">
        <f>+F105/D105</f>
        <v>0.77222530659570809</v>
      </c>
      <c r="D105" s="30">
        <f>+F105+E105</f>
        <v>3339414</v>
      </c>
      <c r="E105" s="29">
        <v>760634</v>
      </c>
      <c r="F105" s="29">
        <v>2578780</v>
      </c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8"/>
      <c r="W105" s="8"/>
      <c r="X105" s="8"/>
      <c r="Y105" s="8"/>
      <c r="Z105" s="46"/>
      <c r="AA105" s="46"/>
      <c r="AG105" s="100" t="s">
        <v>1</v>
      </c>
      <c r="AH105" s="100">
        <f>+AJ105*0.77</f>
        <v>7797457.3600000003</v>
      </c>
      <c r="AI105" s="100">
        <f t="shared" ref="AI105:AI115" si="10">+AJ105-AH105</f>
        <v>2329110.6399999997</v>
      </c>
      <c r="AJ105" s="102">
        <f>10043235+83333</f>
        <v>10126568</v>
      </c>
      <c r="AK105" s="27">
        <f t="shared" ref="AK105:AK115" si="11">+AH105/AJ105</f>
        <v>0.77</v>
      </c>
      <c r="AL105" s="27">
        <f t="shared" ref="AL105:AL115" si="12">+AI105/AJ105</f>
        <v>0.22999999999999995</v>
      </c>
    </row>
    <row r="106" spans="1:38">
      <c r="A106" s="8" t="s">
        <v>2</v>
      </c>
      <c r="B106" s="31">
        <f t="shared" si="9"/>
        <v>0.14201140975768184</v>
      </c>
      <c r="C106" s="31">
        <f>+F106/D106</f>
        <v>0.85798859024231811</v>
      </c>
      <c r="D106" s="30">
        <f>+F106+E106</f>
        <v>14745449</v>
      </c>
      <c r="E106" s="29">
        <v>2094022</v>
      </c>
      <c r="F106" s="29">
        <v>12651427</v>
      </c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8"/>
      <c r="W106" s="8"/>
      <c r="X106" s="8"/>
      <c r="Y106" s="8"/>
      <c r="Z106" s="46"/>
      <c r="AA106" s="46"/>
      <c r="AG106" s="100" t="s">
        <v>2</v>
      </c>
      <c r="AH106" s="100">
        <f>+AJ106*0.86</f>
        <v>10240395.82</v>
      </c>
      <c r="AI106" s="100">
        <f t="shared" si="10"/>
        <v>1667041.1799999997</v>
      </c>
      <c r="AJ106" s="102">
        <f>11824104+83333</f>
        <v>11907437</v>
      </c>
      <c r="AK106" s="27">
        <f t="shared" si="11"/>
        <v>0.86</v>
      </c>
      <c r="AL106" s="27">
        <f t="shared" si="12"/>
        <v>0.13999999999999999</v>
      </c>
    </row>
    <row r="107" spans="1:38">
      <c r="A107" s="8" t="s">
        <v>3</v>
      </c>
      <c r="B107" s="31">
        <f t="shared" si="9"/>
        <v>0.19256889655728698</v>
      </c>
      <c r="C107" s="31">
        <f>+F107/D107</f>
        <v>0.80743110344271307</v>
      </c>
      <c r="D107" s="30">
        <f>+F107+E107</f>
        <v>21360973</v>
      </c>
      <c r="E107" s="29">
        <v>4113459</v>
      </c>
      <c r="F107" s="29">
        <v>17247514</v>
      </c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8"/>
      <c r="W107" s="8"/>
      <c r="X107" s="8"/>
      <c r="Y107" s="8"/>
      <c r="Z107" s="46"/>
      <c r="AA107" s="46"/>
      <c r="AG107" s="100" t="s">
        <v>3</v>
      </c>
      <c r="AH107" s="100">
        <f>+AJ107*0.81</f>
        <v>14983452.9</v>
      </c>
      <c r="AI107" s="100">
        <f t="shared" si="10"/>
        <v>3514637.0999999996</v>
      </c>
      <c r="AJ107" s="102">
        <f>18414757+83333</f>
        <v>18498090</v>
      </c>
      <c r="AK107" s="27">
        <f t="shared" si="11"/>
        <v>0.81</v>
      </c>
      <c r="AL107" s="27">
        <f t="shared" si="12"/>
        <v>0.18999999999999997</v>
      </c>
    </row>
    <row r="108" spans="1:38">
      <c r="A108" s="8" t="s">
        <v>4</v>
      </c>
      <c r="B108" s="31">
        <f t="shared" si="9"/>
        <v>0.2723362717288621</v>
      </c>
      <c r="C108" s="31">
        <f>+F108/D108</f>
        <v>0.7276637282711379</v>
      </c>
      <c r="D108" s="30">
        <f>+F108+E108</f>
        <v>12778856</v>
      </c>
      <c r="E108" s="29">
        <v>3480146</v>
      </c>
      <c r="F108" s="29">
        <v>9298710</v>
      </c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8"/>
      <c r="W108" s="8"/>
      <c r="X108" s="8"/>
      <c r="Y108" s="8"/>
      <c r="Z108" s="46"/>
      <c r="AA108" s="46"/>
      <c r="AG108" s="100" t="s">
        <v>4</v>
      </c>
      <c r="AH108" s="100">
        <f>+AJ108*0.73</f>
        <v>10721124.560000001</v>
      </c>
      <c r="AI108" s="100">
        <f t="shared" si="10"/>
        <v>3965347.4399999995</v>
      </c>
      <c r="AJ108" s="102">
        <f>14603139+83333</f>
        <v>14686472</v>
      </c>
      <c r="AK108" s="27">
        <f t="shared" si="11"/>
        <v>0.73</v>
      </c>
      <c r="AL108" s="27">
        <f t="shared" si="12"/>
        <v>0.26999999999999996</v>
      </c>
    </row>
    <row r="109" spans="1:38">
      <c r="A109" s="8" t="s">
        <v>21</v>
      </c>
      <c r="B109" s="31">
        <f t="shared" si="9"/>
        <v>0.10209120568325056</v>
      </c>
      <c r="C109" s="31">
        <f>+F109/D109</f>
        <v>0.89790879431674941</v>
      </c>
      <c r="D109" s="30">
        <f>+F109+E109</f>
        <v>10251598</v>
      </c>
      <c r="E109" s="29">
        <v>1046598</v>
      </c>
      <c r="F109" s="29">
        <v>9205000</v>
      </c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8"/>
      <c r="W109" s="8"/>
      <c r="X109" s="8"/>
      <c r="Y109" s="8"/>
      <c r="Z109" s="46"/>
      <c r="AA109" s="46"/>
      <c r="AG109" s="100" t="s">
        <v>21</v>
      </c>
      <c r="AH109" s="100">
        <f>+AJ109*0.9</f>
        <v>10506141.9</v>
      </c>
      <c r="AI109" s="100">
        <f t="shared" si="10"/>
        <v>1167349.0999999996</v>
      </c>
      <c r="AJ109" s="102">
        <f>11590158+83333</f>
        <v>11673491</v>
      </c>
      <c r="AK109" s="27">
        <f t="shared" si="11"/>
        <v>0.9</v>
      </c>
      <c r="AL109" s="27">
        <f t="shared" si="12"/>
        <v>9.9999999999999964E-2</v>
      </c>
    </row>
    <row r="110" spans="1:38">
      <c r="A110" s="8" t="s">
        <v>22</v>
      </c>
      <c r="B110" s="31">
        <f t="shared" si="9"/>
        <v>0.34152772811069265</v>
      </c>
      <c r="C110" s="31">
        <f>+F110/D110</f>
        <v>0.65847227188930735</v>
      </c>
      <c r="D110" s="30">
        <f>+F110+E110</f>
        <v>43380507</v>
      </c>
      <c r="E110" s="29">
        <v>14815646</v>
      </c>
      <c r="F110" s="29">
        <v>28564861</v>
      </c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8"/>
      <c r="W110" s="8"/>
      <c r="X110" s="8"/>
      <c r="Y110" s="8"/>
      <c r="Z110" s="46"/>
      <c r="AA110" s="46"/>
      <c r="AG110" s="100" t="s">
        <v>22</v>
      </c>
      <c r="AH110" s="100">
        <f>+AJ3:AJ110*0.65</f>
        <v>6868260.1000000006</v>
      </c>
      <c r="AI110" s="100">
        <f t="shared" si="10"/>
        <v>3698293.8999999994</v>
      </c>
      <c r="AJ110" s="102">
        <f>10483221+83333</f>
        <v>10566554</v>
      </c>
      <c r="AK110" s="27">
        <f t="shared" si="11"/>
        <v>0.65</v>
      </c>
      <c r="AL110" s="27">
        <f t="shared" si="12"/>
        <v>0.34999999999999992</v>
      </c>
    </row>
    <row r="111" spans="1:38">
      <c r="A111" s="8" t="s">
        <v>7</v>
      </c>
      <c r="B111" s="31">
        <f t="shared" si="9"/>
        <v>0.37011470426409399</v>
      </c>
      <c r="C111" s="31">
        <f>+F111/D111</f>
        <v>0.62988529573590601</v>
      </c>
      <c r="D111" s="30">
        <f>+F111+E111</f>
        <v>10912236</v>
      </c>
      <c r="E111" s="29">
        <v>4038779</v>
      </c>
      <c r="F111" s="29">
        <v>6873457</v>
      </c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8"/>
      <c r="W111" s="8"/>
      <c r="X111" s="8"/>
      <c r="Y111" s="8"/>
      <c r="Z111" s="46"/>
      <c r="AA111" s="46"/>
      <c r="AG111" s="100" t="s">
        <v>7</v>
      </c>
      <c r="AH111" s="100">
        <f>+AJ111*0.63</f>
        <v>6344551.71</v>
      </c>
      <c r="AI111" s="100">
        <f t="shared" si="10"/>
        <v>3726165.29</v>
      </c>
      <c r="AJ111" s="102">
        <f>9987384+83333</f>
        <v>10070717</v>
      </c>
      <c r="AK111" s="27">
        <f t="shared" si="11"/>
        <v>0.63</v>
      </c>
      <c r="AL111" s="27">
        <f t="shared" si="12"/>
        <v>0.37</v>
      </c>
    </row>
    <row r="112" spans="1:38">
      <c r="A112" s="8" t="s">
        <v>8</v>
      </c>
      <c r="B112" s="31">
        <f t="shared" si="9"/>
        <v>0.29355262503391116</v>
      </c>
      <c r="C112" s="31">
        <f>+F112/D112</f>
        <v>0.70644737496608878</v>
      </c>
      <c r="D112" s="30">
        <f>+F112+E112</f>
        <v>5669222</v>
      </c>
      <c r="E112" s="29">
        <v>1664215</v>
      </c>
      <c r="F112" s="29">
        <v>4005007</v>
      </c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8"/>
      <c r="W112" s="8"/>
      <c r="X112" s="8"/>
      <c r="Y112" s="8"/>
      <c r="Z112" s="46"/>
      <c r="AA112" s="46"/>
      <c r="AG112" s="100" t="s">
        <v>8</v>
      </c>
      <c r="AH112" s="100">
        <f>+AJ112*0.71</f>
        <v>8278161.9299999997</v>
      </c>
      <c r="AI112" s="100">
        <f t="shared" si="10"/>
        <v>3381221.0700000003</v>
      </c>
      <c r="AJ112" s="102">
        <f>11576050+83333</f>
        <v>11659383</v>
      </c>
      <c r="AK112" s="27">
        <f t="shared" si="11"/>
        <v>0.71</v>
      </c>
      <c r="AL112" s="27">
        <f t="shared" si="12"/>
        <v>0.29000000000000004</v>
      </c>
    </row>
    <row r="113" spans="1:38">
      <c r="A113" s="8" t="s">
        <v>9</v>
      </c>
      <c r="B113" s="31">
        <f t="shared" si="9"/>
        <v>0.1174697557986831</v>
      </c>
      <c r="C113" s="31">
        <f>+F113/D113</f>
        <v>0.88253024420131687</v>
      </c>
      <c r="D113" s="30">
        <f>+F113+E113</f>
        <v>7011592</v>
      </c>
      <c r="E113" s="29">
        <v>823650</v>
      </c>
      <c r="F113" s="29">
        <v>6187942</v>
      </c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8"/>
      <c r="W113" s="8"/>
      <c r="X113" s="8"/>
      <c r="Y113" s="8"/>
      <c r="Z113" s="46"/>
      <c r="AA113" s="46"/>
      <c r="AG113" s="100" t="s">
        <v>9</v>
      </c>
      <c r="AH113" s="100">
        <f>+AJ113*0.88</f>
        <v>22844499.039999999</v>
      </c>
      <c r="AI113" s="100">
        <f t="shared" si="10"/>
        <v>3115158.9600000009</v>
      </c>
      <c r="AJ113" s="102">
        <f>25876325+83333</f>
        <v>25959658</v>
      </c>
      <c r="AK113" s="27">
        <f t="shared" si="11"/>
        <v>0.88</v>
      </c>
      <c r="AL113" s="27">
        <f t="shared" si="12"/>
        <v>0.12000000000000004</v>
      </c>
    </row>
    <row r="114" spans="1:38">
      <c r="A114" s="8" t="s">
        <v>10</v>
      </c>
      <c r="B114" s="31">
        <f t="shared" si="9"/>
        <v>0.220501009649436</v>
      </c>
      <c r="C114" s="31">
        <f>+F114/D114</f>
        <v>0.77949899035056402</v>
      </c>
      <c r="D114" s="30">
        <f>+F114+E114</f>
        <v>7032639</v>
      </c>
      <c r="E114" s="29">
        <v>1550704</v>
      </c>
      <c r="F114" s="29">
        <v>5481935</v>
      </c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8"/>
      <c r="W114" s="8"/>
      <c r="X114" s="8"/>
      <c r="Y114" s="8"/>
      <c r="Z114" s="46"/>
      <c r="AA114" s="46"/>
      <c r="AG114" s="100" t="s">
        <v>10</v>
      </c>
      <c r="AH114" s="100">
        <f>+AJ114*0.71</f>
        <v>11167980.5</v>
      </c>
      <c r="AI114" s="100">
        <f t="shared" si="10"/>
        <v>4561569.5</v>
      </c>
      <c r="AJ114" s="102">
        <f>15646213+83337</f>
        <v>15729550</v>
      </c>
      <c r="AK114" s="27">
        <f t="shared" si="11"/>
        <v>0.71</v>
      </c>
      <c r="AL114" s="27">
        <f t="shared" si="12"/>
        <v>0.28999999999999998</v>
      </c>
    </row>
    <row r="115" spans="1:38">
      <c r="A115" s="8" t="s">
        <v>11</v>
      </c>
      <c r="B115" s="31">
        <f t="shared" si="9"/>
        <v>0.15880671320876266</v>
      </c>
      <c r="C115" s="31">
        <f>+F115/D115</f>
        <v>0.84119328679123728</v>
      </c>
      <c r="D115" s="30">
        <v>10844233</v>
      </c>
      <c r="E115" s="29">
        <v>1722137</v>
      </c>
      <c r="F115" s="29">
        <v>9122096</v>
      </c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8"/>
      <c r="W115" s="8"/>
      <c r="X115" s="8"/>
      <c r="Y115" s="8"/>
      <c r="Z115" s="46"/>
      <c r="AA115" s="46"/>
      <c r="AG115" s="100" t="s">
        <v>11</v>
      </c>
      <c r="AH115" s="100">
        <f>+AJ115*0.8</f>
        <v>10090264</v>
      </c>
      <c r="AI115" s="100">
        <f t="shared" si="10"/>
        <v>2522566</v>
      </c>
      <c r="AJ115" s="102">
        <f>12529497+83333</f>
        <v>12612830</v>
      </c>
      <c r="AK115" s="27">
        <f t="shared" si="11"/>
        <v>0.8</v>
      </c>
      <c r="AL115" s="27">
        <f t="shared" si="12"/>
        <v>0.2</v>
      </c>
    </row>
    <row r="116" spans="1:38"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</row>
    <row r="117" spans="1:38">
      <c r="A117" s="12" t="s">
        <v>12</v>
      </c>
      <c r="B117" s="35">
        <f>+E117/D117</f>
        <v>0.24761145248299357</v>
      </c>
      <c r="C117" s="35">
        <f>+F117/D117</f>
        <v>0.75238854751700646</v>
      </c>
      <c r="D117" s="34">
        <f>SUM(D104:D115)</f>
        <v>150879770</v>
      </c>
      <c r="E117" s="33">
        <f>SUM(E104:E116)</f>
        <v>37359559</v>
      </c>
      <c r="F117" s="33">
        <f>SUM(F104:F116)</f>
        <v>113520211</v>
      </c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12"/>
      <c r="W117" s="12"/>
      <c r="X117" s="12"/>
      <c r="Y117" s="12"/>
      <c r="Z117" s="12"/>
      <c r="AA117" s="12"/>
      <c r="AG117" s="105" t="s">
        <v>12</v>
      </c>
      <c r="AH117" s="95">
        <f>SUM(AH104:AH116)</f>
        <v>124723302.31999999</v>
      </c>
      <c r="AI117" s="95">
        <f>SUM(AI104:AI116)</f>
        <v>36276697.679999992</v>
      </c>
      <c r="AJ117" s="103">
        <f>SUM(AH117:AI117)</f>
        <v>161000000</v>
      </c>
      <c r="AK117" s="1"/>
      <c r="AL117" s="1"/>
    </row>
    <row r="120" spans="1:38">
      <c r="F120" t="s">
        <v>27</v>
      </c>
    </row>
    <row r="123" spans="1:38">
      <c r="B123" t="s">
        <v>25</v>
      </c>
      <c r="C123" t="s">
        <v>24</v>
      </c>
      <c r="D123" s="1" t="s">
        <v>12</v>
      </c>
      <c r="E123" s="1" t="s">
        <v>13</v>
      </c>
      <c r="F123" s="1" t="s">
        <v>23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spans="1:38">
      <c r="A124" s="8" t="s">
        <v>0</v>
      </c>
      <c r="B124" s="31">
        <f t="shared" ref="B124:B135" si="13">+E124/D124</f>
        <v>0.35</v>
      </c>
      <c r="C124" s="31">
        <f>+F124/D124</f>
        <v>0.65</v>
      </c>
      <c r="D124" s="28">
        <f>7425917+83333</f>
        <v>7509250</v>
      </c>
      <c r="E124" s="29">
        <f>+D124-F124</f>
        <v>2628237.5</v>
      </c>
      <c r="F124" s="29">
        <f>+D124*0.65</f>
        <v>4881012.5</v>
      </c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8"/>
      <c r="W124" s="8"/>
      <c r="X124" s="8"/>
      <c r="Y124" s="8"/>
      <c r="Z124" s="46"/>
      <c r="AA124" s="46"/>
    </row>
    <row r="125" spans="1:38">
      <c r="A125" s="8" t="s">
        <v>1</v>
      </c>
      <c r="B125" s="31">
        <f t="shared" si="13"/>
        <v>0.22999999999999995</v>
      </c>
      <c r="C125" s="31">
        <f>+F125/D125</f>
        <v>0.77</v>
      </c>
      <c r="D125" s="28">
        <f>10043235+83333</f>
        <v>10126568</v>
      </c>
      <c r="E125" s="29">
        <f>+D125-F125</f>
        <v>2329110.6399999997</v>
      </c>
      <c r="F125" s="29">
        <f>+D125*0.77</f>
        <v>7797457.3600000003</v>
      </c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8"/>
      <c r="W125" s="8"/>
      <c r="X125" s="8"/>
      <c r="Y125" s="8"/>
      <c r="Z125" s="46"/>
      <c r="AA125" s="46"/>
    </row>
    <row r="126" spans="1:38">
      <c r="A126" s="8" t="s">
        <v>2</v>
      </c>
      <c r="B126" s="31">
        <f t="shared" si="13"/>
        <v>0.13999999999999999</v>
      </c>
      <c r="C126" s="31">
        <f>+F126/D126</f>
        <v>0.86</v>
      </c>
      <c r="D126" s="28">
        <f>11824104+83333</f>
        <v>11907437</v>
      </c>
      <c r="E126" s="29">
        <f>+D126-F126</f>
        <v>1667041.1799999997</v>
      </c>
      <c r="F126" s="29">
        <f>+D126*0.86</f>
        <v>10240395.82</v>
      </c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8"/>
      <c r="W126" s="8"/>
      <c r="X126" s="8"/>
      <c r="Y126" s="8"/>
      <c r="Z126" s="46"/>
      <c r="AA126" s="46"/>
    </row>
    <row r="127" spans="1:38">
      <c r="A127" s="8" t="s">
        <v>3</v>
      </c>
      <c r="B127" s="31">
        <f t="shared" si="13"/>
        <v>0.18999999999999997</v>
      </c>
      <c r="C127" s="31">
        <f>+F127/D127</f>
        <v>0.81</v>
      </c>
      <c r="D127" s="28">
        <f>18414757+83333</f>
        <v>18498090</v>
      </c>
      <c r="E127" s="29">
        <f>+D127-F127</f>
        <v>3514637.0999999996</v>
      </c>
      <c r="F127" s="29">
        <f>+D127*0.81</f>
        <v>14983452.9</v>
      </c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8"/>
      <c r="W127" s="8"/>
      <c r="X127" s="8"/>
      <c r="Y127" s="8"/>
      <c r="Z127" s="46"/>
      <c r="AA127" s="46"/>
    </row>
    <row r="128" spans="1:38">
      <c r="A128" s="8" t="s">
        <v>4</v>
      </c>
      <c r="B128" s="31">
        <f t="shared" si="13"/>
        <v>0.26999999999999996</v>
      </c>
      <c r="C128" s="31">
        <f>+F128/D128</f>
        <v>0.73</v>
      </c>
      <c r="D128" s="28">
        <f>14603139+83333</f>
        <v>14686472</v>
      </c>
      <c r="E128" s="29">
        <f>+D128-F128</f>
        <v>3965347.4399999995</v>
      </c>
      <c r="F128" s="29">
        <f>+D128*0.73</f>
        <v>10721124.560000001</v>
      </c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8"/>
      <c r="W128" s="8"/>
      <c r="X128" s="8"/>
      <c r="Y128" s="8"/>
      <c r="Z128" s="46"/>
      <c r="AA128" s="46"/>
    </row>
    <row r="129" spans="1:27">
      <c r="A129" s="8" t="s">
        <v>21</v>
      </c>
      <c r="B129" s="31">
        <f t="shared" si="13"/>
        <v>9.9999999999999964E-2</v>
      </c>
      <c r="C129" s="31">
        <f>+F129/D129</f>
        <v>0.9</v>
      </c>
      <c r="D129" s="28">
        <f>11590158+83333</f>
        <v>11673491</v>
      </c>
      <c r="E129" s="29">
        <f>+D129-F129</f>
        <v>1167349.0999999996</v>
      </c>
      <c r="F129" s="29">
        <f>+D129*0.9</f>
        <v>10506141.9</v>
      </c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8"/>
      <c r="W129" s="8"/>
      <c r="X129" s="8"/>
      <c r="Y129" s="8"/>
      <c r="Z129" s="46"/>
      <c r="AA129" s="46"/>
    </row>
    <row r="130" spans="1:27">
      <c r="A130" s="8" t="s">
        <v>22</v>
      </c>
      <c r="B130" s="31">
        <f t="shared" si="13"/>
        <v>0.35000000946382331</v>
      </c>
      <c r="C130" s="31">
        <f>+F130/D130</f>
        <v>0.64999999053617674</v>
      </c>
      <c r="D130" s="28">
        <f>10483221+83333</f>
        <v>10566554</v>
      </c>
      <c r="E130" s="29">
        <f>+D130-F130</f>
        <v>3698294</v>
      </c>
      <c r="F130" s="29">
        <v>6868260</v>
      </c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8"/>
      <c r="W130" s="8"/>
      <c r="X130" s="8"/>
      <c r="Y130" s="8"/>
      <c r="Z130" s="46"/>
      <c r="AA130" s="46"/>
    </row>
    <row r="131" spans="1:27">
      <c r="A131" s="8" t="s">
        <v>7</v>
      </c>
      <c r="B131" s="31">
        <f t="shared" si="13"/>
        <v>0.37</v>
      </c>
      <c r="C131" s="31">
        <f>+F131/D131</f>
        <v>0.63</v>
      </c>
      <c r="D131" s="28">
        <f>9987384+83333</f>
        <v>10070717</v>
      </c>
      <c r="E131" s="29">
        <f>+D131-F131</f>
        <v>3726165.29</v>
      </c>
      <c r="F131" s="29">
        <f>+D131*0.63</f>
        <v>6344551.71</v>
      </c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8"/>
      <c r="W131" s="8"/>
      <c r="X131" s="8"/>
      <c r="Y131" s="8"/>
      <c r="Z131" s="46"/>
      <c r="AA131" s="46"/>
    </row>
    <row r="132" spans="1:27">
      <c r="A132" s="8" t="s">
        <v>8</v>
      </c>
      <c r="B132" s="31">
        <f t="shared" si="13"/>
        <v>0.29000000000000004</v>
      </c>
      <c r="C132" s="31">
        <f>+F132/D132</f>
        <v>0.71</v>
      </c>
      <c r="D132" s="28">
        <f>11576050+83333</f>
        <v>11659383</v>
      </c>
      <c r="E132" s="29">
        <f>+D132-F132</f>
        <v>3381221.0700000003</v>
      </c>
      <c r="F132" s="29">
        <f>+D132*0.71</f>
        <v>8278161.9299999997</v>
      </c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8"/>
      <c r="W132" s="8"/>
      <c r="X132" s="8"/>
      <c r="Y132" s="8"/>
      <c r="Z132" s="46"/>
      <c r="AA132" s="46"/>
    </row>
    <row r="133" spans="1:27">
      <c r="A133" s="8" t="s">
        <v>9</v>
      </c>
      <c r="B133" s="31">
        <f t="shared" si="13"/>
        <v>0.12000000000000004</v>
      </c>
      <c r="C133" s="31">
        <f>+F133/D133</f>
        <v>0.88</v>
      </c>
      <c r="D133" s="28">
        <f>25876325+83333</f>
        <v>25959658</v>
      </c>
      <c r="E133" s="29">
        <f>+D133-F133</f>
        <v>3115158.9600000009</v>
      </c>
      <c r="F133" s="29">
        <f>+D133*0.88</f>
        <v>22844499.039999999</v>
      </c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8"/>
      <c r="W133" s="8"/>
      <c r="X133" s="8"/>
      <c r="Y133" s="8"/>
      <c r="Z133" s="46"/>
      <c r="AA133" s="46"/>
    </row>
    <row r="134" spans="1:27">
      <c r="A134" s="8" t="s">
        <v>10</v>
      </c>
      <c r="B134" s="31">
        <f t="shared" si="13"/>
        <v>0.28999999999999998</v>
      </c>
      <c r="C134" s="31">
        <f>+F134/D134</f>
        <v>0.71</v>
      </c>
      <c r="D134" s="28">
        <f>15646213+83337</f>
        <v>15729550</v>
      </c>
      <c r="E134" s="29">
        <f>+D134-F134</f>
        <v>4561569.5</v>
      </c>
      <c r="F134" s="29">
        <f>+D134*0.71</f>
        <v>11167980.5</v>
      </c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8"/>
      <c r="W134" s="8"/>
      <c r="X134" s="8"/>
      <c r="Y134" s="8"/>
      <c r="Z134" s="46"/>
      <c r="AA134" s="46"/>
    </row>
    <row r="135" spans="1:27">
      <c r="A135" s="8" t="s">
        <v>11</v>
      </c>
      <c r="B135" s="31">
        <f t="shared" si="13"/>
        <v>0.2</v>
      </c>
      <c r="C135" s="31">
        <f>+F135/D135</f>
        <v>0.8</v>
      </c>
      <c r="D135" s="28">
        <f>12529497+83333</f>
        <v>12612830</v>
      </c>
      <c r="E135" s="29">
        <f>+D135-F135</f>
        <v>2522566</v>
      </c>
      <c r="F135" s="29">
        <f>+D135*0.8</f>
        <v>10090264</v>
      </c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8"/>
      <c r="W135" s="8"/>
      <c r="X135" s="8"/>
      <c r="Y135" s="8"/>
      <c r="Z135" s="46"/>
      <c r="AA135" s="46"/>
    </row>
    <row r="137" spans="1:27">
      <c r="A137" s="12" t="s">
        <v>12</v>
      </c>
      <c r="B137" s="1"/>
      <c r="C137" s="1"/>
      <c r="D137" s="36">
        <f>SUM(F137:F137)</f>
        <v>124723302.22</v>
      </c>
      <c r="E137" s="33">
        <f>SUM(E124:E136)</f>
        <v>36276697.780000001</v>
      </c>
      <c r="F137" s="33">
        <f>SUM(F124:F136)</f>
        <v>124723302.22</v>
      </c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12"/>
      <c r="W137" s="12"/>
      <c r="X137" s="12"/>
      <c r="Y137" s="12"/>
      <c r="Z137" s="12"/>
      <c r="AA137" s="12"/>
    </row>
    <row r="190" spans="5:34">
      <c r="E190" t="s">
        <v>34</v>
      </c>
      <c r="AH190" s="94" t="s">
        <v>36</v>
      </c>
    </row>
    <row r="194" spans="1:27" ht="15.75">
      <c r="A194" s="6"/>
      <c r="B194" s="45"/>
      <c r="C194" s="44"/>
      <c r="D194" s="43"/>
      <c r="E194" s="42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0"/>
      <c r="W194" s="6"/>
      <c r="X194" s="6"/>
      <c r="Y194" s="6"/>
      <c r="Z194" s="6"/>
      <c r="AA194" s="6"/>
    </row>
    <row r="195" spans="1:27" ht="15.75">
      <c r="A195" s="6"/>
      <c r="B195" s="45"/>
      <c r="C195" s="44"/>
      <c r="D195" s="43"/>
      <c r="E195" s="42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0"/>
      <c r="W195" s="6"/>
      <c r="X195" s="6"/>
      <c r="Y195" s="6"/>
      <c r="Z195" s="6"/>
      <c r="AA195" s="6"/>
    </row>
    <row r="196" spans="1:27">
      <c r="A196" s="46"/>
      <c r="B196" s="37"/>
      <c r="C196" s="49"/>
      <c r="D196" s="10"/>
      <c r="E196" s="48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47"/>
      <c r="W196" s="46"/>
      <c r="X196" s="46"/>
      <c r="Y196" s="46"/>
      <c r="Z196" s="46"/>
      <c r="AA196" s="46"/>
    </row>
    <row r="197" spans="1:27">
      <c r="A197" s="46"/>
      <c r="B197" s="37"/>
      <c r="C197" s="49"/>
      <c r="D197" s="10"/>
      <c r="E197" s="57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47"/>
      <c r="W197" s="46"/>
      <c r="X197" s="46"/>
      <c r="Y197" s="46"/>
      <c r="Z197" s="46"/>
      <c r="AA197" s="46"/>
    </row>
    <row r="198" spans="1:27">
      <c r="A198" s="46"/>
      <c r="B198" s="37"/>
      <c r="C198" s="49"/>
      <c r="D198" s="10"/>
      <c r="E198" s="57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47"/>
      <c r="W198" s="46"/>
      <c r="X198" s="46"/>
      <c r="Y198" s="46"/>
      <c r="Z198" s="46"/>
      <c r="AA198" s="46"/>
    </row>
    <row r="199" spans="1:27">
      <c r="A199" s="46"/>
      <c r="B199" s="37"/>
      <c r="C199" s="49"/>
      <c r="D199" s="10"/>
      <c r="E199" s="57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47"/>
      <c r="W199" s="46"/>
      <c r="X199" s="46"/>
      <c r="Y199" s="46"/>
      <c r="Z199" s="46"/>
      <c r="AA199" s="46"/>
    </row>
    <row r="200" spans="1:27">
      <c r="A200" s="46"/>
      <c r="B200" s="37"/>
      <c r="C200" s="49"/>
      <c r="D200" s="10"/>
      <c r="E200" s="57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47"/>
      <c r="W200" s="46"/>
      <c r="X200" s="46"/>
      <c r="Y200" s="46"/>
      <c r="Z200" s="46"/>
      <c r="AA200" s="46"/>
    </row>
    <row r="201" spans="1:27">
      <c r="A201" s="46"/>
      <c r="B201" s="37"/>
      <c r="C201" s="49"/>
      <c r="D201" s="10"/>
      <c r="E201" s="57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47"/>
      <c r="W201" s="46"/>
      <c r="X201" s="46"/>
      <c r="Y201" s="46"/>
      <c r="Z201" s="46"/>
      <c r="AA201" s="46"/>
    </row>
    <row r="202" spans="1:27">
      <c r="A202" s="46"/>
      <c r="B202" s="37"/>
      <c r="C202" s="49"/>
      <c r="D202" s="10"/>
      <c r="E202" s="57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47"/>
      <c r="W202" s="46"/>
      <c r="X202" s="46"/>
      <c r="Y202" s="46"/>
      <c r="Z202" s="46"/>
      <c r="AA202" s="46"/>
    </row>
    <row r="209" spans="1:37">
      <c r="A209" s="46"/>
      <c r="B209" s="37"/>
      <c r="C209" s="49"/>
      <c r="D209" s="10"/>
      <c r="E209" s="9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47"/>
      <c r="W209" s="46"/>
      <c r="X209" s="46"/>
      <c r="Y209" s="46"/>
      <c r="Z209" s="46"/>
      <c r="AA209" s="46"/>
    </row>
    <row r="210" spans="1:37">
      <c r="A210" s="46"/>
      <c r="B210" s="55"/>
      <c r="C210" s="54"/>
      <c r="D210" s="53"/>
      <c r="E210" s="52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46"/>
      <c r="W210" s="46"/>
      <c r="X210" s="46"/>
      <c r="Y210" s="46"/>
      <c r="Z210" s="46"/>
      <c r="AA210" s="46"/>
    </row>
    <row r="218" spans="1:37">
      <c r="B218" s="1" t="s">
        <v>21</v>
      </c>
      <c r="C218" s="1" t="s">
        <v>4</v>
      </c>
      <c r="D218" s="1" t="s">
        <v>3</v>
      </c>
      <c r="E218" s="1" t="s">
        <v>2</v>
      </c>
      <c r="F218" s="1" t="s">
        <v>1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 t="s">
        <v>0</v>
      </c>
      <c r="AB218" s="1" t="s">
        <v>22</v>
      </c>
      <c r="AC218" s="1" t="s">
        <v>7</v>
      </c>
      <c r="AD218" s="1"/>
      <c r="AE218" s="95" t="s">
        <v>8</v>
      </c>
      <c r="AF218" s="1" t="s">
        <v>9</v>
      </c>
      <c r="AG218" s="95" t="s">
        <v>10</v>
      </c>
      <c r="AH218" s="95" t="s">
        <v>11</v>
      </c>
      <c r="AI218" s="95" t="s">
        <v>12</v>
      </c>
      <c r="AJ218" s="95" t="s">
        <v>28</v>
      </c>
      <c r="AK218" s="1" t="s">
        <v>29</v>
      </c>
    </row>
    <row r="220" spans="1:37">
      <c r="A220" s="58" t="s">
        <v>30</v>
      </c>
      <c r="B220" s="59"/>
      <c r="C220" s="59">
        <v>9258076.4800000004</v>
      </c>
      <c r="D220" s="59">
        <v>16012117.9</v>
      </c>
      <c r="E220" s="59">
        <v>12097723.300000001</v>
      </c>
      <c r="F220" s="59">
        <v>7102504.2999999998</v>
      </c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>
        <v>2446416.7799999998</v>
      </c>
      <c r="W220" s="58"/>
      <c r="X220" s="58"/>
      <c r="Y220" s="58"/>
      <c r="Z220" s="58"/>
      <c r="AA220" s="58"/>
      <c r="AB220" s="59"/>
      <c r="AC220" s="59"/>
      <c r="AD220" s="59"/>
      <c r="AE220" s="96"/>
      <c r="AF220" s="59"/>
      <c r="AG220" s="96"/>
      <c r="AH220" s="96"/>
      <c r="AI220" s="94">
        <f>SUM(V220:AH220)</f>
        <v>2446416.7799999998</v>
      </c>
      <c r="AJ220" s="104">
        <f>+AI220-AI221</f>
        <v>-5120834.2200000007</v>
      </c>
      <c r="AK220" s="60">
        <f>+AJ220/AI221</f>
        <v>-0.67670997301397839</v>
      </c>
    </row>
    <row r="221" spans="1:37">
      <c r="A221" s="67" t="s">
        <v>31</v>
      </c>
      <c r="B221" s="38">
        <v>11673491</v>
      </c>
      <c r="C221" s="68">
        <v>14686472</v>
      </c>
      <c r="D221" s="68">
        <v>18498090</v>
      </c>
      <c r="E221" s="68">
        <v>11907437</v>
      </c>
      <c r="F221" s="68">
        <v>10126568</v>
      </c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68"/>
      <c r="V221" s="68">
        <v>7567251</v>
      </c>
      <c r="W221" s="67"/>
      <c r="X221" s="67"/>
      <c r="Y221" s="67"/>
      <c r="Z221" s="67"/>
      <c r="AA221" s="67"/>
      <c r="AB221" s="38">
        <v>10556554</v>
      </c>
      <c r="AC221" s="38">
        <v>10070717</v>
      </c>
      <c r="AD221" s="38"/>
      <c r="AE221" s="97">
        <v>11659383</v>
      </c>
      <c r="AF221" s="38">
        <v>25959608</v>
      </c>
      <c r="AG221" s="97">
        <v>15729551</v>
      </c>
      <c r="AH221" s="97">
        <v>12612830</v>
      </c>
      <c r="AI221" s="94">
        <f>SUM(V221:V221)</f>
        <v>7567251</v>
      </c>
    </row>
    <row r="222" spans="1:37">
      <c r="A222" s="8" t="s">
        <v>19</v>
      </c>
      <c r="B222" s="38"/>
      <c r="C222" s="61">
        <f>+C220-C221</f>
        <v>-5428395.5199999996</v>
      </c>
      <c r="D222" s="61">
        <f>+D220-D221</f>
        <v>-2485972.0999999996</v>
      </c>
      <c r="E222" s="38">
        <f>+E220-E221</f>
        <v>190286.30000000075</v>
      </c>
      <c r="F222" s="61">
        <f>+F220-F221</f>
        <v>-3024063.7</v>
      </c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>
        <f>+V220-V221</f>
        <v>-5120834.2200000007</v>
      </c>
      <c r="W222" s="8"/>
      <c r="X222" s="8"/>
      <c r="Y222" s="8"/>
      <c r="Z222" s="8"/>
      <c r="AA222" s="8"/>
      <c r="AB222" s="38"/>
      <c r="AC222" s="38"/>
      <c r="AD222" s="38"/>
      <c r="AE222" s="97"/>
      <c r="AF222" s="38"/>
      <c r="AG222" s="97"/>
      <c r="AH222" s="97"/>
    </row>
    <row r="223" spans="1:37">
      <c r="A223" s="8" t="s">
        <v>32</v>
      </c>
      <c r="B223" s="63"/>
      <c r="C223" s="62">
        <f>+C222/C221</f>
        <v>-0.36961875663535798</v>
      </c>
      <c r="D223" s="62">
        <f>+D222/D221</f>
        <v>-0.13439074520666727</v>
      </c>
      <c r="E223" s="63">
        <f>+E222/E221</f>
        <v>1.5980458263184658E-2</v>
      </c>
      <c r="F223" s="62">
        <f>+F222/F221</f>
        <v>-0.29862671143866315</v>
      </c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>
        <f>+V222/V221</f>
        <v>-0.67670997301397839</v>
      </c>
      <c r="W223" s="8"/>
      <c r="X223" s="8"/>
      <c r="Y223" s="8"/>
      <c r="Z223" s="8"/>
      <c r="AA223" s="8"/>
      <c r="AB223" s="63"/>
      <c r="AC223" s="63"/>
      <c r="AD223" s="63"/>
      <c r="AE223" s="97"/>
      <c r="AF223" s="63"/>
      <c r="AG223" s="97"/>
      <c r="AH223" s="97"/>
    </row>
    <row r="225" spans="1:37">
      <c r="C225" s="1" t="s">
        <v>4</v>
      </c>
      <c r="D225" s="1" t="s">
        <v>3</v>
      </c>
      <c r="E225" s="1" t="s">
        <v>2</v>
      </c>
      <c r="F225" s="1" t="s">
        <v>1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 t="s">
        <v>0</v>
      </c>
    </row>
    <row r="226" spans="1:37">
      <c r="A226" s="58" t="s">
        <v>30</v>
      </c>
      <c r="C226" s="69">
        <v>26</v>
      </c>
      <c r="D226" s="69">
        <v>57</v>
      </c>
      <c r="E226" s="69">
        <v>51</v>
      </c>
      <c r="F226" s="69">
        <v>17</v>
      </c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>
        <v>8</v>
      </c>
      <c r="W226" s="58"/>
      <c r="X226" s="58"/>
      <c r="Y226" s="58"/>
      <c r="Z226" s="122"/>
      <c r="AA226" s="122"/>
      <c r="AI226" s="94">
        <f>SUM(V226:V226)</f>
        <v>8</v>
      </c>
      <c r="AJ226" s="104">
        <f>+AI226-AI227</f>
        <v>-6</v>
      </c>
      <c r="AK226" s="60">
        <f>+AJ226/AI227</f>
        <v>-0.42857142857142855</v>
      </c>
    </row>
    <row r="227" spans="1:37">
      <c r="A227" s="67" t="s">
        <v>31</v>
      </c>
      <c r="C227" s="70">
        <v>26</v>
      </c>
      <c r="D227" s="70">
        <v>57</v>
      </c>
      <c r="E227" s="70">
        <v>69</v>
      </c>
      <c r="F227" s="70">
        <v>19</v>
      </c>
      <c r="G227" s="70"/>
      <c r="H227" s="70"/>
      <c r="I227" s="70"/>
      <c r="J227" s="70"/>
      <c r="K227" s="70"/>
      <c r="L227" s="70"/>
      <c r="M227" s="70"/>
      <c r="N227" s="70"/>
      <c r="O227" s="70"/>
      <c r="P227" s="70"/>
      <c r="Q227" s="70"/>
      <c r="R227" s="70"/>
      <c r="S227" s="70"/>
      <c r="T227" s="70"/>
      <c r="U227" s="70"/>
      <c r="V227" s="70">
        <v>14</v>
      </c>
      <c r="W227" s="67"/>
      <c r="X227" s="67"/>
      <c r="Y227" s="67"/>
      <c r="Z227" s="123"/>
      <c r="AA227" s="123"/>
      <c r="AI227" s="94">
        <f>SUM(V227:AH227)</f>
        <v>14</v>
      </c>
    </row>
    <row r="231" spans="1:37">
      <c r="A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74"/>
      <c r="AA231" s="74"/>
    </row>
    <row r="240" spans="1:37">
      <c r="E240" t="s">
        <v>15</v>
      </c>
      <c r="AH240" s="94" t="s">
        <v>42</v>
      </c>
    </row>
    <row r="241" spans="5:34">
      <c r="E241" t="s">
        <v>35</v>
      </c>
      <c r="AH241" s="94" t="s">
        <v>35</v>
      </c>
    </row>
    <row r="270" spans="1:37">
      <c r="B270" s="1" t="s">
        <v>21</v>
      </c>
      <c r="C270" s="1" t="s">
        <v>4</v>
      </c>
      <c r="D270" s="1" t="s">
        <v>3</v>
      </c>
      <c r="E270" s="1" t="s">
        <v>2</v>
      </c>
      <c r="F270" s="1" t="s">
        <v>1</v>
      </c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 t="s">
        <v>0</v>
      </c>
      <c r="AB270" s="1" t="s">
        <v>22</v>
      </c>
      <c r="AC270" s="1" t="s">
        <v>7</v>
      </c>
      <c r="AD270" s="1"/>
      <c r="AE270" s="95" t="s">
        <v>8</v>
      </c>
      <c r="AF270" s="1" t="s">
        <v>9</v>
      </c>
      <c r="AG270" s="95" t="s">
        <v>10</v>
      </c>
      <c r="AH270" s="95" t="s">
        <v>11</v>
      </c>
    </row>
    <row r="272" spans="1:37">
      <c r="A272" s="58" t="s">
        <v>30</v>
      </c>
      <c r="B272" s="64"/>
      <c r="C272" s="59">
        <v>9258076.4800000004</v>
      </c>
      <c r="D272" s="59">
        <v>16012117.9</v>
      </c>
      <c r="E272" s="59">
        <v>12097723.300000001</v>
      </c>
      <c r="F272" s="59">
        <v>7102504.2999999998</v>
      </c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>
        <v>2446416.7799999998</v>
      </c>
      <c r="W272" s="58"/>
      <c r="X272" s="58"/>
      <c r="Y272" s="58"/>
      <c r="Z272" s="58"/>
      <c r="AA272" s="58"/>
      <c r="AB272" s="64"/>
      <c r="AC272" s="64"/>
      <c r="AD272" s="64"/>
      <c r="AE272" s="96"/>
      <c r="AF272" s="64"/>
      <c r="AG272" s="96"/>
      <c r="AH272" s="96"/>
      <c r="AI272" s="94">
        <f>SUM(V272:V272)</f>
        <v>2446416.7799999998</v>
      </c>
      <c r="AJ272" s="104">
        <f>+AI272-AI273</f>
        <v>-1106634.2200000002</v>
      </c>
      <c r="AK272" s="60">
        <f>+AJ272/AI273</f>
        <v>-0.31146026893506462</v>
      </c>
    </row>
    <row r="273" spans="1:35">
      <c r="A273" s="65" t="s">
        <v>33</v>
      </c>
      <c r="B273" s="6"/>
      <c r="C273" s="66">
        <v>12778856</v>
      </c>
      <c r="D273" s="66">
        <v>21360973</v>
      </c>
      <c r="E273" s="66">
        <v>14745449</v>
      </c>
      <c r="F273" s="66">
        <v>3339414</v>
      </c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>
        <v>3553051</v>
      </c>
      <c r="W273" s="108"/>
      <c r="X273" s="108"/>
      <c r="Y273" s="108"/>
      <c r="Z273" s="108"/>
      <c r="AA273" s="108"/>
      <c r="AB273" s="6"/>
      <c r="AC273" s="6"/>
      <c r="AD273" s="6"/>
      <c r="AE273" s="98"/>
      <c r="AF273" s="6"/>
      <c r="AG273" s="98"/>
      <c r="AH273" s="98"/>
      <c r="AI273" s="94">
        <f>SUM(V273:AH273)</f>
        <v>3553051</v>
      </c>
    </row>
    <row r="274" spans="1:35">
      <c r="A274" s="8">
        <v>2007</v>
      </c>
      <c r="B274" s="2">
        <v>10251598</v>
      </c>
      <c r="C274" s="2">
        <v>12778856</v>
      </c>
      <c r="D274" s="2">
        <v>21360973</v>
      </c>
      <c r="E274" s="2">
        <v>14745449</v>
      </c>
      <c r="F274" s="2">
        <v>3339414</v>
      </c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>
        <v>3553051</v>
      </c>
      <c r="W274" s="46"/>
      <c r="X274" s="46"/>
      <c r="Y274" s="46"/>
      <c r="Z274" s="46"/>
      <c r="AA274" s="46"/>
      <c r="AB274" s="2">
        <v>43380507</v>
      </c>
      <c r="AC274" s="2">
        <v>10912236</v>
      </c>
      <c r="AD274" s="2"/>
      <c r="AE274" s="94">
        <v>5669222</v>
      </c>
      <c r="AF274" s="2">
        <v>7011592</v>
      </c>
      <c r="AG274" s="94">
        <v>7032639</v>
      </c>
      <c r="AH274" s="94">
        <v>10844233</v>
      </c>
      <c r="AI274" s="94">
        <f>SUM(V274:AH274)</f>
        <v>88403480</v>
      </c>
    </row>
    <row r="275" spans="1:35">
      <c r="A275" s="8" t="s">
        <v>19</v>
      </c>
      <c r="B275" s="20"/>
      <c r="C275" s="61">
        <f>+C272-C273</f>
        <v>-3520779.5199999996</v>
      </c>
      <c r="D275" s="61">
        <f>+D272-D273</f>
        <v>-5348855.0999999996</v>
      </c>
      <c r="E275" s="61">
        <f>+E272-E273</f>
        <v>-2647725.6999999993</v>
      </c>
      <c r="F275" s="38">
        <f>+F272-F273</f>
        <v>3763090.3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61">
        <f>+V272-V273</f>
        <v>-1106634.2200000002</v>
      </c>
      <c r="W275" s="8"/>
      <c r="X275" s="8"/>
      <c r="Y275" s="8"/>
      <c r="Z275" s="8"/>
      <c r="AA275" s="8"/>
      <c r="AB275" s="20"/>
      <c r="AC275" s="20"/>
      <c r="AD275" s="20"/>
      <c r="AE275" s="97"/>
      <c r="AF275" s="20"/>
      <c r="AG275" s="97"/>
      <c r="AH275" s="97"/>
    </row>
    <row r="276" spans="1:35">
      <c r="A276" s="8" t="s">
        <v>32</v>
      </c>
      <c r="B276" s="63"/>
      <c r="C276" s="62">
        <f>+C275/C274</f>
        <v>-0.27551601802227049</v>
      </c>
      <c r="D276" s="62">
        <f>+D275/D274</f>
        <v>-0.25040315813329289</v>
      </c>
      <c r="E276" s="62">
        <f>+E275/E274</f>
        <v>-0.17956222967506782</v>
      </c>
      <c r="F276" s="63">
        <f>+F275/F274</f>
        <v>1.1268714510989053</v>
      </c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2">
        <f>+V275/V274</f>
        <v>-0.31146026893506462</v>
      </c>
      <c r="W276" s="8"/>
      <c r="X276" s="8"/>
      <c r="Y276" s="8"/>
      <c r="Z276" s="8"/>
      <c r="AA276" s="8"/>
      <c r="AB276" s="63"/>
      <c r="AC276" s="63"/>
      <c r="AD276" s="63"/>
      <c r="AE276" s="97"/>
      <c r="AF276" s="63"/>
      <c r="AG276" s="97"/>
      <c r="AH276" s="97"/>
    </row>
    <row r="280" spans="1:35">
      <c r="C280" s="1" t="s">
        <v>4</v>
      </c>
      <c r="D280" s="1" t="s">
        <v>3</v>
      </c>
      <c r="E280" s="1" t="s">
        <v>2</v>
      </c>
      <c r="F280" s="1" t="s">
        <v>1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 t="s">
        <v>0</v>
      </c>
    </row>
    <row r="282" spans="1:35">
      <c r="A282" s="58" t="s">
        <v>30</v>
      </c>
      <c r="C282" s="69">
        <v>26</v>
      </c>
      <c r="D282" s="69">
        <v>57</v>
      </c>
      <c r="E282" s="69">
        <v>51</v>
      </c>
      <c r="F282" s="69">
        <v>17</v>
      </c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>
        <v>8</v>
      </c>
      <c r="W282" s="58"/>
      <c r="X282" s="58"/>
      <c r="Y282" s="58"/>
      <c r="Z282" s="122"/>
      <c r="AA282" s="122"/>
    </row>
    <row r="283" spans="1:35">
      <c r="A283" s="65" t="s">
        <v>33</v>
      </c>
      <c r="C283" s="71">
        <v>23</v>
      </c>
      <c r="D283" s="71">
        <v>50</v>
      </c>
      <c r="E283" s="71">
        <v>59</v>
      </c>
      <c r="F283" s="71">
        <v>15</v>
      </c>
      <c r="G283" s="71"/>
      <c r="H283" s="71"/>
      <c r="I283" s="71"/>
      <c r="J283" s="71"/>
      <c r="K283" s="71"/>
      <c r="L283" s="71"/>
      <c r="M283" s="71"/>
      <c r="N283" s="71"/>
      <c r="O283" s="71"/>
      <c r="P283" s="71"/>
      <c r="Q283" s="71"/>
      <c r="R283" s="71"/>
      <c r="S283" s="71"/>
      <c r="T283" s="71"/>
      <c r="U283" s="71"/>
      <c r="V283" s="71">
        <v>13</v>
      </c>
      <c r="W283" s="108"/>
      <c r="X283" s="108"/>
      <c r="Y283" s="108"/>
      <c r="Z283" s="108"/>
      <c r="AA283" s="108"/>
    </row>
    <row r="312" spans="1:30" ht="15.75">
      <c r="B312" s="25">
        <v>2003</v>
      </c>
      <c r="C312" s="24">
        <v>2004</v>
      </c>
      <c r="D312" s="23">
        <v>2005</v>
      </c>
      <c r="E312" s="22">
        <v>2006</v>
      </c>
      <c r="F312" s="21">
        <v>2007</v>
      </c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39">
        <v>2008</v>
      </c>
      <c r="AC312" t="s">
        <v>40</v>
      </c>
    </row>
    <row r="314" spans="1:30">
      <c r="A314" s="8" t="s">
        <v>12</v>
      </c>
      <c r="B314" s="19">
        <v>51139341</v>
      </c>
      <c r="C314" s="73">
        <v>61329071</v>
      </c>
      <c r="D314" s="18">
        <v>98220191</v>
      </c>
      <c r="E314" s="7">
        <v>98882035</v>
      </c>
      <c r="F314" s="16">
        <v>150879770</v>
      </c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1">
        <v>160000000</v>
      </c>
      <c r="W314" s="8"/>
      <c r="X314" s="8"/>
      <c r="Y314" s="8"/>
      <c r="Z314" s="46"/>
      <c r="AA314" s="46"/>
    </row>
    <row r="315" spans="1:30">
      <c r="A315" s="8" t="s">
        <v>14</v>
      </c>
      <c r="B315" s="18"/>
      <c r="C315" s="72">
        <v>0.1993</v>
      </c>
      <c r="D315" s="72">
        <v>0.60150000000000003</v>
      </c>
      <c r="E315" s="72">
        <v>6.7000000000000002E-3</v>
      </c>
      <c r="F315" s="72">
        <v>0.52590000000000003</v>
      </c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72"/>
      <c r="V315" s="8"/>
      <c r="W315" s="8"/>
      <c r="X315" s="8"/>
      <c r="Y315" s="8"/>
      <c r="Z315" s="46"/>
      <c r="AA315" s="46"/>
      <c r="AC315" s="4">
        <f>+(F315+E315+D315+C315)/4</f>
        <v>0.33335000000000004</v>
      </c>
      <c r="AD315" s="4"/>
    </row>
    <row r="317" spans="1:30">
      <c r="A317" t="s">
        <v>37</v>
      </c>
      <c r="V317" s="3">
        <v>46916839</v>
      </c>
    </row>
    <row r="318" spans="1:30">
      <c r="A318" t="s">
        <v>38</v>
      </c>
      <c r="V318" s="1"/>
    </row>
    <row r="319" spans="1:30">
      <c r="A319" t="s">
        <v>39</v>
      </c>
      <c r="V319" s="4">
        <f>+V317/V314</f>
        <v>0.29323024375000001</v>
      </c>
    </row>
    <row r="320" spans="1:30">
      <c r="V320" s="1" t="s">
        <v>41</v>
      </c>
    </row>
  </sheetData>
  <mergeCells count="2">
    <mergeCell ref="A2:AB2"/>
    <mergeCell ref="A1:AB1"/>
  </mergeCells>
  <phoneticPr fontId="3" type="noConversion"/>
  <printOptions horizontalCentered="1"/>
  <pageMargins left="0.75" right="0.75" top="1" bottom="1" header="0.5" footer="0.5"/>
  <pageSetup scale="75" orientation="landscape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"/>
  <sheetViews>
    <sheetView workbookViewId="0">
      <selection activeCell="F48" sqref="F48"/>
    </sheetView>
  </sheetViews>
  <sheetFormatPr defaultRowHeight="12.75"/>
  <cols>
    <col min="2" max="2" width="46.85546875" style="147" bestFit="1" customWidth="1"/>
    <col min="3" max="3" width="9.85546875" style="1" customWidth="1"/>
  </cols>
  <sheetData>
    <row r="1" spans="1:3">
      <c r="A1" s="150" t="s">
        <v>58</v>
      </c>
      <c r="B1" s="150"/>
      <c r="C1" s="150"/>
    </row>
    <row r="3" spans="1:3">
      <c r="A3" s="124" t="s">
        <v>57</v>
      </c>
      <c r="B3" s="148" t="s">
        <v>56</v>
      </c>
      <c r="C3" s="124" t="s">
        <v>15</v>
      </c>
    </row>
  </sheetData>
  <mergeCells count="1">
    <mergeCell ref="A1:C1"/>
  </mergeCells>
  <printOptions horizontalCentered="1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P18"/>
  <sheetViews>
    <sheetView view="pageBreakPreview" topLeftCell="A2" zoomScaleNormal="75" workbookViewId="0">
      <selection activeCell="G46" sqref="G45:G46"/>
    </sheetView>
  </sheetViews>
  <sheetFormatPr defaultRowHeight="12.75"/>
  <cols>
    <col min="1" max="1" width="3.42578125" customWidth="1"/>
    <col min="14" max="14" width="9.5703125" hidden="1" customWidth="1"/>
    <col min="15" max="15" width="15.140625" customWidth="1"/>
    <col min="16" max="16" width="14.42578125" style="145" customWidth="1"/>
    <col min="18" max="18" width="12" bestFit="1" customWidth="1"/>
    <col min="19" max="21" width="11.28515625" bestFit="1" customWidth="1"/>
  </cols>
  <sheetData>
    <row r="1" spans="2:16" ht="18">
      <c r="B1" s="149" t="s">
        <v>45</v>
      </c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13"/>
    </row>
    <row r="2" spans="2:16" ht="18">
      <c r="B2" s="149" t="s">
        <v>53</v>
      </c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N2" s="149"/>
      <c r="O2" s="113"/>
    </row>
    <row r="3" spans="2:16">
      <c r="N3" s="118" t="s">
        <v>52</v>
      </c>
    </row>
    <row r="4" spans="2:16" ht="31.5">
      <c r="B4" s="128" t="s">
        <v>43</v>
      </c>
      <c r="C4" s="128">
        <v>2003</v>
      </c>
      <c r="D4" s="128">
        <v>2004</v>
      </c>
      <c r="E4" s="128">
        <v>2005</v>
      </c>
      <c r="F4" s="128">
        <v>2006</v>
      </c>
      <c r="G4" s="129">
        <v>2007</v>
      </c>
      <c r="H4" s="129">
        <v>2008</v>
      </c>
      <c r="I4" s="128">
        <v>2009</v>
      </c>
      <c r="J4" s="128">
        <v>2010</v>
      </c>
      <c r="K4" s="128">
        <v>2011</v>
      </c>
      <c r="L4" s="128">
        <v>2012</v>
      </c>
      <c r="M4" s="128">
        <v>2013</v>
      </c>
      <c r="N4" s="128" t="s">
        <v>44</v>
      </c>
      <c r="O4" s="120" t="s">
        <v>54</v>
      </c>
      <c r="P4" s="144" t="s">
        <v>55</v>
      </c>
    </row>
    <row r="5" spans="2:16">
      <c r="B5" s="75" t="s">
        <v>0</v>
      </c>
      <c r="C5" s="86"/>
      <c r="D5" s="86"/>
      <c r="E5" s="86"/>
      <c r="F5" s="77"/>
      <c r="G5" s="90"/>
      <c r="H5" s="8"/>
      <c r="I5" s="75"/>
      <c r="J5" s="75"/>
      <c r="K5" s="75"/>
      <c r="L5" s="75"/>
      <c r="M5" s="75"/>
      <c r="N5" s="93">
        <f>SUM(C5:M5)/11</f>
        <v>0</v>
      </c>
      <c r="O5" s="93">
        <f t="shared" ref="O5:O16" si="0">SUM(I5:M5)/5</f>
        <v>0</v>
      </c>
      <c r="P5" s="146">
        <f>SUM(K5:M5)/3</f>
        <v>0</v>
      </c>
    </row>
    <row r="6" spans="2:16">
      <c r="B6" s="75" t="s">
        <v>1</v>
      </c>
      <c r="C6" s="86"/>
      <c r="D6" s="86"/>
      <c r="E6" s="86"/>
      <c r="F6" s="77"/>
      <c r="G6" s="90"/>
      <c r="H6" s="8"/>
      <c r="I6" s="75"/>
      <c r="J6" s="75"/>
      <c r="K6" s="75"/>
      <c r="L6" s="75"/>
      <c r="M6" s="75"/>
      <c r="N6" s="93">
        <f>SUM(C6:M6)/11</f>
        <v>0</v>
      </c>
      <c r="O6" s="93">
        <f t="shared" si="0"/>
        <v>0</v>
      </c>
      <c r="P6" s="146">
        <f t="shared" ref="P6:P16" si="1">SUM(K6:M6)/3</f>
        <v>0</v>
      </c>
    </row>
    <row r="7" spans="2:16">
      <c r="B7" s="75" t="s">
        <v>2</v>
      </c>
      <c r="C7" s="86"/>
      <c r="D7" s="86"/>
      <c r="E7" s="86"/>
      <c r="F7" s="77"/>
      <c r="G7" s="90"/>
      <c r="H7" s="8"/>
      <c r="I7" s="75"/>
      <c r="J7" s="75"/>
      <c r="K7" s="75"/>
      <c r="L7" s="75"/>
      <c r="M7" s="75"/>
      <c r="N7" s="93">
        <f>SUM(C7:M7)/11</f>
        <v>0</v>
      </c>
      <c r="O7" s="93">
        <f t="shared" si="0"/>
        <v>0</v>
      </c>
      <c r="P7" s="146">
        <f t="shared" si="1"/>
        <v>0</v>
      </c>
    </row>
    <row r="8" spans="2:16">
      <c r="B8" s="75" t="s">
        <v>3</v>
      </c>
      <c r="C8" s="86"/>
      <c r="D8" s="86"/>
      <c r="E8" s="86"/>
      <c r="F8" s="77"/>
      <c r="G8" s="90"/>
      <c r="H8" s="8"/>
      <c r="I8" s="75"/>
      <c r="J8" s="75"/>
      <c r="K8" s="75"/>
      <c r="L8" s="75"/>
      <c r="M8" s="75"/>
      <c r="N8" s="93">
        <f>SUM(C8:M8)/11</f>
        <v>0</v>
      </c>
      <c r="O8" s="93">
        <f t="shared" si="0"/>
        <v>0</v>
      </c>
      <c r="P8" s="146">
        <f t="shared" si="1"/>
        <v>0</v>
      </c>
    </row>
    <row r="9" spans="2:16">
      <c r="B9" s="75" t="s">
        <v>4</v>
      </c>
      <c r="C9" s="86"/>
      <c r="D9" s="86"/>
      <c r="E9" s="86"/>
      <c r="F9" s="77"/>
      <c r="G9" s="90"/>
      <c r="H9" s="8"/>
      <c r="I9" s="75"/>
      <c r="J9" s="75"/>
      <c r="K9" s="75"/>
      <c r="L9" s="75"/>
      <c r="M9" s="109"/>
      <c r="N9" s="93">
        <f>SUM(C9:M9)/11</f>
        <v>0</v>
      </c>
      <c r="O9" s="93">
        <f t="shared" si="0"/>
        <v>0</v>
      </c>
      <c r="P9" s="146">
        <f t="shared" si="1"/>
        <v>0</v>
      </c>
    </row>
    <row r="10" spans="2:16">
      <c r="B10" s="75" t="s">
        <v>5</v>
      </c>
      <c r="C10" s="86"/>
      <c r="D10" s="86"/>
      <c r="E10" s="86"/>
      <c r="F10" s="77"/>
      <c r="G10" s="90"/>
      <c r="H10" s="8"/>
      <c r="I10" s="75"/>
      <c r="J10" s="75"/>
      <c r="K10" s="75"/>
      <c r="L10" s="126"/>
      <c r="M10" s="126"/>
      <c r="N10" s="93">
        <f>SUM(C10:L10)/10</f>
        <v>0</v>
      </c>
      <c r="O10" s="93">
        <f t="shared" si="0"/>
        <v>0</v>
      </c>
      <c r="P10" s="146">
        <f t="shared" si="1"/>
        <v>0</v>
      </c>
    </row>
    <row r="11" spans="2:16">
      <c r="B11" s="75" t="s">
        <v>6</v>
      </c>
      <c r="C11" s="86"/>
      <c r="D11" s="86"/>
      <c r="E11" s="86"/>
      <c r="F11" s="77"/>
      <c r="G11" s="90"/>
      <c r="H11" s="8"/>
      <c r="I11" s="75"/>
      <c r="J11" s="75"/>
      <c r="K11" s="75"/>
      <c r="L11" s="75"/>
      <c r="M11" s="75"/>
      <c r="N11" s="93">
        <f t="shared" ref="N11:N16" si="2">SUM(C11:L11)/10</f>
        <v>0</v>
      </c>
      <c r="O11" s="93">
        <f t="shared" si="0"/>
        <v>0</v>
      </c>
      <c r="P11" s="146">
        <f t="shared" si="1"/>
        <v>0</v>
      </c>
    </row>
    <row r="12" spans="2:16">
      <c r="B12" s="75" t="s">
        <v>7</v>
      </c>
      <c r="C12" s="86"/>
      <c r="D12" s="86"/>
      <c r="E12" s="86"/>
      <c r="F12" s="77"/>
      <c r="G12" s="90"/>
      <c r="H12" s="8"/>
      <c r="I12" s="75"/>
      <c r="J12" s="75"/>
      <c r="K12" s="75"/>
      <c r="L12" s="75"/>
      <c r="M12" s="75"/>
      <c r="N12" s="93">
        <f t="shared" si="2"/>
        <v>0</v>
      </c>
      <c r="O12" s="93">
        <f t="shared" si="0"/>
        <v>0</v>
      </c>
      <c r="P12" s="146">
        <f t="shared" si="1"/>
        <v>0</v>
      </c>
    </row>
    <row r="13" spans="2:16">
      <c r="B13" s="75" t="s">
        <v>8</v>
      </c>
      <c r="C13" s="86"/>
      <c r="D13" s="86"/>
      <c r="E13" s="86"/>
      <c r="F13" s="77"/>
      <c r="G13" s="90"/>
      <c r="H13" s="8"/>
      <c r="I13" s="75"/>
      <c r="J13" s="75"/>
      <c r="K13" s="75"/>
      <c r="L13" s="75"/>
      <c r="M13" s="75"/>
      <c r="N13" s="93">
        <f t="shared" si="2"/>
        <v>0</v>
      </c>
      <c r="O13" s="93">
        <f t="shared" si="0"/>
        <v>0</v>
      </c>
      <c r="P13" s="146">
        <f t="shared" si="1"/>
        <v>0</v>
      </c>
    </row>
    <row r="14" spans="2:16">
      <c r="B14" s="75" t="s">
        <v>9</v>
      </c>
      <c r="C14" s="86"/>
      <c r="D14" s="86"/>
      <c r="E14" s="86"/>
      <c r="F14" s="77"/>
      <c r="G14" s="90"/>
      <c r="H14" s="8"/>
      <c r="I14" s="75"/>
      <c r="J14" s="75"/>
      <c r="K14" s="75"/>
      <c r="L14" s="75"/>
      <c r="M14" s="75"/>
      <c r="N14" s="93">
        <f t="shared" si="2"/>
        <v>0</v>
      </c>
      <c r="O14" s="93">
        <f t="shared" si="0"/>
        <v>0</v>
      </c>
      <c r="P14" s="146">
        <f t="shared" si="1"/>
        <v>0</v>
      </c>
    </row>
    <row r="15" spans="2:16">
      <c r="B15" s="75" t="s">
        <v>10</v>
      </c>
      <c r="C15" s="86"/>
      <c r="D15" s="86"/>
      <c r="E15" s="86"/>
      <c r="F15" s="77"/>
      <c r="G15" s="90"/>
      <c r="H15" s="8"/>
      <c r="I15" s="75"/>
      <c r="J15" s="75"/>
      <c r="K15" s="75"/>
      <c r="L15" s="75"/>
      <c r="M15" s="75"/>
      <c r="N15" s="93">
        <f t="shared" si="2"/>
        <v>0</v>
      </c>
      <c r="O15" s="93">
        <f t="shared" si="0"/>
        <v>0</v>
      </c>
      <c r="P15" s="146">
        <f t="shared" si="1"/>
        <v>0</v>
      </c>
    </row>
    <row r="16" spans="2:16">
      <c r="B16" s="75" t="s">
        <v>11</v>
      </c>
      <c r="C16" s="86"/>
      <c r="D16" s="86"/>
      <c r="E16" s="86"/>
      <c r="F16" s="77"/>
      <c r="G16" s="90"/>
      <c r="H16" s="8"/>
      <c r="I16" s="109"/>
      <c r="J16" s="75"/>
      <c r="K16" s="75"/>
      <c r="L16" s="75"/>
      <c r="M16" s="75"/>
      <c r="N16" s="93">
        <f t="shared" si="2"/>
        <v>0</v>
      </c>
      <c r="O16" s="93">
        <f t="shared" si="0"/>
        <v>0</v>
      </c>
      <c r="P16" s="146">
        <f t="shared" si="1"/>
        <v>0</v>
      </c>
    </row>
    <row r="17" spans="2:16">
      <c r="B17" s="76" t="s">
        <v>12</v>
      </c>
      <c r="C17" s="92">
        <f t="shared" ref="C17:P17" si="3">SUM(C5:C16)</f>
        <v>0</v>
      </c>
      <c r="D17" s="92">
        <f t="shared" si="3"/>
        <v>0</v>
      </c>
      <c r="E17" s="92">
        <f t="shared" si="3"/>
        <v>0</v>
      </c>
      <c r="F17" s="76">
        <f t="shared" si="3"/>
        <v>0</v>
      </c>
      <c r="G17" s="91">
        <f t="shared" si="3"/>
        <v>0</v>
      </c>
      <c r="H17" s="76">
        <f t="shared" si="3"/>
        <v>0</v>
      </c>
      <c r="I17" s="76">
        <f t="shared" si="3"/>
        <v>0</v>
      </c>
      <c r="J17" s="76">
        <f t="shared" si="3"/>
        <v>0</v>
      </c>
      <c r="K17" s="76">
        <f t="shared" si="3"/>
        <v>0</v>
      </c>
      <c r="L17" s="76">
        <f t="shared" si="3"/>
        <v>0</v>
      </c>
      <c r="M17" s="76">
        <f t="shared" si="3"/>
        <v>0</v>
      </c>
      <c r="N17" s="76">
        <f t="shared" si="3"/>
        <v>0</v>
      </c>
      <c r="O17" s="112">
        <f t="shared" si="3"/>
        <v>0</v>
      </c>
      <c r="P17" s="112">
        <f t="shared" si="3"/>
        <v>0</v>
      </c>
    </row>
    <row r="18" spans="2:16">
      <c r="B18" s="77" t="s">
        <v>16</v>
      </c>
      <c r="C18" s="80"/>
      <c r="D18" s="79" t="e">
        <f t="shared" ref="D18:L18" si="4">+(D17-C17)/C17</f>
        <v>#DIV/0!</v>
      </c>
      <c r="E18" s="79" t="e">
        <f t="shared" si="4"/>
        <v>#DIV/0!</v>
      </c>
      <c r="F18" s="79" t="e">
        <f t="shared" si="4"/>
        <v>#DIV/0!</v>
      </c>
      <c r="G18" s="78" t="e">
        <f t="shared" si="4"/>
        <v>#DIV/0!</v>
      </c>
      <c r="H18" s="78" t="e">
        <f t="shared" si="4"/>
        <v>#DIV/0!</v>
      </c>
      <c r="I18" s="78" t="e">
        <f t="shared" si="4"/>
        <v>#DIV/0!</v>
      </c>
      <c r="J18" s="78" t="e">
        <f t="shared" si="4"/>
        <v>#DIV/0!</v>
      </c>
      <c r="K18" s="78" t="e">
        <f t="shared" si="4"/>
        <v>#DIV/0!</v>
      </c>
      <c r="L18" s="78" t="e">
        <f t="shared" si="4"/>
        <v>#DIV/0!</v>
      </c>
      <c r="M18" s="78"/>
      <c r="N18" s="20"/>
      <c r="O18" s="20"/>
    </row>
  </sheetData>
  <mergeCells count="2">
    <mergeCell ref="B1:N1"/>
    <mergeCell ref="B2:N2"/>
  </mergeCells>
  <printOptions horizontalCentered="1"/>
  <pageMargins left="0.75" right="0.75" top="1" bottom="1" header="0.5" footer="0.5"/>
  <pageSetup scale="75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X320"/>
  <sheetViews>
    <sheetView view="pageBreakPreview" zoomScale="90" zoomScaleNormal="75" zoomScaleSheetLayoutView="90" workbookViewId="0">
      <selection activeCell="B5" sqref="B5:L16"/>
    </sheetView>
  </sheetViews>
  <sheetFormatPr defaultRowHeight="12.75"/>
  <cols>
    <col min="1" max="1" width="12.42578125" bestFit="1" customWidth="1"/>
    <col min="2" max="8" width="12.42578125" customWidth="1"/>
    <col min="9" max="9" width="12.7109375" bestFit="1" customWidth="1"/>
    <col min="10" max="12" width="12.42578125" customWidth="1"/>
    <col min="13" max="13" width="13.85546875" hidden="1" customWidth="1"/>
    <col min="14" max="14" width="19.28515625" hidden="1" customWidth="1"/>
    <col min="15" max="15" width="14" style="138" customWidth="1"/>
    <col min="16" max="16" width="13.85546875" style="94" customWidth="1"/>
    <col min="17" max="17" width="2.140625" customWidth="1"/>
    <col min="18" max="19" width="14.28515625" style="94" customWidth="1"/>
    <col min="20" max="20" width="18.7109375" style="94" customWidth="1"/>
    <col min="21" max="21" width="13.85546875" style="94" customWidth="1"/>
    <col min="22" max="22" width="10.85546875" customWidth="1"/>
    <col min="23" max="23" width="18.5703125" customWidth="1"/>
    <col min="24" max="24" width="11.7109375" customWidth="1"/>
  </cols>
  <sheetData>
    <row r="1" spans="1:24" ht="18">
      <c r="A1" s="149" t="s">
        <v>50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P1" s="130"/>
      <c r="Q1" s="131"/>
      <c r="R1" s="130"/>
      <c r="S1" s="130"/>
      <c r="T1" s="130"/>
      <c r="U1" s="130"/>
      <c r="V1" s="131"/>
    </row>
    <row r="2" spans="1:24" ht="18">
      <c r="A2" s="149" t="s">
        <v>53</v>
      </c>
      <c r="B2" s="149"/>
      <c r="C2" s="149"/>
      <c r="D2" s="149"/>
      <c r="E2" s="149"/>
      <c r="F2" s="149"/>
      <c r="G2" s="149"/>
      <c r="H2" s="149"/>
      <c r="I2" s="149"/>
      <c r="J2" s="149"/>
      <c r="K2" s="149"/>
      <c r="L2" s="149"/>
      <c r="M2" s="149"/>
      <c r="P2" s="133">
        <f>J7*0.15+J7</f>
        <v>0</v>
      </c>
      <c r="Q2" s="134"/>
      <c r="R2" s="133"/>
      <c r="S2" s="133"/>
      <c r="T2" s="133"/>
      <c r="U2" s="133"/>
      <c r="V2" s="131"/>
    </row>
    <row r="3" spans="1:24">
      <c r="M3" s="118" t="s">
        <v>52</v>
      </c>
      <c r="P3" s="133">
        <f>J8*0.15+J8</f>
        <v>0</v>
      </c>
      <c r="Q3" s="134"/>
      <c r="R3" s="133"/>
      <c r="S3" s="133"/>
      <c r="T3" s="133"/>
      <c r="U3" s="133"/>
      <c r="V3" s="131"/>
    </row>
    <row r="4" spans="1:24" ht="31.5">
      <c r="A4" s="106" t="s">
        <v>43</v>
      </c>
      <c r="B4" s="106">
        <v>2003</v>
      </c>
      <c r="C4" s="106">
        <v>2004</v>
      </c>
      <c r="D4" s="106">
        <v>2005</v>
      </c>
      <c r="E4" s="106">
        <v>2006</v>
      </c>
      <c r="F4" s="121">
        <v>2007</v>
      </c>
      <c r="G4" s="106">
        <v>2008</v>
      </c>
      <c r="H4" s="106">
        <v>2009</v>
      </c>
      <c r="I4" s="106">
        <v>2010</v>
      </c>
      <c r="J4" s="106">
        <v>2011</v>
      </c>
      <c r="K4" s="106">
        <v>2012</v>
      </c>
      <c r="L4" s="106">
        <v>2013</v>
      </c>
      <c r="M4" s="106" t="s">
        <v>44</v>
      </c>
      <c r="N4" s="120" t="s">
        <v>54</v>
      </c>
      <c r="O4" s="139" t="s">
        <v>55</v>
      </c>
      <c r="P4" s="133"/>
      <c r="Q4" s="134"/>
      <c r="R4" s="133"/>
      <c r="S4" s="133"/>
      <c r="T4" s="133"/>
      <c r="U4" s="133"/>
      <c r="V4" s="131"/>
    </row>
    <row r="5" spans="1:24">
      <c r="A5" s="8" t="s">
        <v>0</v>
      </c>
      <c r="B5" s="86"/>
      <c r="C5" s="86"/>
      <c r="D5" s="86"/>
      <c r="E5" s="85"/>
      <c r="F5" s="107"/>
      <c r="G5" s="81"/>
      <c r="H5" s="100"/>
      <c r="I5" s="100"/>
      <c r="J5" s="100"/>
      <c r="K5" s="100"/>
      <c r="L5" s="100"/>
      <c r="M5" s="84">
        <f>SUM(B5:L5)/11</f>
        <v>0</v>
      </c>
      <c r="N5" s="100">
        <f t="shared" ref="N5:N16" si="0">SUM(H5:L5)/5</f>
        <v>0</v>
      </c>
      <c r="O5" s="140">
        <f>SUM(J5:L5)/3</f>
        <v>0</v>
      </c>
      <c r="P5" s="133"/>
      <c r="Q5" s="134"/>
      <c r="R5" s="133"/>
      <c r="S5" s="133"/>
      <c r="T5" s="133" t="s">
        <v>46</v>
      </c>
      <c r="U5" s="133"/>
      <c r="V5" s="131"/>
      <c r="W5" s="99" t="s">
        <v>47</v>
      </c>
    </row>
    <row r="6" spans="1:24">
      <c r="A6" s="8" t="s">
        <v>1</v>
      </c>
      <c r="B6" s="86"/>
      <c r="C6" s="86"/>
      <c r="D6" s="86"/>
      <c r="E6" s="86"/>
      <c r="F6" s="107"/>
      <c r="G6" s="81"/>
      <c r="H6" s="100"/>
      <c r="I6" s="100"/>
      <c r="J6" s="110"/>
      <c r="K6" s="110"/>
      <c r="L6" s="110"/>
      <c r="M6" s="84">
        <f>SUM(B6:L6)/11</f>
        <v>0</v>
      </c>
      <c r="N6" s="100">
        <f t="shared" si="0"/>
        <v>0</v>
      </c>
      <c r="O6" s="140">
        <f t="shared" ref="O6:O16" si="1">SUM(J6:L6)/3</f>
        <v>0</v>
      </c>
      <c r="P6" s="133" t="s">
        <v>46</v>
      </c>
      <c r="Q6" s="134"/>
      <c r="R6" s="133" t="s">
        <v>47</v>
      </c>
      <c r="S6" s="133"/>
      <c r="T6" s="135" t="s">
        <v>48</v>
      </c>
      <c r="U6" s="135" t="s">
        <v>49</v>
      </c>
      <c r="V6" s="131"/>
      <c r="W6" s="101" t="s">
        <v>48</v>
      </c>
      <c r="X6" s="101" t="s">
        <v>49</v>
      </c>
    </row>
    <row r="7" spans="1:24">
      <c r="A7" s="8" t="s">
        <v>2</v>
      </c>
      <c r="B7" s="86"/>
      <c r="C7" s="86"/>
      <c r="D7" s="86"/>
      <c r="E7" s="86"/>
      <c r="F7" s="107"/>
      <c r="G7" s="81"/>
      <c r="H7" s="100"/>
      <c r="I7" s="100"/>
      <c r="J7" s="110"/>
      <c r="K7" s="110"/>
      <c r="L7" s="110"/>
      <c r="M7" s="84">
        <f>SUM(B7:L7)/11</f>
        <v>0</v>
      </c>
      <c r="N7" s="100">
        <f t="shared" si="0"/>
        <v>0</v>
      </c>
      <c r="O7" s="140">
        <f t="shared" si="1"/>
        <v>0</v>
      </c>
      <c r="P7" s="133"/>
      <c r="Q7" s="134"/>
      <c r="R7" s="133">
        <f>SUM(G5:G5)/4</f>
        <v>0</v>
      </c>
      <c r="S7" s="133"/>
      <c r="T7" s="133">
        <f>M5*0.78</f>
        <v>0</v>
      </c>
      <c r="U7" s="133">
        <f>M5*0.22</f>
        <v>0</v>
      </c>
      <c r="V7" s="131"/>
      <c r="W7" s="94">
        <f>R7*0.78</f>
        <v>0</v>
      </c>
      <c r="X7" s="94">
        <f>R7*0.22</f>
        <v>0</v>
      </c>
    </row>
    <row r="8" spans="1:24">
      <c r="A8" s="8" t="s">
        <v>3</v>
      </c>
      <c r="B8" s="86"/>
      <c r="C8" s="86"/>
      <c r="D8" s="86"/>
      <c r="E8" s="86"/>
      <c r="F8" s="107"/>
      <c r="G8" s="81"/>
      <c r="H8" s="100"/>
      <c r="I8" s="100"/>
      <c r="J8" s="100"/>
      <c r="K8" s="100"/>
      <c r="L8" s="100"/>
      <c r="M8" s="84">
        <f>SUM(B8:L8)/11</f>
        <v>0</v>
      </c>
      <c r="N8" s="100">
        <f t="shared" si="0"/>
        <v>0</v>
      </c>
      <c r="O8" s="140">
        <f t="shared" si="1"/>
        <v>0</v>
      </c>
      <c r="P8" s="133"/>
      <c r="Q8" s="134"/>
      <c r="R8" s="133">
        <f>SUM(G6:G6)/4</f>
        <v>0</v>
      </c>
      <c r="S8" s="133"/>
      <c r="T8" s="133">
        <f>M6*0.78</f>
        <v>0</v>
      </c>
      <c r="U8" s="133">
        <f>M6*0.22</f>
        <v>0</v>
      </c>
      <c r="V8" s="131"/>
      <c r="W8" s="94">
        <f t="shared" ref="W8:W18" si="2">R8*0.78</f>
        <v>0</v>
      </c>
      <c r="X8" s="94">
        <f t="shared" ref="X8:X18" si="3">R8*0.22</f>
        <v>0</v>
      </c>
    </row>
    <row r="9" spans="1:24">
      <c r="A9" s="8" t="s">
        <v>4</v>
      </c>
      <c r="B9" s="86"/>
      <c r="C9" s="86"/>
      <c r="D9" s="86"/>
      <c r="E9" s="86"/>
      <c r="F9" s="107"/>
      <c r="G9" s="81"/>
      <c r="H9" s="100"/>
      <c r="I9" s="100"/>
      <c r="J9" s="110"/>
      <c r="K9" s="110"/>
      <c r="L9" s="110"/>
      <c r="M9" s="84">
        <f>SUM(B9:L9)/11</f>
        <v>0</v>
      </c>
      <c r="N9" s="100">
        <f t="shared" si="0"/>
        <v>0</v>
      </c>
      <c r="O9" s="140">
        <f t="shared" si="1"/>
        <v>0</v>
      </c>
      <c r="P9" s="133"/>
      <c r="Q9" s="134"/>
      <c r="R9" s="133">
        <f>SUM(G7:G7)/4</f>
        <v>0</v>
      </c>
      <c r="S9" s="133"/>
      <c r="T9" s="133">
        <f>M7*0.78</f>
        <v>0</v>
      </c>
      <c r="U9" s="133">
        <f>M7*0.22</f>
        <v>0</v>
      </c>
      <c r="V9" s="131"/>
      <c r="W9" s="94">
        <f t="shared" si="2"/>
        <v>0</v>
      </c>
      <c r="X9" s="94">
        <f t="shared" si="3"/>
        <v>0</v>
      </c>
    </row>
    <row r="10" spans="1:24">
      <c r="A10" s="8" t="s">
        <v>5</v>
      </c>
      <c r="B10" s="86"/>
      <c r="C10" s="86"/>
      <c r="D10" s="86"/>
      <c r="E10" s="86"/>
      <c r="F10" s="107"/>
      <c r="G10" s="11"/>
      <c r="H10" s="100"/>
      <c r="I10" s="100"/>
      <c r="J10" s="110"/>
      <c r="K10" s="125"/>
      <c r="L10" s="110"/>
      <c r="M10" s="84">
        <f>SUM(B10:K10)/10</f>
        <v>0</v>
      </c>
      <c r="N10" s="100">
        <f t="shared" si="0"/>
        <v>0</v>
      </c>
      <c r="O10" s="140">
        <f t="shared" si="1"/>
        <v>0</v>
      </c>
      <c r="P10" s="133">
        <f>SUM(G8:G8,C8:C8)/5</f>
        <v>0</v>
      </c>
      <c r="Q10" s="134"/>
      <c r="R10" s="133">
        <f>SUM(G8:G8)/3</f>
        <v>0</v>
      </c>
      <c r="S10" s="133"/>
      <c r="T10" s="133">
        <f>P10*0.78</f>
        <v>0</v>
      </c>
      <c r="U10" s="133">
        <f>P10*0.22</f>
        <v>0</v>
      </c>
      <c r="V10" s="131"/>
      <c r="W10" s="94">
        <f t="shared" si="2"/>
        <v>0</v>
      </c>
      <c r="X10" s="94">
        <f t="shared" si="3"/>
        <v>0</v>
      </c>
    </row>
    <row r="11" spans="1:24">
      <c r="A11" s="8" t="s">
        <v>6</v>
      </c>
      <c r="B11" s="86"/>
      <c r="C11" s="86"/>
      <c r="D11" s="86"/>
      <c r="E11" s="86"/>
      <c r="F11" s="107"/>
      <c r="G11" s="11"/>
      <c r="H11" s="100"/>
      <c r="I11" s="100"/>
      <c r="J11" s="100"/>
      <c r="K11" s="100"/>
      <c r="L11" s="110"/>
      <c r="M11" s="84">
        <f t="shared" ref="M11:M16" si="4">SUM(B11:K11)/10</f>
        <v>0</v>
      </c>
      <c r="N11" s="100">
        <f t="shared" si="0"/>
        <v>0</v>
      </c>
      <c r="O11" s="140">
        <f t="shared" si="1"/>
        <v>0</v>
      </c>
      <c r="P11" s="133"/>
      <c r="Q11" s="134"/>
      <c r="R11" s="133">
        <f>SUM(G9:G9)/4</f>
        <v>0</v>
      </c>
      <c r="S11" s="133"/>
      <c r="T11" s="133">
        <f>M9*0.78</f>
        <v>0</v>
      </c>
      <c r="U11" s="133">
        <f>M9*0.22</f>
        <v>0</v>
      </c>
      <c r="V11" s="131"/>
      <c r="W11" s="94">
        <f t="shared" si="2"/>
        <v>0</v>
      </c>
      <c r="X11" s="94">
        <f t="shared" si="3"/>
        <v>0</v>
      </c>
    </row>
    <row r="12" spans="1:24">
      <c r="A12" s="8" t="s">
        <v>7</v>
      </c>
      <c r="B12" s="86"/>
      <c r="C12" s="86"/>
      <c r="D12" s="86"/>
      <c r="E12" s="86"/>
      <c r="F12" s="107"/>
      <c r="G12" s="11"/>
      <c r="H12" s="100"/>
      <c r="I12" s="100"/>
      <c r="J12" s="110"/>
      <c r="K12" s="110"/>
      <c r="L12" s="110"/>
      <c r="M12" s="84">
        <f t="shared" si="4"/>
        <v>0</v>
      </c>
      <c r="N12" s="100">
        <f t="shared" si="0"/>
        <v>0</v>
      </c>
      <c r="O12" s="140">
        <f t="shared" si="1"/>
        <v>0</v>
      </c>
      <c r="P12" s="133"/>
      <c r="Q12" s="134"/>
      <c r="R12" s="133">
        <f>SUM(G10:G10)/4</f>
        <v>0</v>
      </c>
      <c r="S12" s="133"/>
      <c r="T12" s="133">
        <f>M10*0.78</f>
        <v>0</v>
      </c>
      <c r="U12" s="133">
        <f>M10*0.22</f>
        <v>0</v>
      </c>
      <c r="V12" s="131"/>
      <c r="W12" s="94">
        <f t="shared" si="2"/>
        <v>0</v>
      </c>
      <c r="X12" s="94">
        <f t="shared" si="3"/>
        <v>0</v>
      </c>
    </row>
    <row r="13" spans="1:24">
      <c r="A13" s="8" t="s">
        <v>8</v>
      </c>
      <c r="B13" s="86"/>
      <c r="C13" s="86"/>
      <c r="D13" s="86"/>
      <c r="E13" s="86"/>
      <c r="F13" s="107"/>
      <c r="G13" s="11"/>
      <c r="H13" s="100"/>
      <c r="I13" s="100"/>
      <c r="J13" s="100"/>
      <c r="K13" s="100"/>
      <c r="L13" s="100"/>
      <c r="M13" s="84">
        <f t="shared" si="4"/>
        <v>0</v>
      </c>
      <c r="N13" s="100">
        <f t="shared" si="0"/>
        <v>0</v>
      </c>
      <c r="O13" s="140">
        <f t="shared" si="1"/>
        <v>0</v>
      </c>
      <c r="P13" s="133">
        <f>SUM(G11,E11,C11:C11)/4</f>
        <v>0</v>
      </c>
      <c r="Q13" s="134"/>
      <c r="R13" s="133">
        <f>SUM(G11,E11)/2</f>
        <v>0</v>
      </c>
      <c r="S13" s="133"/>
      <c r="T13" s="133">
        <f>P13*0.78</f>
        <v>0</v>
      </c>
      <c r="U13" s="133">
        <f>P13*0.22</f>
        <v>0</v>
      </c>
      <c r="V13" s="131"/>
      <c r="W13" s="94">
        <f t="shared" si="2"/>
        <v>0</v>
      </c>
      <c r="X13" s="94">
        <f t="shared" si="3"/>
        <v>0</v>
      </c>
    </row>
    <row r="14" spans="1:24">
      <c r="A14" s="8" t="s">
        <v>9</v>
      </c>
      <c r="B14" s="86"/>
      <c r="C14" s="86"/>
      <c r="D14" s="86"/>
      <c r="E14" s="86"/>
      <c r="F14" s="107"/>
      <c r="G14" s="11"/>
      <c r="H14" s="100"/>
      <c r="I14" s="100"/>
      <c r="J14" s="100"/>
      <c r="K14" s="100"/>
      <c r="L14" s="100"/>
      <c r="M14" s="84">
        <f t="shared" si="4"/>
        <v>0</v>
      </c>
      <c r="N14" s="100">
        <f t="shared" si="0"/>
        <v>0</v>
      </c>
      <c r="O14" s="140">
        <f t="shared" si="1"/>
        <v>0</v>
      </c>
      <c r="P14" s="133">
        <f>SUM(G12,E12,C12:C12)/4</f>
        <v>0</v>
      </c>
      <c r="Q14" s="134"/>
      <c r="R14" s="133">
        <f>SUM(G12,E12)/2</f>
        <v>0</v>
      </c>
      <c r="S14" s="133"/>
      <c r="T14" s="133">
        <f>P14*0.78</f>
        <v>0</v>
      </c>
      <c r="U14" s="133">
        <f>P14*0.22</f>
        <v>0</v>
      </c>
      <c r="V14" s="131"/>
      <c r="W14" s="94">
        <f t="shared" si="2"/>
        <v>0</v>
      </c>
      <c r="X14" s="94">
        <f t="shared" si="3"/>
        <v>0</v>
      </c>
    </row>
    <row r="15" spans="1:24">
      <c r="A15" s="8" t="s">
        <v>10</v>
      </c>
      <c r="B15" s="86"/>
      <c r="C15" s="86"/>
      <c r="D15" s="86"/>
      <c r="E15" s="86"/>
      <c r="F15" s="107"/>
      <c r="G15" s="11"/>
      <c r="H15" s="100"/>
      <c r="I15" s="100"/>
      <c r="J15" s="100"/>
      <c r="K15" s="100"/>
      <c r="L15" s="100"/>
      <c r="M15" s="84">
        <f t="shared" si="4"/>
        <v>0</v>
      </c>
      <c r="N15" s="100">
        <f t="shared" si="0"/>
        <v>0</v>
      </c>
      <c r="O15" s="140">
        <f t="shared" si="1"/>
        <v>0</v>
      </c>
      <c r="P15" s="133"/>
      <c r="Q15" s="134"/>
      <c r="R15" s="133">
        <f>SUM(G13:G13)/4</f>
        <v>0</v>
      </c>
      <c r="S15" s="133"/>
      <c r="T15" s="133">
        <f>M13*0.78</f>
        <v>0</v>
      </c>
      <c r="U15" s="133">
        <f>M13*0.22</f>
        <v>0</v>
      </c>
      <c r="V15" s="131"/>
      <c r="W15" s="94">
        <f t="shared" si="2"/>
        <v>0</v>
      </c>
      <c r="X15" s="94">
        <f t="shared" si="3"/>
        <v>0</v>
      </c>
    </row>
    <row r="16" spans="1:24">
      <c r="A16" s="8" t="s">
        <v>11</v>
      </c>
      <c r="B16" s="86"/>
      <c r="C16" s="86"/>
      <c r="D16" s="86"/>
      <c r="E16" s="86"/>
      <c r="F16" s="107"/>
      <c r="G16" s="11"/>
      <c r="H16" s="110"/>
      <c r="I16" s="100"/>
      <c r="J16" s="110"/>
      <c r="K16" s="110"/>
      <c r="L16" s="110"/>
      <c r="M16" s="84">
        <f t="shared" si="4"/>
        <v>0</v>
      </c>
      <c r="N16" s="100">
        <f t="shared" si="0"/>
        <v>0</v>
      </c>
      <c r="O16" s="140">
        <f t="shared" si="1"/>
        <v>0</v>
      </c>
      <c r="P16" s="133">
        <f>SUM(F14:F14)/5</f>
        <v>0</v>
      </c>
      <c r="Q16" s="134"/>
      <c r="R16" s="133">
        <f>SUM(F14:F14)/3</f>
        <v>0</v>
      </c>
      <c r="S16" s="133"/>
      <c r="T16" s="133">
        <f>P16*0.78</f>
        <v>0</v>
      </c>
      <c r="U16" s="133">
        <f>P16*0.22</f>
        <v>0</v>
      </c>
      <c r="V16" s="131"/>
      <c r="W16" s="94">
        <f t="shared" si="2"/>
        <v>0</v>
      </c>
      <c r="X16" s="94">
        <f t="shared" si="3"/>
        <v>0</v>
      </c>
    </row>
    <row r="17" spans="1:24">
      <c r="A17" s="8" t="s">
        <v>12</v>
      </c>
      <c r="B17" s="92">
        <f t="shared" ref="B17:I17" si="5">SUM(B5:B16)</f>
        <v>0</v>
      </c>
      <c r="C17" s="92">
        <f t="shared" si="5"/>
        <v>0</v>
      </c>
      <c r="D17" s="92">
        <f t="shared" si="5"/>
        <v>0</v>
      </c>
      <c r="E17" s="92">
        <f t="shared" si="5"/>
        <v>0</v>
      </c>
      <c r="F17" s="116">
        <f t="shared" si="5"/>
        <v>0</v>
      </c>
      <c r="G17" s="92">
        <f t="shared" si="5"/>
        <v>0</v>
      </c>
      <c r="H17" s="92">
        <f t="shared" si="5"/>
        <v>0</v>
      </c>
      <c r="I17" s="92">
        <f t="shared" si="5"/>
        <v>0</v>
      </c>
      <c r="J17" s="92">
        <f t="shared" ref="J17:O17" si="6">SUM(J5:J16)</f>
        <v>0</v>
      </c>
      <c r="K17" s="92">
        <f t="shared" si="6"/>
        <v>0</v>
      </c>
      <c r="L17" s="92">
        <f t="shared" si="6"/>
        <v>0</v>
      </c>
      <c r="M17" s="92">
        <f t="shared" si="6"/>
        <v>0</v>
      </c>
      <c r="N17" s="92">
        <f t="shared" si="6"/>
        <v>0</v>
      </c>
      <c r="O17" s="92">
        <f t="shared" si="6"/>
        <v>0</v>
      </c>
      <c r="P17" s="133"/>
      <c r="Q17" s="134"/>
      <c r="R17" s="133">
        <f>SUM(G15:G15)/4</f>
        <v>0</v>
      </c>
      <c r="S17" s="133"/>
      <c r="T17" s="133">
        <f>M15*0.78</f>
        <v>0</v>
      </c>
      <c r="U17" s="133">
        <f>M15*0.22</f>
        <v>0</v>
      </c>
      <c r="V17" s="131"/>
      <c r="W17" s="94">
        <f t="shared" si="2"/>
        <v>0</v>
      </c>
      <c r="X17" s="94">
        <f t="shared" si="3"/>
        <v>0</v>
      </c>
    </row>
    <row r="18" spans="1:24" ht="15.75">
      <c r="A18" s="8" t="s">
        <v>14</v>
      </c>
      <c r="B18" s="89"/>
      <c r="C18" s="88" t="e">
        <f t="shared" ref="C18:K18" si="7">+(C17-B17)/B17</f>
        <v>#DIV/0!</v>
      </c>
      <c r="D18" s="88" t="e">
        <f t="shared" si="7"/>
        <v>#DIV/0!</v>
      </c>
      <c r="E18" s="88" t="e">
        <f t="shared" si="7"/>
        <v>#DIV/0!</v>
      </c>
      <c r="F18" s="87" t="e">
        <f t="shared" si="7"/>
        <v>#DIV/0!</v>
      </c>
      <c r="G18" s="87" t="e">
        <f t="shared" si="7"/>
        <v>#DIV/0!</v>
      </c>
      <c r="H18" s="87" t="e">
        <f t="shared" si="7"/>
        <v>#DIV/0!</v>
      </c>
      <c r="I18" s="87" t="e">
        <f t="shared" si="7"/>
        <v>#DIV/0!</v>
      </c>
      <c r="J18" s="87" t="e">
        <f t="shared" si="7"/>
        <v>#DIV/0!</v>
      </c>
      <c r="K18" s="87" t="e">
        <f t="shared" si="7"/>
        <v>#DIV/0!</v>
      </c>
      <c r="L18" s="87"/>
      <c r="M18" s="20"/>
      <c r="N18" s="20"/>
      <c r="O18" s="140"/>
      <c r="P18" s="133"/>
      <c r="Q18" s="134"/>
      <c r="R18" s="133">
        <f>SUM(G16:G16)/4</f>
        <v>0</v>
      </c>
      <c r="S18" s="133"/>
      <c r="T18" s="133">
        <f>M16*0.78</f>
        <v>0</v>
      </c>
      <c r="U18" s="133">
        <f>M16*0.22</f>
        <v>0</v>
      </c>
      <c r="V18" s="132"/>
      <c r="W18" s="94">
        <f t="shared" si="2"/>
        <v>0</v>
      </c>
      <c r="X18" s="94">
        <f t="shared" si="3"/>
        <v>0</v>
      </c>
    </row>
    <row r="19" spans="1:24">
      <c r="P19" s="130"/>
      <c r="Q19" s="131"/>
      <c r="R19" s="130"/>
      <c r="S19" s="130"/>
      <c r="T19" s="130"/>
      <c r="U19" s="130"/>
      <c r="V19" s="131"/>
      <c r="W19" s="6"/>
    </row>
    <row r="20" spans="1:24">
      <c r="P20" s="130"/>
      <c r="Q20" s="131"/>
      <c r="R20" s="130"/>
      <c r="S20" s="130"/>
      <c r="T20" s="130"/>
      <c r="U20" s="130"/>
      <c r="V20" s="131"/>
      <c r="W20" s="6"/>
    </row>
    <row r="21" spans="1:24">
      <c r="N21" s="134">
        <v>4177665</v>
      </c>
      <c r="O21" s="141"/>
      <c r="P21" s="133"/>
      <c r="Q21" s="134"/>
      <c r="R21" s="133"/>
      <c r="V21" s="10"/>
      <c r="W21" s="6"/>
    </row>
    <row r="22" spans="1:24">
      <c r="N22" s="134"/>
      <c r="O22" s="141"/>
      <c r="P22" s="133"/>
      <c r="Q22" s="134"/>
      <c r="R22" s="133"/>
      <c r="V22" s="10"/>
      <c r="W22" s="6"/>
    </row>
    <row r="23" spans="1:24">
      <c r="N23" s="134" t="e">
        <f>N21/N16*100</f>
        <v>#DIV/0!</v>
      </c>
      <c r="O23" s="141"/>
      <c r="P23" s="133"/>
      <c r="Q23" s="134"/>
      <c r="R23" s="133"/>
      <c r="V23" s="10"/>
      <c r="W23" s="6"/>
    </row>
    <row r="24" spans="1:24">
      <c r="N24" s="134"/>
      <c r="O24" s="141"/>
      <c r="P24" s="133"/>
      <c r="Q24" s="134"/>
      <c r="R24" s="133"/>
      <c r="V24" s="10"/>
      <c r="W24" s="6"/>
    </row>
    <row r="25" spans="1:24">
      <c r="N25" s="134">
        <v>7000000</v>
      </c>
      <c r="O25" s="141"/>
      <c r="P25" s="133"/>
      <c r="Q25" s="134"/>
      <c r="R25" s="133"/>
      <c r="V25" s="10"/>
      <c r="W25" s="6"/>
    </row>
    <row r="26" spans="1:24">
      <c r="N26" s="134">
        <f>N21/N25*100</f>
        <v>59.680928571428574</v>
      </c>
      <c r="O26" s="141"/>
      <c r="P26" s="133"/>
      <c r="Q26" s="134"/>
      <c r="R26" s="133"/>
      <c r="V26" s="10"/>
      <c r="W26" s="6"/>
    </row>
    <row r="27" spans="1:24">
      <c r="N27" s="134"/>
      <c r="O27" s="141"/>
      <c r="P27" s="136">
        <v>109763069.05</v>
      </c>
      <c r="Q27" s="134"/>
      <c r="R27" s="133"/>
      <c r="V27" s="10"/>
      <c r="W27" s="6"/>
    </row>
    <row r="28" spans="1:24">
      <c r="N28" s="134"/>
      <c r="O28" s="141"/>
      <c r="P28" s="137">
        <v>102641444.04857141</v>
      </c>
      <c r="Q28" s="134"/>
      <c r="R28" s="133"/>
      <c r="V28" s="10"/>
      <c r="W28" s="6"/>
    </row>
    <row r="29" spans="1:24">
      <c r="N29" s="134"/>
      <c r="O29" s="141"/>
      <c r="P29" s="133">
        <f>P27-P28</f>
        <v>7121625.0014285892</v>
      </c>
      <c r="Q29" s="134"/>
      <c r="R29" s="133"/>
      <c r="V29" s="10"/>
      <c r="W29" s="6"/>
    </row>
    <row r="30" spans="1:24">
      <c r="V30" s="10"/>
      <c r="W30" s="6"/>
    </row>
    <row r="31" spans="1:24">
      <c r="V31" s="10"/>
      <c r="W31" s="6"/>
    </row>
    <row r="32" spans="1:24">
      <c r="V32" s="10"/>
      <c r="W32" s="6"/>
    </row>
    <row r="33" spans="8:23">
      <c r="V33" s="10"/>
      <c r="W33" s="6"/>
    </row>
    <row r="34" spans="8:23">
      <c r="V34" s="10"/>
      <c r="W34" s="6"/>
    </row>
    <row r="35" spans="8:23">
      <c r="V35" s="10"/>
      <c r="W35" s="6"/>
    </row>
    <row r="36" spans="8:23">
      <c r="V36" s="10"/>
      <c r="W36" s="6"/>
    </row>
    <row r="37" spans="8:23">
      <c r="V37" s="10"/>
      <c r="W37" s="6"/>
    </row>
    <row r="38" spans="8:23">
      <c r="V38" s="10"/>
      <c r="W38" s="6"/>
    </row>
    <row r="39" spans="8:23">
      <c r="V39" s="10"/>
      <c r="W39" s="6"/>
    </row>
    <row r="40" spans="8:23">
      <c r="V40" s="10"/>
      <c r="W40" s="6"/>
    </row>
    <row r="41" spans="8:23">
      <c r="V41" s="10"/>
      <c r="W41" s="6"/>
    </row>
    <row r="42" spans="8:23">
      <c r="V42" s="10"/>
      <c r="W42" s="6"/>
    </row>
    <row r="43" spans="8:23">
      <c r="V43" s="10"/>
      <c r="W43" s="6"/>
    </row>
    <row r="44" spans="8:23" hidden="1">
      <c r="H44" s="94">
        <f>SUM(H5:H10)</f>
        <v>0</v>
      </c>
      <c r="I44" s="94">
        <f>SUM(I5:I10)</f>
        <v>0</v>
      </c>
      <c r="J44" s="94">
        <f>SUM(J5:J10)</f>
        <v>0</v>
      </c>
      <c r="V44" s="10"/>
      <c r="W44" s="6"/>
    </row>
    <row r="45" spans="8:23" hidden="1">
      <c r="H45" s="94">
        <f>SUM(H11:H16)</f>
        <v>0</v>
      </c>
      <c r="I45" s="94">
        <f>SUM(I11:I16)</f>
        <v>0</v>
      </c>
      <c r="J45" s="94">
        <f>SUM(J11:J16)</f>
        <v>0</v>
      </c>
      <c r="V45" s="10"/>
      <c r="W45" s="6"/>
    </row>
    <row r="46" spans="8:23">
      <c r="V46" s="10"/>
      <c r="W46" s="6"/>
    </row>
    <row r="74" spans="2:5">
      <c r="B74" s="8" t="s">
        <v>19</v>
      </c>
      <c r="C74" s="13" t="s">
        <v>18</v>
      </c>
      <c r="D74" s="17" t="s">
        <v>17</v>
      </c>
    </row>
    <row r="75" spans="2:5">
      <c r="B75" s="16">
        <f t="shared" ref="B75:B86" si="8">+D75-C75</f>
        <v>-676049</v>
      </c>
      <c r="C75" s="7">
        <v>4229100</v>
      </c>
      <c r="D75" s="26">
        <v>3553051</v>
      </c>
      <c r="E75" s="15" t="s">
        <v>0</v>
      </c>
    </row>
    <row r="76" spans="2:5">
      <c r="B76" s="16">
        <f t="shared" si="8"/>
        <v>-4732086</v>
      </c>
      <c r="C76" s="7">
        <v>8071500</v>
      </c>
      <c r="D76" s="26">
        <v>3339414</v>
      </c>
      <c r="E76" s="15" t="s">
        <v>1</v>
      </c>
    </row>
    <row r="77" spans="2:5">
      <c r="B77" s="16">
        <f t="shared" si="8"/>
        <v>-3786151</v>
      </c>
      <c r="C77" s="7">
        <v>18531600</v>
      </c>
      <c r="D77" s="26">
        <v>14745449</v>
      </c>
      <c r="E77" s="15" t="s">
        <v>2</v>
      </c>
    </row>
    <row r="78" spans="2:5">
      <c r="B78" s="11">
        <f t="shared" si="8"/>
        <v>1030753</v>
      </c>
      <c r="C78" s="7">
        <v>20330220</v>
      </c>
      <c r="D78" s="26">
        <v>21360973</v>
      </c>
      <c r="E78" s="15" t="s">
        <v>3</v>
      </c>
    </row>
    <row r="79" spans="2:5">
      <c r="B79" s="16">
        <f t="shared" si="8"/>
        <v>-5147444</v>
      </c>
      <c r="C79" s="7">
        <v>17926300</v>
      </c>
      <c r="D79" s="26">
        <v>12778856</v>
      </c>
      <c r="E79" s="15" t="s">
        <v>4</v>
      </c>
    </row>
    <row r="80" spans="2:5">
      <c r="B80" s="11">
        <f t="shared" si="8"/>
        <v>2900698</v>
      </c>
      <c r="C80" s="7">
        <v>7350900</v>
      </c>
      <c r="D80" s="26">
        <v>10251598</v>
      </c>
      <c r="E80" s="15" t="s">
        <v>5</v>
      </c>
    </row>
    <row r="81" spans="2:5">
      <c r="B81" s="11">
        <f t="shared" si="8"/>
        <v>37950607</v>
      </c>
      <c r="C81" s="7">
        <v>5429900</v>
      </c>
      <c r="D81" s="26">
        <v>43380507</v>
      </c>
      <c r="E81" s="15" t="s">
        <v>6</v>
      </c>
    </row>
    <row r="82" spans="2:5">
      <c r="B82" s="11">
        <f t="shared" si="8"/>
        <v>8912256</v>
      </c>
      <c r="C82" s="7">
        <v>1999980</v>
      </c>
      <c r="D82" s="26">
        <v>10912236</v>
      </c>
      <c r="E82" s="15" t="s">
        <v>7</v>
      </c>
    </row>
    <row r="83" spans="2:5">
      <c r="B83" s="16">
        <f t="shared" si="8"/>
        <v>-2733278</v>
      </c>
      <c r="C83" s="7">
        <v>8402500</v>
      </c>
      <c r="D83" s="26">
        <v>5669222</v>
      </c>
      <c r="E83" s="15" t="s">
        <v>8</v>
      </c>
    </row>
    <row r="84" spans="2:5">
      <c r="B84" s="16">
        <f t="shared" si="8"/>
        <v>-4478608</v>
      </c>
      <c r="C84" s="7">
        <v>11490200</v>
      </c>
      <c r="D84" s="26">
        <v>7011592</v>
      </c>
      <c r="E84" s="15" t="s">
        <v>9</v>
      </c>
    </row>
    <row r="85" spans="2:5">
      <c r="B85" s="16">
        <f t="shared" si="8"/>
        <v>-3861461</v>
      </c>
      <c r="C85" s="7">
        <v>10894100</v>
      </c>
      <c r="D85" s="26">
        <v>7032639</v>
      </c>
      <c r="E85" s="15" t="s">
        <v>10</v>
      </c>
    </row>
    <row r="86" spans="2:5">
      <c r="B86" s="16">
        <f t="shared" si="8"/>
        <v>500533</v>
      </c>
      <c r="C86" s="7">
        <v>10343700</v>
      </c>
      <c r="D86" s="26">
        <v>10844233</v>
      </c>
      <c r="E86" s="15" t="s">
        <v>11</v>
      </c>
    </row>
    <row r="87" spans="2:5">
      <c r="B87" s="9"/>
      <c r="C87" s="5"/>
      <c r="D87" s="1"/>
    </row>
    <row r="88" spans="2:5">
      <c r="B88" s="2">
        <f>+D88-C88</f>
        <v>25879770</v>
      </c>
      <c r="C88" s="14">
        <f>SUM(C75:C87)</f>
        <v>125000000</v>
      </c>
      <c r="D88" s="3">
        <f>SUM(D75:D87)</f>
        <v>150879770</v>
      </c>
      <c r="E88" s="12" t="s">
        <v>12</v>
      </c>
    </row>
    <row r="89" spans="2:5">
      <c r="D89" s="4">
        <f>+(D88-C88)/C88</f>
        <v>0.20703816</v>
      </c>
      <c r="E89" s="12" t="s">
        <v>20</v>
      </c>
    </row>
    <row r="100" spans="1:23">
      <c r="F100" t="s">
        <v>26</v>
      </c>
      <c r="S100" s="94" t="s">
        <v>27</v>
      </c>
    </row>
    <row r="103" spans="1:23">
      <c r="B103" t="s">
        <v>25</v>
      </c>
      <c r="C103" t="s">
        <v>24</v>
      </c>
      <c r="D103" s="1" t="s">
        <v>12</v>
      </c>
      <c r="E103" s="1" t="s">
        <v>13</v>
      </c>
      <c r="F103" s="1" t="s">
        <v>23</v>
      </c>
      <c r="S103" s="95" t="s">
        <v>23</v>
      </c>
      <c r="T103" s="95" t="s">
        <v>13</v>
      </c>
      <c r="U103" s="95" t="s">
        <v>12</v>
      </c>
      <c r="V103" t="s">
        <v>24</v>
      </c>
      <c r="W103" t="s">
        <v>25</v>
      </c>
    </row>
    <row r="104" spans="1:23">
      <c r="A104" s="8" t="s">
        <v>0</v>
      </c>
      <c r="B104" s="31">
        <f t="shared" ref="B104:B115" si="9">+E104/D104</f>
        <v>0.35168901318894663</v>
      </c>
      <c r="C104" s="31">
        <f t="shared" ref="C104:C115" si="10">+F104/D104</f>
        <v>0.64831098681105337</v>
      </c>
      <c r="D104" s="30">
        <f t="shared" ref="D104:D114" si="11">+F104+E104</f>
        <v>3553051</v>
      </c>
      <c r="E104" s="29">
        <v>1249569</v>
      </c>
      <c r="F104" s="29">
        <v>2303482</v>
      </c>
      <c r="G104" s="8"/>
      <c r="H104" s="8"/>
      <c r="I104" s="8"/>
      <c r="J104" s="8"/>
      <c r="K104" s="46"/>
      <c r="L104" s="46"/>
      <c r="R104" s="100" t="s">
        <v>0</v>
      </c>
      <c r="S104" s="100">
        <f>+U104*0.65</f>
        <v>4881012.5</v>
      </c>
      <c r="T104" s="100">
        <f>+U104-S104</f>
        <v>2628237.5</v>
      </c>
      <c r="U104" s="102">
        <f>7425917+83333</f>
        <v>7509250</v>
      </c>
      <c r="V104" s="27">
        <f>+S104/U104</f>
        <v>0.65</v>
      </c>
      <c r="W104" s="27">
        <f>+T104/U104</f>
        <v>0.35</v>
      </c>
    </row>
    <row r="105" spans="1:23">
      <c r="A105" s="8" t="s">
        <v>1</v>
      </c>
      <c r="B105" s="31">
        <f t="shared" si="9"/>
        <v>0.22777469340429188</v>
      </c>
      <c r="C105" s="31">
        <f t="shared" si="10"/>
        <v>0.77222530659570809</v>
      </c>
      <c r="D105" s="30">
        <f t="shared" si="11"/>
        <v>3339414</v>
      </c>
      <c r="E105" s="29">
        <v>760634</v>
      </c>
      <c r="F105" s="29">
        <v>2578780</v>
      </c>
      <c r="G105" s="8"/>
      <c r="H105" s="8"/>
      <c r="I105" s="8"/>
      <c r="J105" s="8"/>
      <c r="K105" s="46"/>
      <c r="L105" s="46"/>
      <c r="R105" s="100" t="s">
        <v>1</v>
      </c>
      <c r="S105" s="100">
        <f>+U105*0.77</f>
        <v>7797457.3600000003</v>
      </c>
      <c r="T105" s="100">
        <f t="shared" ref="T105:T115" si="12">+U105-S105</f>
        <v>2329110.6399999997</v>
      </c>
      <c r="U105" s="102">
        <f>10043235+83333</f>
        <v>10126568</v>
      </c>
      <c r="V105" s="27">
        <f t="shared" ref="V105:V115" si="13">+S105/U105</f>
        <v>0.77</v>
      </c>
      <c r="W105" s="27">
        <f t="shared" ref="W105:W115" si="14">+T105/U105</f>
        <v>0.22999999999999995</v>
      </c>
    </row>
    <row r="106" spans="1:23">
      <c r="A106" s="8" t="s">
        <v>2</v>
      </c>
      <c r="B106" s="31">
        <f t="shared" si="9"/>
        <v>0.14201140975768184</v>
      </c>
      <c r="C106" s="31">
        <f t="shared" si="10"/>
        <v>0.85798859024231811</v>
      </c>
      <c r="D106" s="30">
        <f t="shared" si="11"/>
        <v>14745449</v>
      </c>
      <c r="E106" s="29">
        <v>2094022</v>
      </c>
      <c r="F106" s="29">
        <v>12651427</v>
      </c>
      <c r="G106" s="8"/>
      <c r="H106" s="8"/>
      <c r="I106" s="8"/>
      <c r="J106" s="8"/>
      <c r="K106" s="46"/>
      <c r="L106" s="46"/>
      <c r="R106" s="100" t="s">
        <v>2</v>
      </c>
      <c r="S106" s="100">
        <f>+U106*0.86</f>
        <v>10240395.82</v>
      </c>
      <c r="T106" s="100">
        <f t="shared" si="12"/>
        <v>1667041.1799999997</v>
      </c>
      <c r="U106" s="102">
        <f>11824104+83333</f>
        <v>11907437</v>
      </c>
      <c r="V106" s="27">
        <f t="shared" si="13"/>
        <v>0.86</v>
      </c>
      <c r="W106" s="27">
        <f t="shared" si="14"/>
        <v>0.13999999999999999</v>
      </c>
    </row>
    <row r="107" spans="1:23">
      <c r="A107" s="8" t="s">
        <v>3</v>
      </c>
      <c r="B107" s="31">
        <f t="shared" si="9"/>
        <v>0.19256889655728698</v>
      </c>
      <c r="C107" s="31">
        <f t="shared" si="10"/>
        <v>0.80743110344271307</v>
      </c>
      <c r="D107" s="30">
        <f t="shared" si="11"/>
        <v>21360973</v>
      </c>
      <c r="E107" s="29">
        <v>4113459</v>
      </c>
      <c r="F107" s="29">
        <v>17247514</v>
      </c>
      <c r="G107" s="8"/>
      <c r="H107" s="8"/>
      <c r="I107" s="8"/>
      <c r="J107" s="8"/>
      <c r="K107" s="46"/>
      <c r="L107" s="46"/>
      <c r="R107" s="100" t="s">
        <v>3</v>
      </c>
      <c r="S107" s="100">
        <f>+U107*0.81</f>
        <v>14983452.9</v>
      </c>
      <c r="T107" s="100">
        <f t="shared" si="12"/>
        <v>3514637.0999999996</v>
      </c>
      <c r="U107" s="102">
        <f>18414757+83333</f>
        <v>18498090</v>
      </c>
      <c r="V107" s="27">
        <f t="shared" si="13"/>
        <v>0.81</v>
      </c>
      <c r="W107" s="27">
        <f t="shared" si="14"/>
        <v>0.18999999999999997</v>
      </c>
    </row>
    <row r="108" spans="1:23">
      <c r="A108" s="8" t="s">
        <v>4</v>
      </c>
      <c r="B108" s="31">
        <f t="shared" si="9"/>
        <v>0.2723362717288621</v>
      </c>
      <c r="C108" s="31">
        <f t="shared" si="10"/>
        <v>0.7276637282711379</v>
      </c>
      <c r="D108" s="30">
        <f t="shared" si="11"/>
        <v>12778856</v>
      </c>
      <c r="E108" s="29">
        <v>3480146</v>
      </c>
      <c r="F108" s="29">
        <v>9298710</v>
      </c>
      <c r="G108" s="8"/>
      <c r="H108" s="8"/>
      <c r="I108" s="8"/>
      <c r="J108" s="8"/>
      <c r="K108" s="46"/>
      <c r="L108" s="46"/>
      <c r="R108" s="100" t="s">
        <v>4</v>
      </c>
      <c r="S108" s="100">
        <f>+U108*0.73</f>
        <v>10721124.560000001</v>
      </c>
      <c r="T108" s="100">
        <f t="shared" si="12"/>
        <v>3965347.4399999995</v>
      </c>
      <c r="U108" s="102">
        <f>14603139+83333</f>
        <v>14686472</v>
      </c>
      <c r="V108" s="27">
        <f t="shared" si="13"/>
        <v>0.73</v>
      </c>
      <c r="W108" s="27">
        <f t="shared" si="14"/>
        <v>0.26999999999999996</v>
      </c>
    </row>
    <row r="109" spans="1:23">
      <c r="A109" s="8" t="s">
        <v>21</v>
      </c>
      <c r="B109" s="31">
        <f t="shared" si="9"/>
        <v>0.10209120568325056</v>
      </c>
      <c r="C109" s="31">
        <f t="shared" si="10"/>
        <v>0.89790879431674941</v>
      </c>
      <c r="D109" s="30">
        <f t="shared" si="11"/>
        <v>10251598</v>
      </c>
      <c r="E109" s="29">
        <v>1046598</v>
      </c>
      <c r="F109" s="29">
        <v>9205000</v>
      </c>
      <c r="G109" s="8"/>
      <c r="H109" s="8"/>
      <c r="I109" s="8"/>
      <c r="J109" s="8"/>
      <c r="K109" s="46"/>
      <c r="L109" s="46"/>
      <c r="R109" s="100" t="s">
        <v>21</v>
      </c>
      <c r="S109" s="100">
        <f>+U109*0.9</f>
        <v>10506141.9</v>
      </c>
      <c r="T109" s="100">
        <f t="shared" si="12"/>
        <v>1167349.0999999996</v>
      </c>
      <c r="U109" s="102">
        <f>11590158+83333</f>
        <v>11673491</v>
      </c>
      <c r="V109" s="27">
        <f t="shared" si="13"/>
        <v>0.9</v>
      </c>
      <c r="W109" s="27">
        <f t="shared" si="14"/>
        <v>9.9999999999999964E-2</v>
      </c>
    </row>
    <row r="110" spans="1:23">
      <c r="A110" s="8" t="s">
        <v>22</v>
      </c>
      <c r="B110" s="31">
        <f t="shared" si="9"/>
        <v>0.34152772811069265</v>
      </c>
      <c r="C110" s="31">
        <f t="shared" si="10"/>
        <v>0.65847227188930735</v>
      </c>
      <c r="D110" s="30">
        <f t="shared" si="11"/>
        <v>43380507</v>
      </c>
      <c r="E110" s="29">
        <v>14815646</v>
      </c>
      <c r="F110" s="29">
        <v>28564861</v>
      </c>
      <c r="G110" s="8"/>
      <c r="H110" s="8"/>
      <c r="I110" s="8"/>
      <c r="J110" s="8"/>
      <c r="K110" s="46"/>
      <c r="L110" s="46"/>
      <c r="R110" s="100" t="s">
        <v>22</v>
      </c>
      <c r="S110" s="100">
        <f>+U3:U110*0.65</f>
        <v>6868260.1000000006</v>
      </c>
      <c r="T110" s="100">
        <f t="shared" si="12"/>
        <v>3698293.8999999994</v>
      </c>
      <c r="U110" s="102">
        <f>10483221+83333</f>
        <v>10566554</v>
      </c>
      <c r="V110" s="27">
        <f t="shared" si="13"/>
        <v>0.65</v>
      </c>
      <c r="W110" s="27">
        <f t="shared" si="14"/>
        <v>0.34999999999999992</v>
      </c>
    </row>
    <row r="111" spans="1:23">
      <c r="A111" s="8" t="s">
        <v>7</v>
      </c>
      <c r="B111" s="31">
        <f t="shared" si="9"/>
        <v>0.37011470426409399</v>
      </c>
      <c r="C111" s="31">
        <f t="shared" si="10"/>
        <v>0.62988529573590601</v>
      </c>
      <c r="D111" s="30">
        <f t="shared" si="11"/>
        <v>10912236</v>
      </c>
      <c r="E111" s="29">
        <v>4038779</v>
      </c>
      <c r="F111" s="29">
        <v>6873457</v>
      </c>
      <c r="G111" s="8"/>
      <c r="H111" s="8"/>
      <c r="I111" s="8"/>
      <c r="J111" s="8"/>
      <c r="K111" s="46"/>
      <c r="L111" s="46"/>
      <c r="R111" s="100" t="s">
        <v>7</v>
      </c>
      <c r="S111" s="100">
        <f>+U111*0.63</f>
        <v>6344551.71</v>
      </c>
      <c r="T111" s="100">
        <f t="shared" si="12"/>
        <v>3726165.29</v>
      </c>
      <c r="U111" s="102">
        <f>9987384+83333</f>
        <v>10070717</v>
      </c>
      <c r="V111" s="27">
        <f t="shared" si="13"/>
        <v>0.63</v>
      </c>
      <c r="W111" s="27">
        <f t="shared" si="14"/>
        <v>0.37</v>
      </c>
    </row>
    <row r="112" spans="1:23">
      <c r="A112" s="8" t="s">
        <v>8</v>
      </c>
      <c r="B112" s="31">
        <f t="shared" si="9"/>
        <v>0.29355262503391116</v>
      </c>
      <c r="C112" s="31">
        <f t="shared" si="10"/>
        <v>0.70644737496608878</v>
      </c>
      <c r="D112" s="30">
        <f t="shared" si="11"/>
        <v>5669222</v>
      </c>
      <c r="E112" s="29">
        <v>1664215</v>
      </c>
      <c r="F112" s="29">
        <v>4005007</v>
      </c>
      <c r="G112" s="8"/>
      <c r="H112" s="8"/>
      <c r="I112" s="8"/>
      <c r="J112" s="8"/>
      <c r="K112" s="46"/>
      <c r="L112" s="46"/>
      <c r="R112" s="100" t="s">
        <v>8</v>
      </c>
      <c r="S112" s="100">
        <f>+U112*0.71</f>
        <v>8278161.9299999997</v>
      </c>
      <c r="T112" s="100">
        <f t="shared" si="12"/>
        <v>3381221.0700000003</v>
      </c>
      <c r="U112" s="102">
        <f>11576050+83333</f>
        <v>11659383</v>
      </c>
      <c r="V112" s="27">
        <f t="shared" si="13"/>
        <v>0.71</v>
      </c>
      <c r="W112" s="27">
        <f t="shared" si="14"/>
        <v>0.29000000000000004</v>
      </c>
    </row>
    <row r="113" spans="1:23">
      <c r="A113" s="8" t="s">
        <v>9</v>
      </c>
      <c r="B113" s="31">
        <f t="shared" si="9"/>
        <v>0.1174697557986831</v>
      </c>
      <c r="C113" s="31">
        <f t="shared" si="10"/>
        <v>0.88253024420131687</v>
      </c>
      <c r="D113" s="30">
        <f t="shared" si="11"/>
        <v>7011592</v>
      </c>
      <c r="E113" s="29">
        <v>823650</v>
      </c>
      <c r="F113" s="29">
        <v>6187942</v>
      </c>
      <c r="G113" s="8"/>
      <c r="H113" s="8"/>
      <c r="I113" s="8"/>
      <c r="J113" s="8"/>
      <c r="K113" s="46"/>
      <c r="L113" s="46"/>
      <c r="R113" s="100" t="s">
        <v>9</v>
      </c>
      <c r="S113" s="100">
        <f>+U113*0.88</f>
        <v>22844499.039999999</v>
      </c>
      <c r="T113" s="100">
        <f t="shared" si="12"/>
        <v>3115158.9600000009</v>
      </c>
      <c r="U113" s="102">
        <f>25876325+83333</f>
        <v>25959658</v>
      </c>
      <c r="V113" s="27">
        <f t="shared" si="13"/>
        <v>0.88</v>
      </c>
      <c r="W113" s="27">
        <f t="shared" si="14"/>
        <v>0.12000000000000004</v>
      </c>
    </row>
    <row r="114" spans="1:23">
      <c r="A114" s="8" t="s">
        <v>10</v>
      </c>
      <c r="B114" s="31">
        <f t="shared" si="9"/>
        <v>0.220501009649436</v>
      </c>
      <c r="C114" s="31">
        <f t="shared" si="10"/>
        <v>0.77949899035056402</v>
      </c>
      <c r="D114" s="30">
        <f t="shared" si="11"/>
        <v>7032639</v>
      </c>
      <c r="E114" s="29">
        <v>1550704</v>
      </c>
      <c r="F114" s="29">
        <v>5481935</v>
      </c>
      <c r="G114" s="8"/>
      <c r="H114" s="8"/>
      <c r="I114" s="8"/>
      <c r="J114" s="8"/>
      <c r="K114" s="46"/>
      <c r="L114" s="46"/>
      <c r="R114" s="100" t="s">
        <v>10</v>
      </c>
      <c r="S114" s="100">
        <f>+U114*0.71</f>
        <v>11167980.5</v>
      </c>
      <c r="T114" s="100">
        <f t="shared" si="12"/>
        <v>4561569.5</v>
      </c>
      <c r="U114" s="102">
        <f>15646213+83337</f>
        <v>15729550</v>
      </c>
      <c r="V114" s="27">
        <f t="shared" si="13"/>
        <v>0.71</v>
      </c>
      <c r="W114" s="27">
        <f t="shared" si="14"/>
        <v>0.28999999999999998</v>
      </c>
    </row>
    <row r="115" spans="1:23">
      <c r="A115" s="8" t="s">
        <v>11</v>
      </c>
      <c r="B115" s="31">
        <f t="shared" si="9"/>
        <v>0.15880671320876266</v>
      </c>
      <c r="C115" s="31">
        <f t="shared" si="10"/>
        <v>0.84119328679123728</v>
      </c>
      <c r="D115" s="30">
        <v>10844233</v>
      </c>
      <c r="E115" s="29">
        <v>1722137</v>
      </c>
      <c r="F115" s="29">
        <v>9122096</v>
      </c>
      <c r="G115" s="8"/>
      <c r="H115" s="8"/>
      <c r="I115" s="8"/>
      <c r="J115" s="8"/>
      <c r="K115" s="46"/>
      <c r="L115" s="46"/>
      <c r="R115" s="100" t="s">
        <v>11</v>
      </c>
      <c r="S115" s="100">
        <f>+U115*0.8</f>
        <v>10090264</v>
      </c>
      <c r="T115" s="100">
        <f t="shared" si="12"/>
        <v>2522566</v>
      </c>
      <c r="U115" s="102">
        <f>12529497+83333</f>
        <v>12612830</v>
      </c>
      <c r="V115" s="27">
        <f t="shared" si="13"/>
        <v>0.8</v>
      </c>
      <c r="W115" s="27">
        <f t="shared" si="14"/>
        <v>0.2</v>
      </c>
    </row>
    <row r="116" spans="1:23">
      <c r="B116" s="32"/>
      <c r="C116" s="32"/>
      <c r="D116" s="32"/>
      <c r="E116" s="32"/>
      <c r="F116" s="32"/>
    </row>
    <row r="117" spans="1:23">
      <c r="A117" s="12" t="s">
        <v>12</v>
      </c>
      <c r="B117" s="35">
        <f>+E117/D117</f>
        <v>0.24761145248299357</v>
      </c>
      <c r="C117" s="35">
        <f>+F117/D117</f>
        <v>0.75238854751700646</v>
      </c>
      <c r="D117" s="34">
        <f>SUM(D104:D115)</f>
        <v>150879770</v>
      </c>
      <c r="E117" s="33">
        <f>SUM(E104:E116)</f>
        <v>37359559</v>
      </c>
      <c r="F117" s="33">
        <f>SUM(F104:F116)</f>
        <v>113520211</v>
      </c>
      <c r="G117" s="12"/>
      <c r="H117" s="12"/>
      <c r="I117" s="12"/>
      <c r="J117" s="12"/>
      <c r="K117" s="12"/>
      <c r="L117" s="12"/>
      <c r="R117" s="105" t="s">
        <v>12</v>
      </c>
      <c r="S117" s="95">
        <f>SUM(S104:S116)</f>
        <v>124723302.31999999</v>
      </c>
      <c r="T117" s="95">
        <f>SUM(T104:T116)</f>
        <v>36276697.679999992</v>
      </c>
      <c r="U117" s="103">
        <f>SUM(S117:T117)</f>
        <v>161000000</v>
      </c>
      <c r="V117" s="1"/>
      <c r="W117" s="1"/>
    </row>
    <row r="120" spans="1:23">
      <c r="F120" t="s">
        <v>27</v>
      </c>
    </row>
    <row r="123" spans="1:23">
      <c r="B123" t="s">
        <v>25</v>
      </c>
      <c r="C123" t="s">
        <v>24</v>
      </c>
      <c r="D123" s="1" t="s">
        <v>12</v>
      </c>
      <c r="E123" s="1" t="s">
        <v>13</v>
      </c>
      <c r="F123" s="1" t="s">
        <v>23</v>
      </c>
    </row>
    <row r="124" spans="1:23">
      <c r="A124" s="8" t="s">
        <v>0</v>
      </c>
      <c r="B124" s="31">
        <f t="shared" ref="B124:B135" si="15">+E124/D124</f>
        <v>0.35</v>
      </c>
      <c r="C124" s="31">
        <f t="shared" ref="C124:C135" si="16">+F124/D124</f>
        <v>0.65</v>
      </c>
      <c r="D124" s="28">
        <f>7425917+83333</f>
        <v>7509250</v>
      </c>
      <c r="E124" s="29">
        <f t="shared" ref="E124:E135" si="17">+D124-F124</f>
        <v>2628237.5</v>
      </c>
      <c r="F124" s="29">
        <f>+D124*0.65</f>
        <v>4881012.5</v>
      </c>
      <c r="G124" s="8"/>
      <c r="H124" s="8"/>
      <c r="I124" s="8"/>
      <c r="J124" s="8"/>
      <c r="K124" s="46"/>
      <c r="L124" s="46"/>
    </row>
    <row r="125" spans="1:23">
      <c r="A125" s="8" t="s">
        <v>1</v>
      </c>
      <c r="B125" s="31">
        <f t="shared" si="15"/>
        <v>0.22999999999999995</v>
      </c>
      <c r="C125" s="31">
        <f t="shared" si="16"/>
        <v>0.77</v>
      </c>
      <c r="D125" s="28">
        <f>10043235+83333</f>
        <v>10126568</v>
      </c>
      <c r="E125" s="29">
        <f t="shared" si="17"/>
        <v>2329110.6399999997</v>
      </c>
      <c r="F125" s="29">
        <f>+D125*0.77</f>
        <v>7797457.3600000003</v>
      </c>
      <c r="G125" s="8"/>
      <c r="H125" s="8"/>
      <c r="I125" s="8"/>
      <c r="J125" s="8"/>
      <c r="K125" s="46"/>
      <c r="L125" s="46"/>
    </row>
    <row r="126" spans="1:23">
      <c r="A126" s="8" t="s">
        <v>2</v>
      </c>
      <c r="B126" s="31">
        <f t="shared" si="15"/>
        <v>0.13999999999999999</v>
      </c>
      <c r="C126" s="31">
        <f t="shared" si="16"/>
        <v>0.86</v>
      </c>
      <c r="D126" s="28">
        <f>11824104+83333</f>
        <v>11907437</v>
      </c>
      <c r="E126" s="29">
        <f t="shared" si="17"/>
        <v>1667041.1799999997</v>
      </c>
      <c r="F126" s="29">
        <f>+D126*0.86</f>
        <v>10240395.82</v>
      </c>
      <c r="G126" s="8"/>
      <c r="H126" s="8"/>
      <c r="I126" s="8"/>
      <c r="J126" s="8"/>
      <c r="K126" s="46"/>
      <c r="L126" s="46"/>
    </row>
    <row r="127" spans="1:23">
      <c r="A127" s="8" t="s">
        <v>3</v>
      </c>
      <c r="B127" s="31">
        <f t="shared" si="15"/>
        <v>0.18999999999999997</v>
      </c>
      <c r="C127" s="31">
        <f t="shared" si="16"/>
        <v>0.81</v>
      </c>
      <c r="D127" s="28">
        <f>18414757+83333</f>
        <v>18498090</v>
      </c>
      <c r="E127" s="29">
        <f t="shared" si="17"/>
        <v>3514637.0999999996</v>
      </c>
      <c r="F127" s="29">
        <f>+D127*0.81</f>
        <v>14983452.9</v>
      </c>
      <c r="G127" s="8"/>
      <c r="H127" s="8"/>
      <c r="I127" s="8"/>
      <c r="J127" s="8"/>
      <c r="K127" s="46"/>
      <c r="L127" s="46"/>
    </row>
    <row r="128" spans="1:23">
      <c r="A128" s="8" t="s">
        <v>4</v>
      </c>
      <c r="B128" s="31">
        <f t="shared" si="15"/>
        <v>0.26999999999999996</v>
      </c>
      <c r="C128" s="31">
        <f t="shared" si="16"/>
        <v>0.73</v>
      </c>
      <c r="D128" s="28">
        <f>14603139+83333</f>
        <v>14686472</v>
      </c>
      <c r="E128" s="29">
        <f t="shared" si="17"/>
        <v>3965347.4399999995</v>
      </c>
      <c r="F128" s="29">
        <f>+D128*0.73</f>
        <v>10721124.560000001</v>
      </c>
      <c r="G128" s="8"/>
      <c r="H128" s="8"/>
      <c r="I128" s="8"/>
      <c r="J128" s="8"/>
      <c r="K128" s="46"/>
      <c r="L128" s="46"/>
    </row>
    <row r="129" spans="1:12">
      <c r="A129" s="8" t="s">
        <v>21</v>
      </c>
      <c r="B129" s="31">
        <f t="shared" si="15"/>
        <v>9.9999999999999964E-2</v>
      </c>
      <c r="C129" s="31">
        <f t="shared" si="16"/>
        <v>0.9</v>
      </c>
      <c r="D129" s="28">
        <f>11590158+83333</f>
        <v>11673491</v>
      </c>
      <c r="E129" s="29">
        <f t="shared" si="17"/>
        <v>1167349.0999999996</v>
      </c>
      <c r="F129" s="29">
        <f>+D129*0.9</f>
        <v>10506141.9</v>
      </c>
      <c r="G129" s="8"/>
      <c r="H129" s="8"/>
      <c r="I129" s="8"/>
      <c r="J129" s="8"/>
      <c r="K129" s="46"/>
      <c r="L129" s="46"/>
    </row>
    <row r="130" spans="1:12">
      <c r="A130" s="8" t="s">
        <v>22</v>
      </c>
      <c r="B130" s="31">
        <f t="shared" si="15"/>
        <v>0.35000000946382331</v>
      </c>
      <c r="C130" s="31">
        <f t="shared" si="16"/>
        <v>0.64999999053617674</v>
      </c>
      <c r="D130" s="28">
        <f>10483221+83333</f>
        <v>10566554</v>
      </c>
      <c r="E130" s="29">
        <f t="shared" si="17"/>
        <v>3698294</v>
      </c>
      <c r="F130" s="29">
        <v>6868260</v>
      </c>
      <c r="G130" s="8"/>
      <c r="H130" s="8"/>
      <c r="I130" s="8"/>
      <c r="J130" s="8"/>
      <c r="K130" s="46"/>
      <c r="L130" s="46"/>
    </row>
    <row r="131" spans="1:12">
      <c r="A131" s="8" t="s">
        <v>7</v>
      </c>
      <c r="B131" s="31">
        <f t="shared" si="15"/>
        <v>0.37</v>
      </c>
      <c r="C131" s="31">
        <f t="shared" si="16"/>
        <v>0.63</v>
      </c>
      <c r="D131" s="28">
        <f>9987384+83333</f>
        <v>10070717</v>
      </c>
      <c r="E131" s="29">
        <f t="shared" si="17"/>
        <v>3726165.29</v>
      </c>
      <c r="F131" s="29">
        <f>+D131*0.63</f>
        <v>6344551.71</v>
      </c>
      <c r="G131" s="8"/>
      <c r="H131" s="8"/>
      <c r="I131" s="8"/>
      <c r="J131" s="8"/>
      <c r="K131" s="46"/>
      <c r="L131" s="46"/>
    </row>
    <row r="132" spans="1:12">
      <c r="A132" s="8" t="s">
        <v>8</v>
      </c>
      <c r="B132" s="31">
        <f t="shared" si="15"/>
        <v>0.29000000000000004</v>
      </c>
      <c r="C132" s="31">
        <f t="shared" si="16"/>
        <v>0.71</v>
      </c>
      <c r="D132" s="28">
        <f>11576050+83333</f>
        <v>11659383</v>
      </c>
      <c r="E132" s="29">
        <f t="shared" si="17"/>
        <v>3381221.0700000003</v>
      </c>
      <c r="F132" s="29">
        <f>+D132*0.71</f>
        <v>8278161.9299999997</v>
      </c>
      <c r="G132" s="8"/>
      <c r="H132" s="8"/>
      <c r="I132" s="8"/>
      <c r="J132" s="8"/>
      <c r="K132" s="46"/>
      <c r="L132" s="46"/>
    </row>
    <row r="133" spans="1:12">
      <c r="A133" s="8" t="s">
        <v>9</v>
      </c>
      <c r="B133" s="31">
        <f t="shared" si="15"/>
        <v>0.12000000000000004</v>
      </c>
      <c r="C133" s="31">
        <f t="shared" si="16"/>
        <v>0.88</v>
      </c>
      <c r="D133" s="28">
        <f>25876325+83333</f>
        <v>25959658</v>
      </c>
      <c r="E133" s="29">
        <f t="shared" si="17"/>
        <v>3115158.9600000009</v>
      </c>
      <c r="F133" s="29">
        <f>+D133*0.88</f>
        <v>22844499.039999999</v>
      </c>
      <c r="G133" s="8"/>
      <c r="H133" s="8"/>
      <c r="I133" s="8"/>
      <c r="J133" s="8"/>
      <c r="K133" s="46"/>
      <c r="L133" s="46"/>
    </row>
    <row r="134" spans="1:12">
      <c r="A134" s="8" t="s">
        <v>10</v>
      </c>
      <c r="B134" s="31">
        <f t="shared" si="15"/>
        <v>0.28999999999999998</v>
      </c>
      <c r="C134" s="31">
        <f t="shared" si="16"/>
        <v>0.71</v>
      </c>
      <c r="D134" s="28">
        <f>15646213+83337</f>
        <v>15729550</v>
      </c>
      <c r="E134" s="29">
        <f t="shared" si="17"/>
        <v>4561569.5</v>
      </c>
      <c r="F134" s="29">
        <f>+D134*0.71</f>
        <v>11167980.5</v>
      </c>
      <c r="G134" s="8"/>
      <c r="H134" s="8"/>
      <c r="I134" s="8"/>
      <c r="J134" s="8"/>
      <c r="K134" s="46"/>
      <c r="L134" s="46"/>
    </row>
    <row r="135" spans="1:12">
      <c r="A135" s="8" t="s">
        <v>11</v>
      </c>
      <c r="B135" s="31">
        <f t="shared" si="15"/>
        <v>0.2</v>
      </c>
      <c r="C135" s="31">
        <f t="shared" si="16"/>
        <v>0.8</v>
      </c>
      <c r="D135" s="28">
        <f>12529497+83333</f>
        <v>12612830</v>
      </c>
      <c r="E135" s="29">
        <f t="shared" si="17"/>
        <v>2522566</v>
      </c>
      <c r="F135" s="29">
        <f>+D135*0.8</f>
        <v>10090264</v>
      </c>
      <c r="G135" s="8"/>
      <c r="H135" s="8"/>
      <c r="I135" s="8"/>
      <c r="J135" s="8"/>
      <c r="K135" s="46"/>
      <c r="L135" s="46"/>
    </row>
    <row r="137" spans="1:12">
      <c r="A137" s="12" t="s">
        <v>12</v>
      </c>
      <c r="B137" s="1"/>
      <c r="C137" s="1"/>
      <c r="D137" s="36">
        <f>SUM(F137:F137)</f>
        <v>124723302.22</v>
      </c>
      <c r="E137" s="33">
        <f>SUM(E124:E136)</f>
        <v>36276697.780000001</v>
      </c>
      <c r="F137" s="33">
        <f>SUM(F124:F136)</f>
        <v>124723302.22</v>
      </c>
      <c r="G137" s="12"/>
      <c r="H137" s="12"/>
      <c r="I137" s="12"/>
      <c r="J137" s="12"/>
      <c r="K137" s="12"/>
      <c r="L137" s="12"/>
    </row>
    <row r="190" spans="5:19">
      <c r="E190" t="s">
        <v>34</v>
      </c>
      <c r="S190" s="94" t="s">
        <v>36</v>
      </c>
    </row>
    <row r="194" spans="1:12" ht="15.75">
      <c r="A194" s="6"/>
      <c r="B194" s="45"/>
      <c r="C194" s="44"/>
      <c r="D194" s="43"/>
      <c r="E194" s="42"/>
      <c r="F194" s="41"/>
      <c r="G194" s="40"/>
      <c r="H194" s="6"/>
      <c r="I194" s="6"/>
      <c r="J194" s="6"/>
      <c r="K194" s="6"/>
      <c r="L194" s="6"/>
    </row>
    <row r="195" spans="1:12" ht="15.75">
      <c r="A195" s="6"/>
      <c r="B195" s="45"/>
      <c r="C195" s="44"/>
      <c r="D195" s="43"/>
      <c r="E195" s="42"/>
      <c r="F195" s="41"/>
      <c r="G195" s="40"/>
      <c r="H195" s="6"/>
      <c r="I195" s="6"/>
      <c r="J195" s="6"/>
      <c r="K195" s="6"/>
      <c r="L195" s="6"/>
    </row>
    <row r="196" spans="1:12">
      <c r="A196" s="46"/>
      <c r="B196" s="37"/>
      <c r="C196" s="49"/>
      <c r="D196" s="10"/>
      <c r="E196" s="48"/>
      <c r="F196" s="56"/>
      <c r="G196" s="47"/>
      <c r="H196" s="46"/>
      <c r="I196" s="46"/>
      <c r="J196" s="46"/>
      <c r="K196" s="46"/>
      <c r="L196" s="46"/>
    </row>
    <row r="197" spans="1:12">
      <c r="A197" s="46"/>
      <c r="B197" s="37"/>
      <c r="C197" s="49"/>
      <c r="D197" s="10"/>
      <c r="E197" s="57"/>
      <c r="F197" s="56"/>
      <c r="G197" s="47"/>
      <c r="H197" s="46"/>
      <c r="I197" s="46"/>
      <c r="J197" s="46"/>
      <c r="K197" s="46"/>
      <c r="L197" s="46"/>
    </row>
    <row r="198" spans="1:12">
      <c r="A198" s="46"/>
      <c r="B198" s="37"/>
      <c r="C198" s="49"/>
      <c r="D198" s="10"/>
      <c r="E198" s="57"/>
      <c r="F198" s="56"/>
      <c r="G198" s="47"/>
      <c r="H198" s="46"/>
      <c r="I198" s="46"/>
      <c r="J198" s="46"/>
      <c r="K198" s="46"/>
      <c r="L198" s="46"/>
    </row>
    <row r="199" spans="1:12">
      <c r="A199" s="46"/>
      <c r="B199" s="37"/>
      <c r="C199" s="49"/>
      <c r="D199" s="10"/>
      <c r="E199" s="57"/>
      <c r="F199" s="56"/>
      <c r="G199" s="47"/>
      <c r="H199" s="46"/>
      <c r="I199" s="46"/>
      <c r="J199" s="46"/>
      <c r="K199" s="46"/>
      <c r="L199" s="46"/>
    </row>
    <row r="200" spans="1:12">
      <c r="A200" s="46"/>
      <c r="B200" s="37"/>
      <c r="C200" s="49"/>
      <c r="D200" s="10"/>
      <c r="E200" s="57"/>
      <c r="F200" s="56"/>
      <c r="G200" s="47"/>
      <c r="H200" s="46"/>
      <c r="I200" s="46"/>
      <c r="J200" s="46"/>
      <c r="K200" s="46"/>
      <c r="L200" s="46"/>
    </row>
    <row r="201" spans="1:12">
      <c r="A201" s="46"/>
      <c r="B201" s="37"/>
      <c r="C201" s="49"/>
      <c r="D201" s="10"/>
      <c r="E201" s="57"/>
      <c r="F201" s="56"/>
      <c r="G201" s="47"/>
      <c r="H201" s="46"/>
      <c r="I201" s="46"/>
      <c r="J201" s="46"/>
      <c r="K201" s="46"/>
      <c r="L201" s="46"/>
    </row>
    <row r="202" spans="1:12">
      <c r="A202" s="46"/>
      <c r="B202" s="37"/>
      <c r="C202" s="49"/>
      <c r="D202" s="10"/>
      <c r="E202" s="57"/>
      <c r="F202" s="56"/>
      <c r="G202" s="47"/>
      <c r="H202" s="46"/>
      <c r="I202" s="46"/>
      <c r="J202" s="46"/>
      <c r="K202" s="46"/>
      <c r="L202" s="46"/>
    </row>
    <row r="209" spans="1:22">
      <c r="A209" s="46"/>
      <c r="B209" s="37"/>
      <c r="C209" s="49"/>
      <c r="D209" s="10"/>
      <c r="E209" s="9"/>
      <c r="F209" s="50"/>
      <c r="G209" s="47"/>
      <c r="H209" s="46"/>
      <c r="I209" s="46"/>
      <c r="J209" s="46"/>
      <c r="K209" s="46"/>
      <c r="L209" s="46"/>
    </row>
    <row r="210" spans="1:22">
      <c r="A210" s="46"/>
      <c r="B210" s="55"/>
      <c r="C210" s="54"/>
      <c r="D210" s="53"/>
      <c r="E210" s="52"/>
      <c r="F210" s="51"/>
      <c r="G210" s="46"/>
      <c r="H210" s="46"/>
      <c r="I210" s="46"/>
      <c r="J210" s="46"/>
      <c r="K210" s="46"/>
      <c r="L210" s="46"/>
    </row>
    <row r="218" spans="1:22">
      <c r="B218" s="1" t="s">
        <v>21</v>
      </c>
      <c r="C218" s="1" t="s">
        <v>4</v>
      </c>
      <c r="D218" s="1" t="s">
        <v>3</v>
      </c>
      <c r="E218" s="1" t="s">
        <v>2</v>
      </c>
      <c r="F218" s="1" t="s">
        <v>1</v>
      </c>
      <c r="G218" s="1" t="s">
        <v>0</v>
      </c>
      <c r="M218" s="1" t="s">
        <v>22</v>
      </c>
      <c r="N218" s="1" t="s">
        <v>7</v>
      </c>
      <c r="P218" s="95" t="s">
        <v>8</v>
      </c>
      <c r="Q218" s="1" t="s">
        <v>9</v>
      </c>
      <c r="R218" s="95" t="s">
        <v>10</v>
      </c>
      <c r="S218" s="95" t="s">
        <v>11</v>
      </c>
      <c r="T218" s="95" t="s">
        <v>12</v>
      </c>
      <c r="U218" s="95" t="s">
        <v>28</v>
      </c>
      <c r="V218" s="1" t="s">
        <v>29</v>
      </c>
    </row>
    <row r="220" spans="1:22">
      <c r="A220" s="58" t="s">
        <v>30</v>
      </c>
      <c r="B220" s="59"/>
      <c r="C220" s="59">
        <v>9258076.4800000004</v>
      </c>
      <c r="D220" s="59">
        <v>16012117.9</v>
      </c>
      <c r="E220" s="59">
        <v>12097723.300000001</v>
      </c>
      <c r="F220" s="59">
        <v>7102504.2999999998</v>
      </c>
      <c r="G220" s="59">
        <v>2446416.7799999998</v>
      </c>
      <c r="H220" s="58"/>
      <c r="I220" s="58"/>
      <c r="J220" s="58"/>
      <c r="K220" s="58"/>
      <c r="L220" s="58"/>
      <c r="M220" s="59"/>
      <c r="N220" s="59"/>
      <c r="O220" s="142"/>
      <c r="P220" s="96"/>
      <c r="Q220" s="59"/>
      <c r="R220" s="96"/>
      <c r="S220" s="96"/>
      <c r="T220" s="94">
        <f>SUM(G220:S220)</f>
        <v>2446416.7799999998</v>
      </c>
      <c r="U220" s="104">
        <f>+T220-T221</f>
        <v>-5120834.2200000007</v>
      </c>
      <c r="V220" s="60">
        <f>+U220/T221</f>
        <v>-0.67670997301397839</v>
      </c>
    </row>
    <row r="221" spans="1:22">
      <c r="A221" s="67" t="s">
        <v>31</v>
      </c>
      <c r="B221" s="38">
        <v>11673491</v>
      </c>
      <c r="C221" s="68">
        <v>14686472</v>
      </c>
      <c r="D221" s="68">
        <v>18498090</v>
      </c>
      <c r="E221" s="68">
        <v>11907437</v>
      </c>
      <c r="F221" s="68">
        <v>10126568</v>
      </c>
      <c r="G221" s="68">
        <v>7567251</v>
      </c>
      <c r="H221" s="67"/>
      <c r="I221" s="67"/>
      <c r="J221" s="67"/>
      <c r="K221" s="67"/>
      <c r="L221" s="67"/>
      <c r="M221" s="38">
        <v>10556554</v>
      </c>
      <c r="N221" s="38">
        <v>10070717</v>
      </c>
      <c r="O221" s="140"/>
      <c r="P221" s="97">
        <v>11659383</v>
      </c>
      <c r="Q221" s="38">
        <v>25959608</v>
      </c>
      <c r="R221" s="97">
        <v>15729551</v>
      </c>
      <c r="S221" s="97">
        <v>12612830</v>
      </c>
      <c r="T221" s="94">
        <f>SUM(G221:G221)</f>
        <v>7567251</v>
      </c>
    </row>
    <row r="222" spans="1:22">
      <c r="A222" s="8" t="s">
        <v>19</v>
      </c>
      <c r="B222" s="38"/>
      <c r="C222" s="61">
        <f>+C220-C221</f>
        <v>-5428395.5199999996</v>
      </c>
      <c r="D222" s="61">
        <f>+D220-D221</f>
        <v>-2485972.0999999996</v>
      </c>
      <c r="E222" s="38">
        <f>+E220-E221</f>
        <v>190286.30000000075</v>
      </c>
      <c r="F222" s="61">
        <f>+F220-F221</f>
        <v>-3024063.7</v>
      </c>
      <c r="G222" s="61">
        <f>+G220-G221</f>
        <v>-5120834.2200000007</v>
      </c>
      <c r="H222" s="8"/>
      <c r="I222" s="8"/>
      <c r="J222" s="8"/>
      <c r="K222" s="8"/>
      <c r="L222" s="8"/>
      <c r="M222" s="38"/>
      <c r="N222" s="38"/>
      <c r="O222" s="140"/>
      <c r="P222" s="97"/>
      <c r="Q222" s="38"/>
      <c r="R222" s="97"/>
      <c r="S222" s="97"/>
    </row>
    <row r="223" spans="1:22">
      <c r="A223" s="8" t="s">
        <v>32</v>
      </c>
      <c r="B223" s="63"/>
      <c r="C223" s="62">
        <f>+C222/C221</f>
        <v>-0.36961875663535798</v>
      </c>
      <c r="D223" s="62">
        <f>+D222/D221</f>
        <v>-0.13439074520666727</v>
      </c>
      <c r="E223" s="63">
        <f>+E222/E221</f>
        <v>1.5980458263184658E-2</v>
      </c>
      <c r="F223" s="62">
        <f>+F222/F221</f>
        <v>-0.29862671143866315</v>
      </c>
      <c r="G223" s="62">
        <f>+G222/G221</f>
        <v>-0.67670997301397839</v>
      </c>
      <c r="H223" s="8"/>
      <c r="I223" s="8"/>
      <c r="J223" s="8"/>
      <c r="K223" s="8"/>
      <c r="L223" s="8"/>
      <c r="M223" s="63"/>
      <c r="N223" s="63"/>
      <c r="O223" s="140"/>
      <c r="P223" s="97"/>
      <c r="Q223" s="63"/>
      <c r="R223" s="97"/>
      <c r="S223" s="97"/>
    </row>
    <row r="225" spans="1:22">
      <c r="C225" s="1" t="s">
        <v>4</v>
      </c>
      <c r="D225" s="1" t="s">
        <v>3</v>
      </c>
      <c r="E225" s="1" t="s">
        <v>2</v>
      </c>
      <c r="F225" s="1" t="s">
        <v>1</v>
      </c>
      <c r="G225" s="1" t="s">
        <v>0</v>
      </c>
    </row>
    <row r="226" spans="1:22">
      <c r="A226" s="58" t="s">
        <v>30</v>
      </c>
      <c r="C226" s="69">
        <v>26</v>
      </c>
      <c r="D226" s="69">
        <v>57</v>
      </c>
      <c r="E226" s="69">
        <v>51</v>
      </c>
      <c r="F226" s="69">
        <v>17</v>
      </c>
      <c r="G226" s="69">
        <v>8</v>
      </c>
      <c r="H226" s="58"/>
      <c r="I226" s="58"/>
      <c r="J226" s="58"/>
      <c r="K226" s="122"/>
      <c r="L226" s="122"/>
      <c r="T226" s="94">
        <f>SUM(G226:G226)</f>
        <v>8</v>
      </c>
      <c r="U226" s="104">
        <f>+T226-T227</f>
        <v>-6</v>
      </c>
      <c r="V226" s="60">
        <f>+U226/T227</f>
        <v>-0.42857142857142855</v>
      </c>
    </row>
    <row r="227" spans="1:22">
      <c r="A227" s="67" t="s">
        <v>31</v>
      </c>
      <c r="C227" s="70">
        <v>26</v>
      </c>
      <c r="D227" s="70">
        <v>57</v>
      </c>
      <c r="E227" s="70">
        <v>69</v>
      </c>
      <c r="F227" s="70">
        <v>19</v>
      </c>
      <c r="G227" s="70">
        <v>14</v>
      </c>
      <c r="H227" s="67"/>
      <c r="I227" s="67"/>
      <c r="J227" s="67"/>
      <c r="K227" s="123"/>
      <c r="L227" s="123"/>
      <c r="T227" s="94">
        <f>SUM(G227:S227)</f>
        <v>14</v>
      </c>
    </row>
    <row r="231" spans="1:22">
      <c r="A231" s="74"/>
      <c r="D231" s="74"/>
      <c r="E231" s="74"/>
      <c r="F231" s="74"/>
      <c r="G231" s="74"/>
      <c r="H231" s="74"/>
      <c r="I231" s="74"/>
      <c r="J231" s="74"/>
      <c r="K231" s="74"/>
      <c r="L231" s="74"/>
    </row>
    <row r="240" spans="1:22">
      <c r="E240" t="s">
        <v>15</v>
      </c>
      <c r="S240" s="94" t="s">
        <v>42</v>
      </c>
    </row>
    <row r="241" spans="5:19">
      <c r="E241" t="s">
        <v>35</v>
      </c>
      <c r="S241" s="94" t="s">
        <v>35</v>
      </c>
    </row>
    <row r="270" spans="1:22">
      <c r="B270" s="1" t="s">
        <v>21</v>
      </c>
      <c r="C270" s="1" t="s">
        <v>4</v>
      </c>
      <c r="D270" s="1" t="s">
        <v>3</v>
      </c>
      <c r="E270" s="1" t="s">
        <v>2</v>
      </c>
      <c r="F270" s="1" t="s">
        <v>1</v>
      </c>
      <c r="G270" s="1" t="s">
        <v>0</v>
      </c>
      <c r="M270" s="1" t="s">
        <v>22</v>
      </c>
      <c r="N270" s="1" t="s">
        <v>7</v>
      </c>
      <c r="P270" s="95" t="s">
        <v>8</v>
      </c>
      <c r="Q270" s="1" t="s">
        <v>9</v>
      </c>
      <c r="R270" s="95" t="s">
        <v>10</v>
      </c>
      <c r="S270" s="95" t="s">
        <v>11</v>
      </c>
    </row>
    <row r="272" spans="1:22">
      <c r="A272" s="58" t="s">
        <v>30</v>
      </c>
      <c r="B272" s="64"/>
      <c r="C272" s="59">
        <v>9258076.4800000004</v>
      </c>
      <c r="D272" s="59">
        <v>16012117.9</v>
      </c>
      <c r="E272" s="59">
        <v>12097723.300000001</v>
      </c>
      <c r="F272" s="59">
        <v>7102504.2999999998</v>
      </c>
      <c r="G272" s="59">
        <v>2446416.7799999998</v>
      </c>
      <c r="H272" s="58"/>
      <c r="I272" s="58"/>
      <c r="J272" s="58"/>
      <c r="K272" s="58"/>
      <c r="L272" s="58"/>
      <c r="M272" s="64"/>
      <c r="N272" s="64"/>
      <c r="O272" s="142"/>
      <c r="P272" s="96"/>
      <c r="Q272" s="64"/>
      <c r="R272" s="96"/>
      <c r="S272" s="96"/>
      <c r="T272" s="94">
        <f>SUM(G272:G272)</f>
        <v>2446416.7799999998</v>
      </c>
      <c r="U272" s="104">
        <f>+T272-T273</f>
        <v>-1106634.2200000002</v>
      </c>
      <c r="V272" s="60">
        <f>+U272/T273</f>
        <v>-0.31146026893506462</v>
      </c>
    </row>
    <row r="273" spans="1:20">
      <c r="A273" s="65" t="s">
        <v>33</v>
      </c>
      <c r="B273" s="6"/>
      <c r="C273" s="66">
        <v>12778856</v>
      </c>
      <c r="D273" s="66">
        <v>21360973</v>
      </c>
      <c r="E273" s="66">
        <v>14745449</v>
      </c>
      <c r="F273" s="66">
        <v>3339414</v>
      </c>
      <c r="G273" s="66">
        <v>3553051</v>
      </c>
      <c r="H273" s="108"/>
      <c r="I273" s="108"/>
      <c r="J273" s="108"/>
      <c r="K273" s="108"/>
      <c r="L273" s="108"/>
      <c r="M273" s="6"/>
      <c r="N273" s="6"/>
      <c r="O273" s="143"/>
      <c r="P273" s="98"/>
      <c r="Q273" s="6"/>
      <c r="R273" s="98"/>
      <c r="S273" s="98"/>
      <c r="T273" s="94">
        <f>SUM(G273:S273)</f>
        <v>3553051</v>
      </c>
    </row>
    <row r="274" spans="1:20">
      <c r="A274" s="8">
        <v>2007</v>
      </c>
      <c r="B274" s="2">
        <v>10251598</v>
      </c>
      <c r="C274" s="2">
        <v>12778856</v>
      </c>
      <c r="D274" s="2">
        <v>21360973</v>
      </c>
      <c r="E274" s="2">
        <v>14745449</v>
      </c>
      <c r="F274" s="2">
        <v>3339414</v>
      </c>
      <c r="G274" s="2">
        <v>3553051</v>
      </c>
      <c r="H274" s="46"/>
      <c r="I274" s="46"/>
      <c r="J274" s="46"/>
      <c r="K274" s="46"/>
      <c r="L274" s="46"/>
      <c r="M274" s="2">
        <v>43380507</v>
      </c>
      <c r="N274" s="2">
        <v>10912236</v>
      </c>
      <c r="P274" s="94">
        <v>5669222</v>
      </c>
      <c r="Q274" s="2">
        <v>7011592</v>
      </c>
      <c r="R274" s="94">
        <v>7032639</v>
      </c>
      <c r="S274" s="94">
        <v>10844233</v>
      </c>
      <c r="T274" s="94">
        <f>SUM(G274:S274)</f>
        <v>88403480</v>
      </c>
    </row>
    <row r="275" spans="1:20">
      <c r="A275" s="8" t="s">
        <v>19</v>
      </c>
      <c r="B275" s="20"/>
      <c r="C275" s="61">
        <f>+C272-C273</f>
        <v>-3520779.5199999996</v>
      </c>
      <c r="D275" s="61">
        <f>+D272-D273</f>
        <v>-5348855.0999999996</v>
      </c>
      <c r="E275" s="61">
        <f>+E272-E273</f>
        <v>-2647725.6999999993</v>
      </c>
      <c r="F275" s="38">
        <f>+F272-F273</f>
        <v>3763090.3</v>
      </c>
      <c r="G275" s="61">
        <f>+G272-G273</f>
        <v>-1106634.2200000002</v>
      </c>
      <c r="H275" s="8"/>
      <c r="I275" s="8"/>
      <c r="J275" s="8"/>
      <c r="K275" s="8"/>
      <c r="L275" s="8"/>
      <c r="M275" s="20"/>
      <c r="N275" s="20"/>
      <c r="O275" s="140"/>
      <c r="P275" s="97"/>
      <c r="Q275" s="20"/>
      <c r="R275" s="97"/>
      <c r="S275" s="97"/>
    </row>
    <row r="276" spans="1:20">
      <c r="A276" s="8" t="s">
        <v>32</v>
      </c>
      <c r="B276" s="63"/>
      <c r="C276" s="62">
        <f>+C275/C274</f>
        <v>-0.27551601802227049</v>
      </c>
      <c r="D276" s="62">
        <f>+D275/D274</f>
        <v>-0.25040315813329289</v>
      </c>
      <c r="E276" s="62">
        <f>+E275/E274</f>
        <v>-0.17956222967506782</v>
      </c>
      <c r="F276" s="63">
        <f>+F275/F274</f>
        <v>1.1268714510989053</v>
      </c>
      <c r="G276" s="62">
        <f>+G275/G274</f>
        <v>-0.31146026893506462</v>
      </c>
      <c r="H276" s="8"/>
      <c r="I276" s="8"/>
      <c r="J276" s="8"/>
      <c r="K276" s="8"/>
      <c r="L276" s="8"/>
      <c r="M276" s="63"/>
      <c r="N276" s="63"/>
      <c r="O276" s="140"/>
      <c r="P276" s="97"/>
      <c r="Q276" s="63"/>
      <c r="R276" s="97"/>
      <c r="S276" s="97"/>
    </row>
    <row r="280" spans="1:20">
      <c r="C280" s="1" t="s">
        <v>4</v>
      </c>
      <c r="D280" s="1" t="s">
        <v>3</v>
      </c>
      <c r="E280" s="1" t="s">
        <v>2</v>
      </c>
      <c r="F280" s="1" t="s">
        <v>1</v>
      </c>
      <c r="G280" s="1" t="s">
        <v>0</v>
      </c>
    </row>
    <row r="282" spans="1:20">
      <c r="A282" s="58" t="s">
        <v>30</v>
      </c>
      <c r="C282" s="69">
        <v>26</v>
      </c>
      <c r="D282" s="69">
        <v>57</v>
      </c>
      <c r="E282" s="69">
        <v>51</v>
      </c>
      <c r="F282" s="69">
        <v>17</v>
      </c>
      <c r="G282" s="69">
        <v>8</v>
      </c>
      <c r="H282" s="58"/>
      <c r="I282" s="58"/>
      <c r="J282" s="58"/>
      <c r="K282" s="122"/>
      <c r="L282" s="122"/>
    </row>
    <row r="283" spans="1:20">
      <c r="A283" s="65" t="s">
        <v>33</v>
      </c>
      <c r="C283" s="71">
        <v>23</v>
      </c>
      <c r="D283" s="71">
        <v>50</v>
      </c>
      <c r="E283" s="71">
        <v>59</v>
      </c>
      <c r="F283" s="71">
        <v>15</v>
      </c>
      <c r="G283" s="71">
        <v>13</v>
      </c>
      <c r="H283" s="108"/>
      <c r="I283" s="108"/>
      <c r="J283" s="108"/>
      <c r="K283" s="108"/>
      <c r="L283" s="108"/>
    </row>
    <row r="312" spans="1:14" ht="15.75">
      <c r="B312" s="25">
        <v>2003</v>
      </c>
      <c r="C312" s="24">
        <v>2004</v>
      </c>
      <c r="D312" s="23">
        <v>2005</v>
      </c>
      <c r="E312" s="22">
        <v>2006</v>
      </c>
      <c r="F312" s="21">
        <v>2007</v>
      </c>
      <c r="G312" s="39">
        <v>2008</v>
      </c>
      <c r="N312" t="s">
        <v>40</v>
      </c>
    </row>
    <row r="314" spans="1:14">
      <c r="A314" s="8" t="s">
        <v>12</v>
      </c>
      <c r="B314" s="19">
        <v>51139341</v>
      </c>
      <c r="C314" s="73">
        <v>61329071</v>
      </c>
      <c r="D314" s="18">
        <v>98220191</v>
      </c>
      <c r="E314" s="7">
        <v>98882035</v>
      </c>
      <c r="F314" s="16">
        <v>150879770</v>
      </c>
      <c r="G314" s="11">
        <v>160000000</v>
      </c>
      <c r="H314" s="8"/>
      <c r="I314" s="8"/>
      <c r="J314" s="8"/>
      <c r="K314" s="46"/>
      <c r="L314" s="46"/>
    </row>
    <row r="315" spans="1:14">
      <c r="A315" s="8" t="s">
        <v>14</v>
      </c>
      <c r="B315" s="18"/>
      <c r="C315" s="72">
        <v>0.1993</v>
      </c>
      <c r="D315" s="72">
        <v>0.60150000000000003</v>
      </c>
      <c r="E315" s="72">
        <v>6.7000000000000002E-3</v>
      </c>
      <c r="F315" s="72">
        <v>0.52590000000000003</v>
      </c>
      <c r="G315" s="8"/>
      <c r="H315" s="8"/>
      <c r="I315" s="8"/>
      <c r="J315" s="8"/>
      <c r="K315" s="46"/>
      <c r="L315" s="46"/>
      <c r="N315" s="4">
        <f>+(F315+E315+D315+C315)/4</f>
        <v>0.33335000000000004</v>
      </c>
    </row>
    <row r="317" spans="1:14">
      <c r="A317" t="s">
        <v>37</v>
      </c>
      <c r="G317" s="3">
        <v>46916839</v>
      </c>
    </row>
    <row r="318" spans="1:14">
      <c r="A318" t="s">
        <v>38</v>
      </c>
      <c r="G318" s="1"/>
    </row>
    <row r="319" spans="1:14">
      <c r="A319" t="s">
        <v>39</v>
      </c>
      <c r="G319" s="4">
        <f>+G317/G314</f>
        <v>0.29323024375000001</v>
      </c>
    </row>
    <row r="320" spans="1:14">
      <c r="G320" s="1" t="s">
        <v>41</v>
      </c>
    </row>
  </sheetData>
  <mergeCells count="2">
    <mergeCell ref="A1:M1"/>
    <mergeCell ref="A2:M2"/>
  </mergeCells>
  <printOptions horizontalCentered="1"/>
  <pageMargins left="0.75" right="0.75" top="1" bottom="1" header="0.5" footer="0.5"/>
  <pageSetup scale="75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L34"/>
  <sheetViews>
    <sheetView workbookViewId="0">
      <selection activeCell="S47" sqref="S47:S48"/>
    </sheetView>
  </sheetViews>
  <sheetFormatPr defaultRowHeight="12.75"/>
  <cols>
    <col min="1" max="1" width="12.140625" customWidth="1"/>
    <col min="2" max="4" width="12.7109375" bestFit="1" customWidth="1"/>
    <col min="5" max="7" width="13.85546875" bestFit="1" customWidth="1"/>
    <col min="8" max="8" width="12.7109375" bestFit="1" customWidth="1"/>
    <col min="9" max="12" width="13.85546875" bestFit="1" customWidth="1"/>
  </cols>
  <sheetData>
    <row r="1" spans="1:12" ht="18">
      <c r="A1" s="149" t="s">
        <v>51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</row>
    <row r="3" spans="1:12">
      <c r="A3" s="76" t="s">
        <v>43</v>
      </c>
      <c r="B3" s="76">
        <v>2003</v>
      </c>
      <c r="C3" s="76">
        <v>2004</v>
      </c>
      <c r="D3" s="76">
        <v>2005</v>
      </c>
      <c r="E3" s="76">
        <v>2006</v>
      </c>
      <c r="F3" s="76">
        <v>2007</v>
      </c>
      <c r="G3" s="76">
        <v>2008</v>
      </c>
      <c r="H3" s="76">
        <v>2009</v>
      </c>
      <c r="I3" s="76">
        <v>2010</v>
      </c>
      <c r="J3" s="76">
        <v>2011</v>
      </c>
      <c r="K3" s="76">
        <v>2012</v>
      </c>
      <c r="L3" s="76" t="s">
        <v>44</v>
      </c>
    </row>
    <row r="4" spans="1:12">
      <c r="A4" s="8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L4" s="93">
        <f t="shared" ref="L4:L16" si="0">SUM(B4:K4)/10</f>
        <v>0</v>
      </c>
    </row>
    <row r="5" spans="1:12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L5" s="93">
        <f t="shared" si="0"/>
        <v>0</v>
      </c>
    </row>
    <row r="6" spans="1:12">
      <c r="A6" s="8" t="s">
        <v>2</v>
      </c>
      <c r="B6" s="8"/>
      <c r="C6" s="8"/>
      <c r="D6" s="8"/>
      <c r="E6" s="8"/>
      <c r="F6" s="8"/>
      <c r="G6" s="8"/>
      <c r="H6" s="8"/>
      <c r="I6" s="8"/>
      <c r="J6" s="8"/>
      <c r="K6" s="8"/>
      <c r="L6" s="93">
        <f t="shared" si="0"/>
        <v>0</v>
      </c>
    </row>
    <row r="7" spans="1:12">
      <c r="A7" s="8" t="s">
        <v>3</v>
      </c>
      <c r="B7" s="8"/>
      <c r="C7" s="8"/>
      <c r="D7" s="8"/>
      <c r="E7" s="8"/>
      <c r="F7" s="8"/>
      <c r="G7" s="8"/>
      <c r="H7" s="8"/>
      <c r="I7" s="8"/>
      <c r="J7" s="8"/>
      <c r="K7" s="8"/>
      <c r="L7" s="93">
        <f t="shared" si="0"/>
        <v>0</v>
      </c>
    </row>
    <row r="8" spans="1:12">
      <c r="A8" s="8" t="s">
        <v>4</v>
      </c>
      <c r="B8" s="8"/>
      <c r="C8" s="8"/>
      <c r="D8" s="8"/>
      <c r="E8" s="8"/>
      <c r="F8" s="8"/>
      <c r="G8" s="8"/>
      <c r="H8" s="8"/>
      <c r="I8" s="8"/>
      <c r="J8" s="8"/>
      <c r="K8" s="8"/>
      <c r="L8" s="93">
        <f t="shared" si="0"/>
        <v>0</v>
      </c>
    </row>
    <row r="9" spans="1:12">
      <c r="A9" s="8" t="s">
        <v>5</v>
      </c>
      <c r="B9" s="8"/>
      <c r="C9" s="8"/>
      <c r="D9" s="8"/>
      <c r="E9" s="8"/>
      <c r="F9" s="8"/>
      <c r="G9" s="8"/>
      <c r="H9" s="8"/>
      <c r="I9" s="8"/>
      <c r="J9" s="8"/>
      <c r="K9" s="8"/>
      <c r="L9" s="93">
        <f t="shared" si="0"/>
        <v>0</v>
      </c>
    </row>
    <row r="10" spans="1:12">
      <c r="A10" s="8" t="s">
        <v>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93">
        <f t="shared" si="0"/>
        <v>0</v>
      </c>
    </row>
    <row r="11" spans="1:12">
      <c r="A11" s="8" t="s">
        <v>7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93">
        <f t="shared" si="0"/>
        <v>0</v>
      </c>
    </row>
    <row r="12" spans="1:12">
      <c r="A12" s="8" t="s">
        <v>8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93">
        <f t="shared" si="0"/>
        <v>0</v>
      </c>
    </row>
    <row r="13" spans="1:12">
      <c r="A13" s="8" t="s">
        <v>9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93">
        <f t="shared" si="0"/>
        <v>0</v>
      </c>
    </row>
    <row r="14" spans="1:12">
      <c r="A14" s="8" t="s">
        <v>10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93">
        <f t="shared" si="0"/>
        <v>0</v>
      </c>
    </row>
    <row r="15" spans="1:12">
      <c r="A15" s="8" t="s">
        <v>11</v>
      </c>
      <c r="B15" s="8"/>
      <c r="C15" s="8"/>
      <c r="D15" s="8"/>
      <c r="E15" s="8"/>
      <c r="F15" s="8"/>
      <c r="G15" s="8"/>
      <c r="H15" s="8"/>
      <c r="I15" s="8"/>
      <c r="J15" s="8"/>
      <c r="K15" s="8"/>
      <c r="L15" s="93">
        <f t="shared" si="0"/>
        <v>0</v>
      </c>
    </row>
    <row r="16" spans="1:12">
      <c r="A16" s="76" t="s">
        <v>12</v>
      </c>
      <c r="B16" s="76">
        <f t="shared" ref="B16:K16" si="1">SUM(B4:B15)</f>
        <v>0</v>
      </c>
      <c r="C16" s="76">
        <f t="shared" si="1"/>
        <v>0</v>
      </c>
      <c r="D16" s="76">
        <f t="shared" si="1"/>
        <v>0</v>
      </c>
      <c r="E16" s="76">
        <f t="shared" si="1"/>
        <v>0</v>
      </c>
      <c r="F16" s="76">
        <f t="shared" si="1"/>
        <v>0</v>
      </c>
      <c r="G16" s="76">
        <f t="shared" si="1"/>
        <v>0</v>
      </c>
      <c r="H16" s="76">
        <f t="shared" si="1"/>
        <v>0</v>
      </c>
      <c r="I16" s="76">
        <f t="shared" si="1"/>
        <v>0</v>
      </c>
      <c r="J16" s="76">
        <f t="shared" si="1"/>
        <v>0</v>
      </c>
      <c r="K16" s="76">
        <f t="shared" si="1"/>
        <v>0</v>
      </c>
      <c r="L16" s="93">
        <f t="shared" si="0"/>
        <v>0</v>
      </c>
    </row>
    <row r="17" spans="1:12">
      <c r="A17" s="8" t="s">
        <v>16</v>
      </c>
      <c r="B17" s="127"/>
      <c r="C17" s="72"/>
      <c r="D17" s="72"/>
      <c r="E17" s="72"/>
      <c r="F17" s="72"/>
      <c r="G17" s="72"/>
      <c r="H17" s="72"/>
      <c r="I17" s="72"/>
      <c r="J17" s="72"/>
      <c r="K17" s="72"/>
      <c r="L17" s="127"/>
    </row>
    <row r="20" spans="1:12">
      <c r="A20" s="76" t="s">
        <v>43</v>
      </c>
      <c r="B20" s="76">
        <v>2003</v>
      </c>
      <c r="C20" s="76">
        <v>2004</v>
      </c>
      <c r="D20" s="76">
        <v>2005</v>
      </c>
      <c r="E20" s="76">
        <v>2006</v>
      </c>
      <c r="F20" s="76">
        <v>2007</v>
      </c>
      <c r="G20" s="76">
        <v>2008</v>
      </c>
      <c r="H20" s="76">
        <v>2009</v>
      </c>
      <c r="I20" s="76">
        <v>2010</v>
      </c>
      <c r="J20" s="76">
        <v>2011</v>
      </c>
      <c r="K20" s="76">
        <v>2012</v>
      </c>
      <c r="L20" s="76" t="s">
        <v>44</v>
      </c>
    </row>
    <row r="21" spans="1:12">
      <c r="A21" s="8" t="s">
        <v>0</v>
      </c>
      <c r="B21" s="100"/>
      <c r="C21" s="100"/>
      <c r="D21" s="100"/>
      <c r="E21" s="100"/>
      <c r="F21" s="100"/>
      <c r="G21" s="100"/>
      <c r="H21" s="100"/>
      <c r="I21" s="100"/>
      <c r="J21" s="100"/>
      <c r="K21" s="100"/>
      <c r="L21" s="100">
        <f t="shared" ref="L21:L33" si="2">SUM(B21:K21)/10</f>
        <v>0</v>
      </c>
    </row>
    <row r="22" spans="1:12">
      <c r="A22" s="8" t="s">
        <v>1</v>
      </c>
      <c r="B22" s="100"/>
      <c r="C22" s="100"/>
      <c r="D22" s="100"/>
      <c r="E22" s="100"/>
      <c r="F22" s="100"/>
      <c r="G22" s="100"/>
      <c r="H22" s="100"/>
      <c r="I22" s="100"/>
      <c r="J22" s="100"/>
      <c r="K22" s="100"/>
      <c r="L22" s="100">
        <f t="shared" si="2"/>
        <v>0</v>
      </c>
    </row>
    <row r="23" spans="1:12">
      <c r="A23" s="8" t="s">
        <v>2</v>
      </c>
      <c r="B23" s="100"/>
      <c r="C23" s="100"/>
      <c r="D23" s="100"/>
      <c r="E23" s="100"/>
      <c r="F23" s="100"/>
      <c r="G23" s="100"/>
      <c r="H23" s="100"/>
      <c r="I23" s="100"/>
      <c r="J23" s="100"/>
      <c r="K23" s="100"/>
      <c r="L23" s="100">
        <f t="shared" si="2"/>
        <v>0</v>
      </c>
    </row>
    <row r="24" spans="1:12">
      <c r="A24" s="8" t="s">
        <v>3</v>
      </c>
      <c r="B24" s="100"/>
      <c r="C24" s="100"/>
      <c r="D24" s="100"/>
      <c r="E24" s="100"/>
      <c r="F24" s="100"/>
      <c r="G24" s="100"/>
      <c r="H24" s="100"/>
      <c r="I24" s="100"/>
      <c r="J24" s="100"/>
      <c r="K24" s="100"/>
      <c r="L24" s="100">
        <f t="shared" si="2"/>
        <v>0</v>
      </c>
    </row>
    <row r="25" spans="1:12">
      <c r="A25" s="8" t="s">
        <v>4</v>
      </c>
      <c r="B25" s="100"/>
      <c r="C25" s="100"/>
      <c r="D25" s="100"/>
      <c r="E25" s="100"/>
      <c r="F25" s="100"/>
      <c r="G25" s="100"/>
      <c r="H25" s="100"/>
      <c r="I25" s="100"/>
      <c r="J25" s="100"/>
      <c r="K25" s="100"/>
      <c r="L25" s="100">
        <f t="shared" si="2"/>
        <v>0</v>
      </c>
    </row>
    <row r="26" spans="1:12">
      <c r="A26" s="8" t="s">
        <v>5</v>
      </c>
      <c r="B26" s="100"/>
      <c r="C26" s="100"/>
      <c r="D26" s="100"/>
      <c r="E26" s="100"/>
      <c r="F26" s="100"/>
      <c r="G26" s="100"/>
      <c r="H26" s="100"/>
      <c r="I26" s="100"/>
      <c r="J26" s="100"/>
      <c r="K26" s="100"/>
      <c r="L26" s="100">
        <f t="shared" si="2"/>
        <v>0</v>
      </c>
    </row>
    <row r="27" spans="1:12">
      <c r="A27" s="8" t="s">
        <v>6</v>
      </c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>
        <f t="shared" si="2"/>
        <v>0</v>
      </c>
    </row>
    <row r="28" spans="1:12">
      <c r="A28" s="8" t="s">
        <v>7</v>
      </c>
      <c r="B28" s="100"/>
      <c r="C28" s="100"/>
      <c r="D28" s="100"/>
      <c r="E28" s="100"/>
      <c r="F28" s="100"/>
      <c r="G28" s="100"/>
      <c r="H28" s="100"/>
      <c r="I28" s="100"/>
      <c r="J28" s="100"/>
      <c r="K28" s="100"/>
      <c r="L28" s="100">
        <f t="shared" si="2"/>
        <v>0</v>
      </c>
    </row>
    <row r="29" spans="1:12">
      <c r="A29" s="8" t="s">
        <v>8</v>
      </c>
      <c r="B29" s="100"/>
      <c r="C29" s="100"/>
      <c r="D29" s="100"/>
      <c r="E29" s="100"/>
      <c r="F29" s="100"/>
      <c r="G29" s="100"/>
      <c r="H29" s="100"/>
      <c r="I29" s="100"/>
      <c r="J29" s="100"/>
      <c r="K29" s="100"/>
      <c r="L29" s="100">
        <f t="shared" si="2"/>
        <v>0</v>
      </c>
    </row>
    <row r="30" spans="1:12">
      <c r="A30" s="8" t="s">
        <v>9</v>
      </c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>
        <f t="shared" si="2"/>
        <v>0</v>
      </c>
    </row>
    <row r="31" spans="1:12">
      <c r="A31" s="8" t="s">
        <v>10</v>
      </c>
      <c r="B31" s="100"/>
      <c r="C31" s="100"/>
      <c r="D31" s="100"/>
      <c r="E31" s="100"/>
      <c r="F31" s="100"/>
      <c r="G31" s="100"/>
      <c r="H31" s="100"/>
      <c r="I31" s="100"/>
      <c r="J31" s="100"/>
      <c r="K31" s="100"/>
      <c r="L31" s="100">
        <f t="shared" si="2"/>
        <v>0</v>
      </c>
    </row>
    <row r="32" spans="1:12">
      <c r="A32" s="8" t="s">
        <v>11</v>
      </c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>
        <f t="shared" si="2"/>
        <v>0</v>
      </c>
    </row>
    <row r="33" spans="1:12">
      <c r="A33" s="76" t="s">
        <v>12</v>
      </c>
      <c r="B33" s="119">
        <f t="shared" ref="B33:K33" si="3">SUM(B21:B32)</f>
        <v>0</v>
      </c>
      <c r="C33" s="119">
        <f t="shared" si="3"/>
        <v>0</v>
      </c>
      <c r="D33" s="119">
        <f t="shared" si="3"/>
        <v>0</v>
      </c>
      <c r="E33" s="119">
        <f t="shared" si="3"/>
        <v>0</v>
      </c>
      <c r="F33" s="119">
        <f t="shared" si="3"/>
        <v>0</v>
      </c>
      <c r="G33" s="119">
        <f t="shared" si="3"/>
        <v>0</v>
      </c>
      <c r="H33" s="119">
        <f t="shared" si="3"/>
        <v>0</v>
      </c>
      <c r="I33" s="119">
        <f t="shared" si="3"/>
        <v>0</v>
      </c>
      <c r="J33" s="119">
        <f t="shared" si="3"/>
        <v>0</v>
      </c>
      <c r="K33" s="119">
        <f t="shared" si="3"/>
        <v>0</v>
      </c>
      <c r="L33" s="100">
        <f t="shared" si="2"/>
        <v>0</v>
      </c>
    </row>
    <row r="34" spans="1:12">
      <c r="A34" s="8" t="s">
        <v>14</v>
      </c>
      <c r="B34" s="8"/>
      <c r="C34" s="72"/>
      <c r="D34" s="72"/>
      <c r="E34" s="72"/>
      <c r="F34" s="72"/>
      <c r="G34" s="72"/>
      <c r="H34" s="72"/>
      <c r="I34" s="72"/>
      <c r="J34" s="72"/>
      <c r="K34" s="72"/>
      <c r="L34" s="8"/>
    </row>
  </sheetData>
  <mergeCells count="1">
    <mergeCell ref="A1:L1"/>
  </mergeCells>
  <pageMargins left="0.7" right="0.7" top="0.75" bottom="0.75" header="0.3" footer="0.3"/>
  <pageSetup scale="7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K16"/>
  <sheetViews>
    <sheetView zoomScaleNormal="100" zoomScaleSheetLayoutView="100" workbookViewId="0">
      <selection activeCell="B3" sqref="B3:J14"/>
    </sheetView>
  </sheetViews>
  <sheetFormatPr defaultRowHeight="12.75"/>
  <cols>
    <col min="11" max="11" width="9.5703125" customWidth="1"/>
    <col min="15" max="15" width="12" bestFit="1" customWidth="1"/>
    <col min="16" max="18" width="11.28515625" bestFit="1" customWidth="1"/>
  </cols>
  <sheetData>
    <row r="2" spans="1:11" ht="15.75">
      <c r="A2" s="114" t="s">
        <v>43</v>
      </c>
      <c r="B2" s="114">
        <v>2003</v>
      </c>
      <c r="C2" s="114">
        <v>2004</v>
      </c>
      <c r="D2" s="114">
        <v>2005</v>
      </c>
      <c r="E2" s="114">
        <v>2006</v>
      </c>
      <c r="F2" s="115">
        <v>2007</v>
      </c>
      <c r="G2" s="115">
        <v>2008</v>
      </c>
      <c r="H2" s="114">
        <v>2009</v>
      </c>
      <c r="I2" s="114">
        <v>2010</v>
      </c>
      <c r="J2" s="114">
        <v>2011</v>
      </c>
      <c r="K2" s="114" t="s">
        <v>44</v>
      </c>
    </row>
    <row r="3" spans="1:11">
      <c r="A3" s="75" t="s">
        <v>0</v>
      </c>
      <c r="B3" s="86"/>
      <c r="C3" s="86"/>
      <c r="D3" s="86"/>
      <c r="E3" s="77"/>
      <c r="F3" s="90"/>
      <c r="G3" s="8"/>
      <c r="H3" s="75"/>
      <c r="I3" s="75"/>
      <c r="J3" s="75"/>
      <c r="K3" s="93">
        <f>SUM(B3:J3)/9</f>
        <v>0</v>
      </c>
    </row>
    <row r="4" spans="1:11">
      <c r="A4" s="75" t="s">
        <v>1</v>
      </c>
      <c r="B4" s="86"/>
      <c r="C4" s="86"/>
      <c r="D4" s="86"/>
      <c r="E4" s="77"/>
      <c r="F4" s="90"/>
      <c r="G4" s="8"/>
      <c r="H4" s="75"/>
      <c r="I4" s="75"/>
      <c r="J4" s="75"/>
      <c r="K4" s="93">
        <f>SUM(B4:J4)/9</f>
        <v>0</v>
      </c>
    </row>
    <row r="5" spans="1:11">
      <c r="A5" s="75" t="s">
        <v>2</v>
      </c>
      <c r="B5" s="86"/>
      <c r="C5" s="86"/>
      <c r="D5" s="86"/>
      <c r="E5" s="77"/>
      <c r="F5" s="90"/>
      <c r="G5" s="8"/>
      <c r="H5" s="75"/>
      <c r="I5" s="75"/>
      <c r="J5" s="75"/>
      <c r="K5" s="93">
        <f>SUM(B5:J5)/9</f>
        <v>0</v>
      </c>
    </row>
    <row r="6" spans="1:11">
      <c r="A6" s="75" t="s">
        <v>3</v>
      </c>
      <c r="B6" s="86"/>
      <c r="C6" s="86"/>
      <c r="D6" s="86"/>
      <c r="E6" s="77"/>
      <c r="F6" s="90"/>
      <c r="G6" s="8"/>
      <c r="H6" s="75"/>
      <c r="I6" s="75"/>
      <c r="J6" s="75"/>
      <c r="K6" s="93">
        <f>SUM(B6:J6)/9</f>
        <v>0</v>
      </c>
    </row>
    <row r="7" spans="1:11">
      <c r="A7" s="75" t="s">
        <v>4</v>
      </c>
      <c r="B7" s="86"/>
      <c r="C7" s="86"/>
      <c r="D7" s="86"/>
      <c r="E7" s="77"/>
      <c r="F7" s="90"/>
      <c r="G7" s="8"/>
      <c r="H7" s="75"/>
      <c r="I7" s="75"/>
      <c r="J7" s="75"/>
      <c r="K7" s="93">
        <f>SUM(B7:J7)/9</f>
        <v>0</v>
      </c>
    </row>
    <row r="8" spans="1:11">
      <c r="A8" s="75" t="s">
        <v>5</v>
      </c>
      <c r="B8" s="86"/>
      <c r="C8" s="86"/>
      <c r="D8" s="86"/>
      <c r="E8" s="77"/>
      <c r="F8" s="90"/>
      <c r="G8" s="8"/>
      <c r="H8" s="75"/>
      <c r="I8" s="75"/>
      <c r="J8" s="75"/>
      <c r="K8" s="93">
        <f>SUM(B8:J8)/8</f>
        <v>0</v>
      </c>
    </row>
    <row r="9" spans="1:11">
      <c r="A9" s="75" t="s">
        <v>6</v>
      </c>
      <c r="B9" s="86"/>
      <c r="C9" s="86"/>
      <c r="D9" s="86"/>
      <c r="E9" s="77"/>
      <c r="F9" s="90"/>
      <c r="G9" s="8"/>
      <c r="H9" s="75"/>
      <c r="I9" s="75"/>
      <c r="J9" s="75"/>
      <c r="K9" s="93">
        <f t="shared" ref="K9:K15" si="0">SUM(B9:J9)/8</f>
        <v>0</v>
      </c>
    </row>
    <row r="10" spans="1:11">
      <c r="A10" s="75" t="s">
        <v>7</v>
      </c>
      <c r="B10" s="86"/>
      <c r="C10" s="86"/>
      <c r="D10" s="86"/>
      <c r="E10" s="77"/>
      <c r="F10" s="90"/>
      <c r="G10" s="8"/>
      <c r="H10" s="75"/>
      <c r="I10" s="75"/>
      <c r="J10" s="75"/>
      <c r="K10" s="93">
        <f t="shared" si="0"/>
        <v>0</v>
      </c>
    </row>
    <row r="11" spans="1:11">
      <c r="A11" s="75" t="s">
        <v>8</v>
      </c>
      <c r="B11" s="86"/>
      <c r="C11" s="86"/>
      <c r="D11" s="86"/>
      <c r="E11" s="77"/>
      <c r="F11" s="90"/>
      <c r="G11" s="8"/>
      <c r="H11" s="75"/>
      <c r="I11" s="75"/>
      <c r="J11" s="75"/>
      <c r="K11" s="93">
        <f t="shared" si="0"/>
        <v>0</v>
      </c>
    </row>
    <row r="12" spans="1:11">
      <c r="A12" s="75" t="s">
        <v>9</v>
      </c>
      <c r="B12" s="86"/>
      <c r="C12" s="86"/>
      <c r="D12" s="86"/>
      <c r="E12" s="77"/>
      <c r="F12" s="90"/>
      <c r="G12" s="8"/>
      <c r="H12" s="75"/>
      <c r="I12" s="75"/>
      <c r="J12" s="75"/>
      <c r="K12" s="93">
        <f t="shared" si="0"/>
        <v>0</v>
      </c>
    </row>
    <row r="13" spans="1:11">
      <c r="A13" s="75" t="s">
        <v>10</v>
      </c>
      <c r="B13" s="86"/>
      <c r="C13" s="86"/>
      <c r="D13" s="86"/>
      <c r="E13" s="77"/>
      <c r="F13" s="90"/>
      <c r="G13" s="8"/>
      <c r="H13" s="75"/>
      <c r="I13" s="75"/>
      <c r="J13" s="75"/>
      <c r="K13" s="93">
        <f t="shared" si="0"/>
        <v>0</v>
      </c>
    </row>
    <row r="14" spans="1:11">
      <c r="A14" s="75" t="s">
        <v>11</v>
      </c>
      <c r="B14" s="86"/>
      <c r="C14" s="86"/>
      <c r="D14" s="86"/>
      <c r="E14" s="77"/>
      <c r="F14" s="90"/>
      <c r="G14" s="8"/>
      <c r="H14" s="109"/>
      <c r="I14" s="75"/>
      <c r="J14" s="75"/>
      <c r="K14" s="93">
        <f t="shared" si="0"/>
        <v>0</v>
      </c>
    </row>
    <row r="15" spans="1:11">
      <c r="A15" s="76" t="s">
        <v>12</v>
      </c>
      <c r="B15" s="92">
        <f t="shared" ref="B15:J15" si="1">SUM(B3:B14)</f>
        <v>0</v>
      </c>
      <c r="C15" s="92">
        <f t="shared" si="1"/>
        <v>0</v>
      </c>
      <c r="D15" s="92">
        <f t="shared" si="1"/>
        <v>0</v>
      </c>
      <c r="E15" s="76">
        <f t="shared" si="1"/>
        <v>0</v>
      </c>
      <c r="F15" s="91">
        <f t="shared" si="1"/>
        <v>0</v>
      </c>
      <c r="G15" s="76">
        <f t="shared" si="1"/>
        <v>0</v>
      </c>
      <c r="H15" s="76">
        <f t="shared" si="1"/>
        <v>0</v>
      </c>
      <c r="I15" s="76">
        <f t="shared" si="1"/>
        <v>0</v>
      </c>
      <c r="J15" s="76">
        <f t="shared" si="1"/>
        <v>0</v>
      </c>
      <c r="K15" s="112">
        <f t="shared" si="0"/>
        <v>0</v>
      </c>
    </row>
    <row r="16" spans="1:11">
      <c r="A16" s="77" t="s">
        <v>16</v>
      </c>
      <c r="B16" s="80"/>
      <c r="C16" s="79" t="e">
        <f t="shared" ref="C16:J16" si="2">+(C15-B15)/B15</f>
        <v>#DIV/0!</v>
      </c>
      <c r="D16" s="79" t="e">
        <f t="shared" si="2"/>
        <v>#DIV/0!</v>
      </c>
      <c r="E16" s="79" t="e">
        <f t="shared" si="2"/>
        <v>#DIV/0!</v>
      </c>
      <c r="F16" s="78" t="e">
        <f t="shared" si="2"/>
        <v>#DIV/0!</v>
      </c>
      <c r="G16" s="78" t="e">
        <f t="shared" si="2"/>
        <v>#DIV/0!</v>
      </c>
      <c r="H16" s="78" t="e">
        <f t="shared" si="2"/>
        <v>#DIV/0!</v>
      </c>
      <c r="I16" s="78" t="e">
        <f t="shared" si="2"/>
        <v>#DIV/0!</v>
      </c>
      <c r="J16" s="78" t="e">
        <f t="shared" si="2"/>
        <v>#DIV/0!</v>
      </c>
      <c r="K16" s="20"/>
    </row>
  </sheetData>
  <printOptions horizontalCentered="1"/>
  <pageMargins left="0.75" right="0.75" top="1" bottom="1" header="0.5" footer="0.5"/>
  <pageSetup paperSize="269" scale="80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2:K16"/>
  <sheetViews>
    <sheetView zoomScaleNormal="100" zoomScaleSheetLayoutView="100" workbookViewId="0">
      <selection activeCell="J21" sqref="J20:J21"/>
    </sheetView>
  </sheetViews>
  <sheetFormatPr defaultRowHeight="12.75"/>
  <cols>
    <col min="11" max="11" width="9.5703125" customWidth="1"/>
    <col min="15" max="15" width="12" bestFit="1" customWidth="1"/>
    <col min="16" max="18" width="11.28515625" bestFit="1" customWidth="1"/>
  </cols>
  <sheetData>
    <row r="2" spans="1:11" ht="15.75">
      <c r="A2" s="114" t="s">
        <v>43</v>
      </c>
      <c r="B2" s="114">
        <v>2003</v>
      </c>
      <c r="C2" s="114">
        <v>2004</v>
      </c>
      <c r="D2" s="114">
        <v>2005</v>
      </c>
      <c r="E2" s="114">
        <v>2006</v>
      </c>
      <c r="F2" s="115">
        <v>2007</v>
      </c>
      <c r="G2" s="115">
        <v>2008</v>
      </c>
      <c r="H2" s="114">
        <v>2009</v>
      </c>
      <c r="I2" s="114">
        <v>2010</v>
      </c>
      <c r="J2" s="114">
        <v>2011</v>
      </c>
      <c r="K2" s="114" t="s">
        <v>44</v>
      </c>
    </row>
    <row r="3" spans="1:11">
      <c r="A3" s="75" t="s">
        <v>0</v>
      </c>
      <c r="B3" s="86"/>
      <c r="C3" s="86"/>
      <c r="D3" s="86"/>
      <c r="E3" s="77"/>
      <c r="F3" s="90"/>
      <c r="G3" s="8"/>
      <c r="H3" s="75"/>
      <c r="I3" s="75"/>
      <c r="J3" s="75"/>
      <c r="K3" s="93">
        <f>SUM(B3:J3)/9</f>
        <v>0</v>
      </c>
    </row>
    <row r="4" spans="1:11">
      <c r="A4" s="75" t="s">
        <v>1</v>
      </c>
      <c r="B4" s="86"/>
      <c r="C4" s="86"/>
      <c r="D4" s="86"/>
      <c r="E4" s="77"/>
      <c r="F4" s="90"/>
      <c r="G4" s="8"/>
      <c r="H4" s="75"/>
      <c r="I4" s="75"/>
      <c r="J4" s="75"/>
      <c r="K4" s="93">
        <f>SUM(B4:J4)/9</f>
        <v>0</v>
      </c>
    </row>
    <row r="5" spans="1:11">
      <c r="A5" s="75" t="s">
        <v>2</v>
      </c>
      <c r="B5" s="86"/>
      <c r="C5" s="86"/>
      <c r="D5" s="86"/>
      <c r="E5" s="77"/>
      <c r="F5" s="90"/>
      <c r="G5" s="8"/>
      <c r="H5" s="75"/>
      <c r="I5" s="75"/>
      <c r="J5" s="75"/>
      <c r="K5" s="93">
        <f>SUM(B5:J5)/9</f>
        <v>0</v>
      </c>
    </row>
    <row r="6" spans="1:11">
      <c r="A6" s="75" t="s">
        <v>3</v>
      </c>
      <c r="B6" s="86"/>
      <c r="C6" s="86"/>
      <c r="D6" s="86"/>
      <c r="E6" s="77"/>
      <c r="F6" s="90"/>
      <c r="G6" s="8"/>
      <c r="H6" s="75"/>
      <c r="I6" s="75"/>
      <c r="J6" s="75"/>
      <c r="K6" s="93">
        <f>SUM(B6:J6)/9</f>
        <v>0</v>
      </c>
    </row>
    <row r="7" spans="1:11">
      <c r="A7" s="75" t="s">
        <v>4</v>
      </c>
      <c r="B7" s="86"/>
      <c r="C7" s="86"/>
      <c r="D7" s="86"/>
      <c r="E7" s="77"/>
      <c r="F7" s="90"/>
      <c r="G7" s="8"/>
      <c r="H7" s="75"/>
      <c r="I7" s="75"/>
      <c r="J7" s="75"/>
      <c r="K7" s="93">
        <f>SUM(B7:J7)/9</f>
        <v>0</v>
      </c>
    </row>
    <row r="8" spans="1:11">
      <c r="A8" s="75" t="s">
        <v>5</v>
      </c>
      <c r="B8" s="86"/>
      <c r="C8" s="86"/>
      <c r="D8" s="86"/>
      <c r="E8" s="77"/>
      <c r="F8" s="90"/>
      <c r="G8" s="8"/>
      <c r="H8" s="75"/>
      <c r="I8" s="75"/>
      <c r="J8" s="75"/>
      <c r="K8" s="93">
        <f>SUM(B8:J8)/8</f>
        <v>0</v>
      </c>
    </row>
    <row r="9" spans="1:11">
      <c r="A9" s="75" t="s">
        <v>6</v>
      </c>
      <c r="B9" s="86"/>
      <c r="C9" s="86"/>
      <c r="D9" s="86"/>
      <c r="E9" s="77"/>
      <c r="F9" s="90"/>
      <c r="G9" s="8"/>
      <c r="H9" s="75"/>
      <c r="I9" s="75"/>
      <c r="J9" s="75"/>
      <c r="K9" s="93">
        <f t="shared" ref="K9:K15" si="0">SUM(B9:J9)/8</f>
        <v>0</v>
      </c>
    </row>
    <row r="10" spans="1:11">
      <c r="A10" s="75" t="s">
        <v>7</v>
      </c>
      <c r="B10" s="86"/>
      <c r="C10" s="86"/>
      <c r="D10" s="86"/>
      <c r="E10" s="77"/>
      <c r="F10" s="90"/>
      <c r="G10" s="8"/>
      <c r="H10" s="75"/>
      <c r="I10" s="75"/>
      <c r="J10" s="75"/>
      <c r="K10" s="93">
        <f t="shared" si="0"/>
        <v>0</v>
      </c>
    </row>
    <row r="11" spans="1:11">
      <c r="A11" s="75" t="s">
        <v>8</v>
      </c>
      <c r="B11" s="86"/>
      <c r="C11" s="86"/>
      <c r="D11" s="86"/>
      <c r="E11" s="77"/>
      <c r="F11" s="90"/>
      <c r="G11" s="8"/>
      <c r="H11" s="75"/>
      <c r="I11" s="75"/>
      <c r="J11" s="75"/>
      <c r="K11" s="93">
        <f t="shared" si="0"/>
        <v>0</v>
      </c>
    </row>
    <row r="12" spans="1:11">
      <c r="A12" s="75" t="s">
        <v>9</v>
      </c>
      <c r="B12" s="86"/>
      <c r="C12" s="86"/>
      <c r="D12" s="86"/>
      <c r="E12" s="77"/>
      <c r="F12" s="90"/>
      <c r="G12" s="8"/>
      <c r="H12" s="75"/>
      <c r="I12" s="75"/>
      <c r="J12" s="75"/>
      <c r="K12" s="93">
        <f t="shared" si="0"/>
        <v>0</v>
      </c>
    </row>
    <row r="13" spans="1:11">
      <c r="A13" s="75" t="s">
        <v>10</v>
      </c>
      <c r="B13" s="86"/>
      <c r="C13" s="86"/>
      <c r="D13" s="86"/>
      <c r="E13" s="77"/>
      <c r="F13" s="90"/>
      <c r="G13" s="8"/>
      <c r="H13" s="75"/>
      <c r="I13" s="75"/>
      <c r="J13" s="75"/>
      <c r="K13" s="93">
        <f t="shared" si="0"/>
        <v>0</v>
      </c>
    </row>
    <row r="14" spans="1:11">
      <c r="A14" s="75" t="s">
        <v>11</v>
      </c>
      <c r="B14" s="86"/>
      <c r="C14" s="86"/>
      <c r="D14" s="86"/>
      <c r="E14" s="77"/>
      <c r="F14" s="90"/>
      <c r="G14" s="8"/>
      <c r="H14" s="109"/>
      <c r="I14" s="75"/>
      <c r="J14" s="75"/>
      <c r="K14" s="93">
        <f t="shared" si="0"/>
        <v>0</v>
      </c>
    </row>
    <row r="15" spans="1:11">
      <c r="A15" s="76" t="s">
        <v>12</v>
      </c>
      <c r="B15" s="92">
        <f t="shared" ref="B15:J15" si="1">SUM(B3:B14)</f>
        <v>0</v>
      </c>
      <c r="C15" s="92">
        <f t="shared" si="1"/>
        <v>0</v>
      </c>
      <c r="D15" s="92">
        <f t="shared" si="1"/>
        <v>0</v>
      </c>
      <c r="E15" s="76">
        <f t="shared" si="1"/>
        <v>0</v>
      </c>
      <c r="F15" s="91">
        <f t="shared" si="1"/>
        <v>0</v>
      </c>
      <c r="G15" s="76">
        <f t="shared" si="1"/>
        <v>0</v>
      </c>
      <c r="H15" s="76">
        <f t="shared" si="1"/>
        <v>0</v>
      </c>
      <c r="I15" s="76">
        <f t="shared" si="1"/>
        <v>0</v>
      </c>
      <c r="J15" s="76">
        <f t="shared" si="1"/>
        <v>0</v>
      </c>
      <c r="K15" s="112">
        <f t="shared" si="0"/>
        <v>0</v>
      </c>
    </row>
    <row r="16" spans="1:11">
      <c r="A16" s="77" t="s">
        <v>16</v>
      </c>
      <c r="B16" s="80"/>
      <c r="C16" s="79" t="e">
        <f t="shared" ref="C16:J16" si="2">+(C15-B15)/B15</f>
        <v>#DIV/0!</v>
      </c>
      <c r="D16" s="79" t="e">
        <f t="shared" si="2"/>
        <v>#DIV/0!</v>
      </c>
      <c r="E16" s="79" t="e">
        <f t="shared" si="2"/>
        <v>#DIV/0!</v>
      </c>
      <c r="F16" s="78" t="e">
        <f t="shared" si="2"/>
        <v>#DIV/0!</v>
      </c>
      <c r="G16" s="78" t="e">
        <f t="shared" si="2"/>
        <v>#DIV/0!</v>
      </c>
      <c r="H16" s="78" t="e">
        <f t="shared" si="2"/>
        <v>#DIV/0!</v>
      </c>
      <c r="I16" s="78" t="e">
        <f t="shared" si="2"/>
        <v>#DIV/0!</v>
      </c>
      <c r="J16" s="78" t="e">
        <f t="shared" si="2"/>
        <v>#DIV/0!</v>
      </c>
      <c r="K16" s="20"/>
    </row>
  </sheetData>
  <printOptions horizontalCentered="1"/>
  <pageMargins left="0.75" right="0.75" top="1" bottom="1" header="0.5" footer="0.5"/>
  <pageSetup paperSize="269" scale="8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2:K16"/>
  <sheetViews>
    <sheetView zoomScaleNormal="100" zoomScaleSheetLayoutView="100" workbookViewId="0">
      <selection activeCell="B3" sqref="B3:J14"/>
    </sheetView>
  </sheetViews>
  <sheetFormatPr defaultRowHeight="12.75"/>
  <cols>
    <col min="1" max="1" width="12.42578125" bestFit="1" customWidth="1"/>
    <col min="2" max="8" width="12.42578125" customWidth="1"/>
    <col min="9" max="9" width="12.7109375" bestFit="1" customWidth="1"/>
    <col min="10" max="10" width="12.42578125" customWidth="1"/>
    <col min="11" max="11" width="13.85546875" bestFit="1" customWidth="1"/>
  </cols>
  <sheetData>
    <row r="2" spans="1:11" ht="15.75">
      <c r="A2" s="106" t="s">
        <v>43</v>
      </c>
      <c r="B2" s="82">
        <v>2003</v>
      </c>
      <c r="C2" s="82">
        <v>2004</v>
      </c>
      <c r="D2" s="82">
        <v>2005</v>
      </c>
      <c r="E2" s="82">
        <v>2006</v>
      </c>
      <c r="F2" s="83">
        <v>2007</v>
      </c>
      <c r="G2" s="82">
        <v>2008</v>
      </c>
      <c r="H2" s="106">
        <v>2009</v>
      </c>
      <c r="I2" s="106">
        <v>2010</v>
      </c>
      <c r="J2" s="106">
        <v>2011</v>
      </c>
      <c r="K2" s="106" t="s">
        <v>44</v>
      </c>
    </row>
    <row r="3" spans="1:11">
      <c r="A3" s="8" t="s">
        <v>0</v>
      </c>
      <c r="B3" s="86"/>
      <c r="C3" s="86"/>
      <c r="D3" s="86"/>
      <c r="E3" s="85"/>
      <c r="F3" s="107"/>
      <c r="G3" s="81"/>
      <c r="H3" s="100"/>
      <c r="I3" s="100"/>
      <c r="J3" s="100"/>
      <c r="K3" s="84">
        <f>SUM(B3:J3)/9</f>
        <v>0</v>
      </c>
    </row>
    <row r="4" spans="1:11">
      <c r="A4" s="8" t="s">
        <v>1</v>
      </c>
      <c r="B4" s="86"/>
      <c r="C4" s="86"/>
      <c r="D4" s="86"/>
      <c r="E4" s="86"/>
      <c r="F4" s="107"/>
      <c r="G4" s="81"/>
      <c r="H4" s="100"/>
      <c r="I4" s="100"/>
      <c r="J4" s="110"/>
      <c r="K4" s="84">
        <f>SUM(B4:J4)/9</f>
        <v>0</v>
      </c>
    </row>
    <row r="5" spans="1:11">
      <c r="A5" s="8" t="s">
        <v>2</v>
      </c>
      <c r="B5" s="86"/>
      <c r="C5" s="86"/>
      <c r="D5" s="86"/>
      <c r="E5" s="86"/>
      <c r="F5" s="107"/>
      <c r="G5" s="81"/>
      <c r="H5" s="100"/>
      <c r="I5" s="100"/>
      <c r="J5" s="110"/>
      <c r="K5" s="84">
        <f>SUM(B5:J5)/9</f>
        <v>0</v>
      </c>
    </row>
    <row r="6" spans="1:11">
      <c r="A6" s="8" t="s">
        <v>3</v>
      </c>
      <c r="B6" s="86"/>
      <c r="C6" s="86"/>
      <c r="D6" s="86"/>
      <c r="E6" s="86"/>
      <c r="F6" s="107"/>
      <c r="G6" s="81"/>
      <c r="H6" s="100"/>
      <c r="I6" s="100"/>
      <c r="J6" s="100"/>
      <c r="K6" s="84">
        <f>SUM(B6:J6)/9</f>
        <v>0</v>
      </c>
    </row>
    <row r="7" spans="1:11">
      <c r="A7" s="8" t="s">
        <v>4</v>
      </c>
      <c r="B7" s="86"/>
      <c r="C7" s="86"/>
      <c r="D7" s="86"/>
      <c r="E7" s="86"/>
      <c r="F7" s="107"/>
      <c r="G7" s="81"/>
      <c r="H7" s="100"/>
      <c r="I7" s="100"/>
      <c r="J7" s="111"/>
      <c r="K7" s="84">
        <f>SUM(B7:J7)/9</f>
        <v>0</v>
      </c>
    </row>
    <row r="8" spans="1:11">
      <c r="A8" s="8" t="s">
        <v>5</v>
      </c>
      <c r="B8" s="86"/>
      <c r="C8" s="86"/>
      <c r="D8" s="86"/>
      <c r="E8" s="86"/>
      <c r="F8" s="107"/>
      <c r="G8" s="11"/>
      <c r="H8" s="100"/>
      <c r="I8" s="100"/>
      <c r="J8" s="100"/>
      <c r="K8" s="84">
        <f t="shared" ref="K8:K14" si="0">SUM(B8:J8)/8</f>
        <v>0</v>
      </c>
    </row>
    <row r="9" spans="1:11">
      <c r="A9" s="8" t="s">
        <v>6</v>
      </c>
      <c r="B9" s="86"/>
      <c r="C9" s="86"/>
      <c r="D9" s="86"/>
      <c r="E9" s="86"/>
      <c r="F9" s="107"/>
      <c r="G9" s="11"/>
      <c r="H9" s="100"/>
      <c r="I9" s="100"/>
      <c r="J9" s="100"/>
      <c r="K9" s="84">
        <f t="shared" si="0"/>
        <v>0</v>
      </c>
    </row>
    <row r="10" spans="1:11">
      <c r="A10" s="8" t="s">
        <v>7</v>
      </c>
      <c r="B10" s="86"/>
      <c r="C10" s="86"/>
      <c r="D10" s="86"/>
      <c r="E10" s="86"/>
      <c r="F10" s="107"/>
      <c r="G10" s="11"/>
      <c r="H10" s="100"/>
      <c r="I10" s="100"/>
      <c r="J10" s="100"/>
      <c r="K10" s="84">
        <f t="shared" si="0"/>
        <v>0</v>
      </c>
    </row>
    <row r="11" spans="1:11">
      <c r="A11" s="8" t="s">
        <v>8</v>
      </c>
      <c r="B11" s="86"/>
      <c r="C11" s="86"/>
      <c r="D11" s="86"/>
      <c r="E11" s="86"/>
      <c r="F11" s="107"/>
      <c r="G11" s="11"/>
      <c r="H11" s="100"/>
      <c r="I11" s="100"/>
      <c r="J11" s="100"/>
      <c r="K11" s="84">
        <f t="shared" si="0"/>
        <v>0</v>
      </c>
    </row>
    <row r="12" spans="1:11">
      <c r="A12" s="8" t="s">
        <v>9</v>
      </c>
      <c r="B12" s="86"/>
      <c r="C12" s="86"/>
      <c r="D12" s="86"/>
      <c r="E12" s="86"/>
      <c r="F12" s="107"/>
      <c r="G12" s="11"/>
      <c r="H12" s="100"/>
      <c r="I12" s="100"/>
      <c r="J12" s="100"/>
      <c r="K12" s="84">
        <f t="shared" si="0"/>
        <v>0</v>
      </c>
    </row>
    <row r="13" spans="1:11">
      <c r="A13" s="8" t="s">
        <v>10</v>
      </c>
      <c r="B13" s="86"/>
      <c r="C13" s="86"/>
      <c r="D13" s="86"/>
      <c r="E13" s="86"/>
      <c r="F13" s="107"/>
      <c r="G13" s="11"/>
      <c r="H13" s="100"/>
      <c r="I13" s="100"/>
      <c r="J13" s="100"/>
      <c r="K13" s="84">
        <f t="shared" si="0"/>
        <v>0</v>
      </c>
    </row>
    <row r="14" spans="1:11">
      <c r="A14" s="8" t="s">
        <v>11</v>
      </c>
      <c r="B14" s="86"/>
      <c r="C14" s="86"/>
      <c r="D14" s="86"/>
      <c r="E14" s="86"/>
      <c r="F14" s="107"/>
      <c r="G14" s="11"/>
      <c r="H14" s="110"/>
      <c r="I14" s="100"/>
      <c r="J14" s="100"/>
      <c r="K14" s="84">
        <f t="shared" si="0"/>
        <v>0</v>
      </c>
    </row>
    <row r="15" spans="1:11">
      <c r="A15" s="8" t="s">
        <v>12</v>
      </c>
      <c r="B15" s="92">
        <f t="shared" ref="B15:J15" si="1">SUM(B3:B14)</f>
        <v>0</v>
      </c>
      <c r="C15" s="92">
        <f t="shared" si="1"/>
        <v>0</v>
      </c>
      <c r="D15" s="92">
        <f t="shared" si="1"/>
        <v>0</v>
      </c>
      <c r="E15" s="92">
        <f t="shared" si="1"/>
        <v>0</v>
      </c>
      <c r="F15" s="116">
        <f t="shared" si="1"/>
        <v>0</v>
      </c>
      <c r="G15" s="92">
        <f t="shared" si="1"/>
        <v>0</v>
      </c>
      <c r="H15" s="92">
        <f t="shared" si="1"/>
        <v>0</v>
      </c>
      <c r="I15" s="92">
        <f t="shared" si="1"/>
        <v>0</v>
      </c>
      <c r="J15" s="92">
        <f t="shared" si="1"/>
        <v>0</v>
      </c>
      <c r="K15" s="117">
        <f>SUM(B15:I15)/8</f>
        <v>0</v>
      </c>
    </row>
    <row r="16" spans="1:11">
      <c r="A16" s="8" t="s">
        <v>14</v>
      </c>
      <c r="B16" s="89"/>
      <c r="C16" s="88" t="e">
        <f t="shared" ref="C16:J16" si="2">+(C15-B15)/B15</f>
        <v>#DIV/0!</v>
      </c>
      <c r="D16" s="88" t="e">
        <f t="shared" si="2"/>
        <v>#DIV/0!</v>
      </c>
      <c r="E16" s="88" t="e">
        <f t="shared" si="2"/>
        <v>#DIV/0!</v>
      </c>
      <c r="F16" s="87" t="e">
        <f t="shared" si="2"/>
        <v>#DIV/0!</v>
      </c>
      <c r="G16" s="87" t="e">
        <f t="shared" si="2"/>
        <v>#DIV/0!</v>
      </c>
      <c r="H16" s="87" t="e">
        <f t="shared" si="2"/>
        <v>#DIV/0!</v>
      </c>
      <c r="I16" s="87" t="e">
        <f t="shared" si="2"/>
        <v>#DIV/0!</v>
      </c>
      <c r="J16" s="87" t="e">
        <f t="shared" si="2"/>
        <v>#DIV/0!</v>
      </c>
      <c r="K16" s="20"/>
    </row>
  </sheetData>
  <printOptions horizontalCentered="1"/>
  <pageMargins left="0.75" right="0.75" top="1" bottom="1" header="0.5" footer="0.5"/>
  <pageSetup paperSize="269" scale="8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2003-2013 no of events</vt:lpstr>
      <vt:lpstr>2003-2013 revenue</vt:lpstr>
      <vt:lpstr>Notable Events</vt:lpstr>
      <vt:lpstr>2003-2013 no of events wo disto</vt:lpstr>
      <vt:lpstr>2003-2013 revenue wo disto</vt:lpstr>
      <vt:lpstr>2003-2012 wo graphs</vt:lpstr>
      <vt:lpstr>No. of Events Per Year</vt:lpstr>
      <vt:lpstr>No. of Events Per Month</vt:lpstr>
      <vt:lpstr>Revenue Per Year</vt:lpstr>
      <vt:lpstr>Revenue Per Month</vt:lpstr>
      <vt:lpstr>Sheet1</vt:lpstr>
      <vt:lpstr>Sheet2</vt:lpstr>
      <vt:lpstr>Sheet3</vt:lpstr>
      <vt:lpstr>Sheet4</vt:lpstr>
      <vt:lpstr>'2003-2013 no of events'!Print_Area</vt:lpstr>
      <vt:lpstr>'2003-2013 no of events wo disto'!Print_Area</vt:lpstr>
      <vt:lpstr>'2003-2013 revenue'!Print_Area</vt:lpstr>
      <vt:lpstr>'2003-2013 revenue wo disto'!Print_Area</vt:lpstr>
      <vt:lpstr>'No. of Events Per Month'!Print_Area</vt:lpstr>
      <vt:lpstr>'No. of Events Per Year'!Print_Area</vt:lpstr>
      <vt:lpstr>'Revenue Per Month'!Print_Area</vt:lpstr>
      <vt:lpstr>'Revenue Per Year'!Print_Area</vt:lpstr>
    </vt:vector>
  </TitlesOfParts>
  <Company>Gen. Luna St., Iloilo City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jinisys</dc:creator>
  <cp:lastModifiedBy>jinisys</cp:lastModifiedBy>
  <cp:lastPrinted>2014-02-26T09:17:56Z</cp:lastPrinted>
  <dcterms:created xsi:type="dcterms:W3CDTF">2002-05-14T15:39:39Z</dcterms:created>
  <dcterms:modified xsi:type="dcterms:W3CDTF">2014-06-16T02:43:41Z</dcterms:modified>
</cp:coreProperties>
</file>