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1430" windowHeight="8160" tabRatio="652" activeTab="1"/>
  </bookViews>
  <sheets>
    <sheet name="Consolidated" sheetId="22" r:id="rId1"/>
    <sheet name="BCC" sheetId="10" r:id="rId2"/>
    <sheet name="PDC Rent" sheetId="23" state="hidden" r:id="rId3"/>
    <sheet name="Sheet1" sheetId="20" state="hidden" r:id="rId4"/>
    <sheet name="Sheet4" sheetId="16" state="hidden" r:id="rId5"/>
    <sheet name="Sheet2" sheetId="17" state="hidden" r:id="rId6"/>
    <sheet name="OMAN-Suggested" sheetId="19" state="hidden" r:id="rId7"/>
    <sheet name="PDC Municiple Tax " sheetId="25" state="hidden" r:id="rId8"/>
    <sheet name="Rent Calculations" sheetId="26" r:id="rId9"/>
    <sheet name="Sheet3" sheetId="27" state="hidden" r:id="rId10"/>
    <sheet name="Sheet5" sheetId="28" r:id="rId11"/>
  </sheets>
  <definedNames>
    <definedName name="_xlnm.Print_Area" localSheetId="1">BCC!$A$1:$AD$152</definedName>
    <definedName name="_xlnm.Print_Titles" localSheetId="1">BCC!$2:$3</definedName>
    <definedName name="Z_02AA01BD_C75B_4B6E_A8E6_EEB6E90D29E4_.wvu.Rows" localSheetId="1" hidden="1">BCC!#REF!</definedName>
    <definedName name="Z_02AA01BD_C75B_4B6E_A8E6_EEB6E90D29E4_.wvu.Rows" localSheetId="0" hidden="1">Consolidated!#REF!</definedName>
    <definedName name="Z_02AA01BD_C75B_4B6E_A8E6_EEB6E90D29E4_.wvu.Rows" localSheetId="3" hidden="1">Sheet1!#REF!</definedName>
    <definedName name="Z_209662B1_09B2_4060_A837_250CED7848ED_.wvu.Rows" localSheetId="1" hidden="1">BCC!#REF!</definedName>
    <definedName name="Z_209662B1_09B2_4060_A837_250CED7848ED_.wvu.Rows" localSheetId="0" hidden="1">Consolidated!#REF!</definedName>
    <definedName name="Z_209662B1_09B2_4060_A837_250CED7848ED_.wvu.Rows" localSheetId="3" hidden="1">Sheet1!#REF!</definedName>
    <definedName name="Z_879F34B1_DA85_44D2_99EE_74A633FB2C72_.wvu.Rows" localSheetId="1" hidden="1">BCC!#REF!</definedName>
    <definedName name="Z_879F34B1_DA85_44D2_99EE_74A633FB2C72_.wvu.Rows" localSheetId="0" hidden="1">Consolidated!#REF!</definedName>
    <definedName name="Z_879F34B1_DA85_44D2_99EE_74A633FB2C72_.wvu.Rows" localSheetId="3" hidden="1">Sheet1!#REF!</definedName>
    <definedName name="Z_A8167CC1_C909_4D11_B8D5_4313083C8125_.wvu.Cols" localSheetId="1" hidden="1">BCC!$AE:$AG</definedName>
    <definedName name="Z_A8167CC1_C909_4D11_B8D5_4313083C8125_.wvu.Cols" localSheetId="0" hidden="1">Consolidated!$AE:$AH</definedName>
    <definedName name="Z_A8167CC1_C909_4D11_B8D5_4313083C8125_.wvu.Cols" localSheetId="3" hidden="1">Sheet1!$AE:$AH</definedName>
    <definedName name="Z_A8167CC1_C909_4D11_B8D5_4313083C8125_.wvu.Cols" localSheetId="4" hidden="1">Sheet4!$I:$I</definedName>
    <definedName name="Z_A8167CC1_C909_4D11_B8D5_4313083C8125_.wvu.Rows" localSheetId="1" hidden="1">BCC!#REF!</definedName>
    <definedName name="Z_A8167CC1_C909_4D11_B8D5_4313083C8125_.wvu.Rows" localSheetId="0" hidden="1">Consolidated!#REF!</definedName>
    <definedName name="Z_A8167CC1_C909_4D11_B8D5_4313083C8125_.wvu.Rows" localSheetId="3" hidden="1">Sheet1!#REF!</definedName>
    <definedName name="Z_AA4262F8_9AB3_4147_94E2_8DEF81F7E83C_.wvu.Rows" localSheetId="1" hidden="1">BCC!#REF!</definedName>
    <definedName name="Z_AA4262F8_9AB3_4147_94E2_8DEF81F7E83C_.wvu.Rows" localSheetId="0" hidden="1">Consolidated!#REF!</definedName>
    <definedName name="Z_AA4262F8_9AB3_4147_94E2_8DEF81F7E83C_.wvu.Rows" localSheetId="3" hidden="1">Sheet1!#REF!</definedName>
    <definedName name="Z_B2BB7590_1CD2_4457_858D_F8835B99F338_.wvu.Rows" localSheetId="1" hidden="1">BCC!#REF!</definedName>
    <definedName name="Z_B2BB7590_1CD2_4457_858D_F8835B99F338_.wvu.Rows" localSheetId="0" hidden="1">Consolidated!#REF!</definedName>
    <definedName name="Z_B2BB7590_1CD2_4457_858D_F8835B99F338_.wvu.Rows" localSheetId="3" hidden="1">Sheet1!#REF!</definedName>
    <definedName name="Z_BFB0E08A_7D07_48F2_93C4_BE631A8642F6_.wvu.Rows" localSheetId="1" hidden="1">BCC!#REF!</definedName>
    <definedName name="Z_BFB0E08A_7D07_48F2_93C4_BE631A8642F6_.wvu.Rows" localSheetId="0" hidden="1">Consolidated!#REF!</definedName>
    <definedName name="Z_BFB0E08A_7D07_48F2_93C4_BE631A8642F6_.wvu.Rows" localSheetId="3" hidden="1">Sheet1!#REF!</definedName>
    <definedName name="Z_D65E0E17_9A53_4B36_ADDE_FDFBD878E6A1_.wvu.Rows" localSheetId="1" hidden="1">BCC!#REF!</definedName>
    <definedName name="Z_D65E0E17_9A53_4B36_ADDE_FDFBD878E6A1_.wvu.Rows" localSheetId="0" hidden="1">Consolidated!#REF!</definedName>
    <definedName name="Z_D65E0E17_9A53_4B36_ADDE_FDFBD878E6A1_.wvu.Rows" localSheetId="3" hidden="1">Sheet1!#REF!</definedName>
    <definedName name="Z_E19D3675_E478_4A54_8E7A_94A199F67811_.wvu.Rows" localSheetId="1" hidden="1">BCC!#REF!</definedName>
    <definedName name="Z_E19D3675_E478_4A54_8E7A_94A199F67811_.wvu.Rows" localSheetId="0" hidden="1">Consolidated!#REF!</definedName>
    <definedName name="Z_E19D3675_E478_4A54_8E7A_94A199F67811_.wvu.Rows" localSheetId="3" hidden="1">Sheet1!#REF!</definedName>
    <definedName name="Z_F3E5B7E7_D3C6_4CDC_BAA7_D62F15A870E4_.wvu.Rows" localSheetId="1" hidden="1">BCC!#REF!</definedName>
    <definedName name="Z_F3E5B7E7_D3C6_4CDC_BAA7_D62F15A870E4_.wvu.Rows" localSheetId="0" hidden="1">Consolidated!#REF!</definedName>
    <definedName name="Z_F3E5B7E7_D3C6_4CDC_BAA7_D62F15A870E4_.wvu.Rows" localSheetId="3" hidden="1">Sheet1!#REF!</definedName>
  </definedNames>
  <calcPr calcId="125725"/>
  <customWorkbookViews>
    <customWorkbookView name="MatalanMIS - Personal View" guid="{AA4262F8-9AB3-4147-94E2-8DEF81F7E83C}" mergeInterval="0" personalView="1" maximized="1" xWindow="1" yWindow="1" windowWidth="1276" windowHeight="803" tabRatio="844" activeSheetId="1"/>
    <customWorkbookView name="Nick Chheda - Personal View" guid="{A8167CC1-C909-4D11-B8D5-4313083C8125}" mergeInterval="0" personalView="1" maximized="1" xWindow="1" yWindow="1" windowWidth="1356" windowHeight="525" tabRatio="796" activeSheetId="18"/>
    <customWorkbookView name="m.kaif - Personal View" guid="{C4C974E7-2FCF-4C3A-A063-03001047949F}" mergeInterval="0" personalView="1" maximized="1" xWindow="1" yWindow="1" windowWidth="1024" windowHeight="527" tabRatio="601" activeSheetId="9"/>
    <customWorkbookView name="vasanth - Personal View" guid="{A879B074-133C-4DA1-A94D-0D1575EAAFB0}" mergeInterval="0" personalView="1" maximized="1" xWindow="1" yWindow="1" windowWidth="1020" windowHeight="550" tabRatio="601" activeSheetId="4" showComments="commIndAndComment"/>
    <customWorkbookView name="bs.rajesh - Personal View" guid="{B2BB7590-1CD2-4457-858D-F8835B99F338}" mergeInterval="0" personalView="1" maximized="1" xWindow="1" yWindow="1" windowWidth="1024" windowHeight="547" tabRatio="601" activeSheetId="12"/>
    <customWorkbookView name="Nikhil Chheda - Personal View" guid="{209662B1-09B2-4060-A837-250CED7848ED}" mergeInterval="0" personalView="1" maximized="1" xWindow="1" yWindow="1" windowWidth="1276" windowHeight="500" tabRatio="844" activeSheetId="1"/>
    <customWorkbookView name="d.ramos - Personal View" guid="{02AA01BD-C75B-4B6E-A8E6-EEB6E90D29E4}" mergeInterval="0" personalView="1" maximized="1" xWindow="1" yWindow="1" windowWidth="1024" windowHeight="547" tabRatio="844" activeSheetId="9"/>
    <customWorkbookView name="Rajesh - Personal View" guid="{879F34B1-DA85-44D2-99EE-74A633FB2C72}" mergeInterval="0" personalView="1" maximized="1" xWindow="1" yWindow="1" windowWidth="1356" windowHeight="548" tabRatio="844" activeSheetId="6"/>
    <customWorkbookView name="Abdul Rouf - Personal View" guid="{F3E5B7E7-D3C6-4CDC-BAA7-D62F15A870E4}" mergeInterval="0" personalView="1" maximized="1" xWindow="1" yWindow="1" windowWidth="1276" windowHeight="739" tabRatio="601" activeSheetId="4"/>
    <customWorkbookView name="M Sabeer_2 - Personal View" guid="{D65E0E17-9A53-4B36-ADDE-FDFBD878E6A1}" mergeInterval="0" personalView="1" maximized="1" xWindow="1" yWindow="1" windowWidth="1276" windowHeight="803" tabRatio="601" activeSheetId="11" showComments="commIndAndComment"/>
    <customWorkbookView name="Nirav - Personal View" guid="{BFB0E08A-7D07-48F2-93C4-BE631A8642F6}" mergeInterval="0" personalView="1" maximized="1" xWindow="1" yWindow="1" windowWidth="1024" windowHeight="548" tabRatio="844" activeSheetId="8" showComments="commNone"/>
    <customWorkbookView name="Nikhil Cheda - Personal View" guid="{E19D3675-E478-4A54-8E7A-94A199F67811}" mergeInterval="0" personalView="1" maximized="1" xWindow="1" yWindow="1" windowWidth="1356" windowHeight="525" tabRatio="844" activeSheetId="4"/>
  </customWorkbookViews>
  <fileRecoveryPr autoRecover="0"/>
</workbook>
</file>

<file path=xl/calcChain.xml><?xml version="1.0" encoding="utf-8"?>
<calcChain xmlns="http://schemas.openxmlformats.org/spreadsheetml/2006/main">
  <c r="M17" i="10"/>
  <c r="C17"/>
  <c r="Y17"/>
  <c r="W17"/>
  <c r="S17"/>
  <c r="Q17"/>
  <c r="E17"/>
  <c r="U17"/>
  <c r="G17"/>
  <c r="X114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X112"/>
  <c r="V112"/>
  <c r="T112"/>
  <c r="R112"/>
  <c r="P112"/>
  <c r="N112"/>
  <c r="L112"/>
  <c r="J112"/>
  <c r="H112"/>
  <c r="F112"/>
  <c r="D112"/>
  <c r="X111"/>
  <c r="V111"/>
  <c r="T111"/>
  <c r="R111"/>
  <c r="P111"/>
  <c r="N111"/>
  <c r="L111"/>
  <c r="J111"/>
  <c r="H111"/>
  <c r="F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X107"/>
  <c r="V107"/>
  <c r="T107"/>
  <c r="R107"/>
  <c r="P107"/>
  <c r="N107"/>
  <c r="L107"/>
  <c r="J107"/>
  <c r="H107"/>
  <c r="F107"/>
  <c r="D107"/>
  <c r="X106"/>
  <c r="V106"/>
  <c r="T106"/>
  <c r="R106"/>
  <c r="P106"/>
  <c r="N106"/>
  <c r="L106"/>
  <c r="J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Y103"/>
  <c r="W103"/>
  <c r="X103"/>
  <c r="U103"/>
  <c r="V103"/>
  <c r="S103"/>
  <c r="T103"/>
  <c r="Q103"/>
  <c r="R103"/>
  <c r="O103"/>
  <c r="P103"/>
  <c r="N103"/>
  <c r="K103"/>
  <c r="L103"/>
  <c r="I103"/>
  <c r="J103"/>
  <c r="G103"/>
  <c r="H103"/>
  <c r="E103"/>
  <c r="F103"/>
  <c r="C103"/>
  <c r="D103"/>
  <c r="X102"/>
  <c r="V102"/>
  <c r="T102"/>
  <c r="R102"/>
  <c r="P102"/>
  <c r="N102"/>
  <c r="L102"/>
  <c r="J102"/>
  <c r="H102"/>
  <c r="F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R98"/>
  <c r="P98"/>
  <c r="N98"/>
  <c r="L98"/>
  <c r="J98"/>
  <c r="H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Y5"/>
  <c r="W5"/>
  <c r="U5"/>
  <c r="S5"/>
  <c r="Q5"/>
  <c r="O5"/>
  <c r="M5"/>
  <c r="K5"/>
  <c r="I5"/>
  <c r="G5"/>
  <c r="E5"/>
  <c r="C5"/>
  <c r="AA116"/>
  <c r="AA117"/>
  <c r="AA118"/>
  <c r="AA119"/>
  <c r="AA120"/>
  <c r="AA121"/>
  <c r="AA122"/>
  <c r="AA123"/>
  <c r="AA124"/>
  <c r="AA125"/>
  <c r="AA127"/>
  <c r="AA128"/>
  <c r="S53"/>
  <c r="Q53"/>
  <c r="O53"/>
  <c r="M53"/>
  <c r="K53"/>
  <c r="I53"/>
  <c r="G53"/>
  <c r="E53"/>
  <c r="C53"/>
  <c r="Y128" i="22"/>
  <c r="Y127"/>
  <c r="Y125"/>
  <c r="Y124"/>
  <c r="Y123"/>
  <c r="Y122"/>
  <c r="Y121"/>
  <c r="Y120"/>
  <c r="Y119"/>
  <c r="Y118"/>
  <c r="Y117"/>
  <c r="Y116"/>
  <c r="W128"/>
  <c r="W127"/>
  <c r="W125"/>
  <c r="W124"/>
  <c r="W123"/>
  <c r="W122"/>
  <c r="W121"/>
  <c r="W120"/>
  <c r="W119"/>
  <c r="W118"/>
  <c r="W117"/>
  <c r="W116"/>
  <c r="U128"/>
  <c r="U127"/>
  <c r="U125"/>
  <c r="U124"/>
  <c r="U123"/>
  <c r="U122"/>
  <c r="U121"/>
  <c r="U120"/>
  <c r="U119"/>
  <c r="U118"/>
  <c r="U117"/>
  <c r="U116"/>
  <c r="S128"/>
  <c r="S127"/>
  <c r="S125"/>
  <c r="S124"/>
  <c r="S123"/>
  <c r="S122"/>
  <c r="S121"/>
  <c r="S120"/>
  <c r="S119"/>
  <c r="S118"/>
  <c r="S117"/>
  <c r="S116"/>
  <c r="Q128"/>
  <c r="Q127"/>
  <c r="Q125"/>
  <c r="Q124"/>
  <c r="Q123"/>
  <c r="Q122"/>
  <c r="Q121"/>
  <c r="Q120"/>
  <c r="Q119"/>
  <c r="Q118"/>
  <c r="Q117"/>
  <c r="Q116"/>
  <c r="O128"/>
  <c r="O127"/>
  <c r="O125"/>
  <c r="O124"/>
  <c r="O123"/>
  <c r="O122"/>
  <c r="O121"/>
  <c r="O120"/>
  <c r="O119"/>
  <c r="O118"/>
  <c r="O117"/>
  <c r="O116"/>
  <c r="M128"/>
  <c r="M127"/>
  <c r="M125"/>
  <c r="M124"/>
  <c r="M123"/>
  <c r="M122"/>
  <c r="M121"/>
  <c r="M120"/>
  <c r="M119"/>
  <c r="M118"/>
  <c r="M117"/>
  <c r="M116"/>
  <c r="K128"/>
  <c r="K127"/>
  <c r="K125"/>
  <c r="K124"/>
  <c r="K123"/>
  <c r="K122"/>
  <c r="K121"/>
  <c r="K120"/>
  <c r="K119"/>
  <c r="K118"/>
  <c r="K117"/>
  <c r="K116"/>
  <c r="I117"/>
  <c r="I118"/>
  <c r="I119"/>
  <c r="I120"/>
  <c r="I121"/>
  <c r="I122"/>
  <c r="I123"/>
  <c r="I124"/>
  <c r="I125"/>
  <c r="I127"/>
  <c r="I128"/>
  <c r="G117"/>
  <c r="G118"/>
  <c r="G119"/>
  <c r="G120"/>
  <c r="G121"/>
  <c r="G122"/>
  <c r="G123"/>
  <c r="G124"/>
  <c r="G125"/>
  <c r="G127"/>
  <c r="G128"/>
  <c r="E117"/>
  <c r="E118"/>
  <c r="E119"/>
  <c r="E120"/>
  <c r="E121"/>
  <c r="E122"/>
  <c r="E123"/>
  <c r="E124"/>
  <c r="E125"/>
  <c r="E127"/>
  <c r="E128"/>
  <c r="C117"/>
  <c r="C118"/>
  <c r="C119"/>
  <c r="C120"/>
  <c r="C121"/>
  <c r="C122"/>
  <c r="C123"/>
  <c r="C124"/>
  <c r="C125"/>
  <c r="C127"/>
  <c r="C128"/>
  <c r="C130"/>
  <c r="C132"/>
  <c r="C133"/>
  <c r="C134"/>
  <c r="C136"/>
  <c r="C137"/>
  <c r="C138"/>
  <c r="C139"/>
  <c r="C140"/>
  <c r="C141"/>
  <c r="C142"/>
  <c r="C143"/>
  <c r="C147"/>
  <c r="C148"/>
  <c r="C149"/>
  <c r="C150"/>
  <c r="C151"/>
  <c r="AA68" i="10"/>
  <c r="Y53"/>
  <c r="W53"/>
  <c r="U53"/>
  <c r="AA121" i="22"/>
  <c r="AC121"/>
  <c r="AA117"/>
  <c r="AC117"/>
  <c r="AA122"/>
  <c r="AA118"/>
  <c r="AC118"/>
  <c r="AA125"/>
  <c r="AA128"/>
  <c r="AA120"/>
  <c r="AC120"/>
  <c r="AA124"/>
  <c r="AA127"/>
  <c r="AA123"/>
  <c r="AA119"/>
  <c r="AC119"/>
  <c r="Z9" i="10"/>
  <c r="Y115"/>
  <c r="W115"/>
  <c r="W115" i="22"/>
  <c r="U115" i="10"/>
  <c r="S115"/>
  <c r="S115" i="22"/>
  <c r="Q115" i="10"/>
  <c r="O115"/>
  <c r="O115" i="22"/>
  <c r="M115" i="10"/>
  <c r="M115" i="22"/>
  <c r="K115" i="10"/>
  <c r="K115" i="22"/>
  <c r="I115" i="10"/>
  <c r="G115"/>
  <c r="G115" i="22"/>
  <c r="E115" i="10"/>
  <c r="E115" i="22"/>
  <c r="C115" i="10"/>
  <c r="C115" i="22"/>
  <c r="AA114" i="10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77"/>
  <c r="AA78"/>
  <c r="AA79"/>
  <c r="AA80"/>
  <c r="AA81"/>
  <c r="AA82"/>
  <c r="AA83"/>
  <c r="AA84"/>
  <c r="AA85"/>
  <c r="AA86"/>
  <c r="AA87"/>
  <c r="AA88"/>
  <c r="AA89"/>
  <c r="AA90"/>
  <c r="AA91"/>
  <c r="C19" i="22"/>
  <c r="E19"/>
  <c r="G19"/>
  <c r="I19"/>
  <c r="K19"/>
  <c r="M19"/>
  <c r="O19"/>
  <c r="Y151"/>
  <c r="W151"/>
  <c r="U151"/>
  <c r="S151"/>
  <c r="Q151"/>
  <c r="O151"/>
  <c r="M151"/>
  <c r="K151"/>
  <c r="I151"/>
  <c r="G151"/>
  <c r="E151"/>
  <c r="Y150"/>
  <c r="W150"/>
  <c r="U150"/>
  <c r="S150"/>
  <c r="Q150"/>
  <c r="O150"/>
  <c r="M150"/>
  <c r="K150"/>
  <c r="I150"/>
  <c r="G150"/>
  <c r="E150"/>
  <c r="Y149"/>
  <c r="W149"/>
  <c r="U149"/>
  <c r="S149"/>
  <c r="Q149"/>
  <c r="O149"/>
  <c r="M149"/>
  <c r="K149"/>
  <c r="I149"/>
  <c r="G149"/>
  <c r="E149"/>
  <c r="Y148"/>
  <c r="W148"/>
  <c r="U148"/>
  <c r="S148"/>
  <c r="Q148"/>
  <c r="O148"/>
  <c r="M148"/>
  <c r="K148"/>
  <c r="I148"/>
  <c r="G148"/>
  <c r="E148"/>
  <c r="Y147"/>
  <c r="W147"/>
  <c r="U147"/>
  <c r="S147"/>
  <c r="Q147"/>
  <c r="O147"/>
  <c r="M147"/>
  <c r="K147"/>
  <c r="I147"/>
  <c r="G147"/>
  <c r="E147"/>
  <c r="Y143"/>
  <c r="W143"/>
  <c r="U143"/>
  <c r="S143"/>
  <c r="Q143"/>
  <c r="O143"/>
  <c r="M143"/>
  <c r="K143"/>
  <c r="I143"/>
  <c r="G143"/>
  <c r="E143"/>
  <c r="Y142"/>
  <c r="W142"/>
  <c r="U142"/>
  <c r="S142"/>
  <c r="Q142"/>
  <c r="O142"/>
  <c r="M142"/>
  <c r="K142"/>
  <c r="I142"/>
  <c r="G142"/>
  <c r="E142"/>
  <c r="Y141"/>
  <c r="W141"/>
  <c r="U141"/>
  <c r="S141"/>
  <c r="Q141"/>
  <c r="O141"/>
  <c r="M141"/>
  <c r="K141"/>
  <c r="I141"/>
  <c r="G141"/>
  <c r="E141"/>
  <c r="Y140"/>
  <c r="W140"/>
  <c r="U140"/>
  <c r="S140"/>
  <c r="Q140"/>
  <c r="O140"/>
  <c r="M140"/>
  <c r="K140"/>
  <c r="I140"/>
  <c r="G140"/>
  <c r="E140"/>
  <c r="Y139"/>
  <c r="W139"/>
  <c r="U139"/>
  <c r="S139"/>
  <c r="Q139"/>
  <c r="O139"/>
  <c r="M139"/>
  <c r="K139"/>
  <c r="I139"/>
  <c r="G139"/>
  <c r="E139"/>
  <c r="Y138"/>
  <c r="W138"/>
  <c r="U138"/>
  <c r="S138"/>
  <c r="Q138"/>
  <c r="O138"/>
  <c r="M138"/>
  <c r="K138"/>
  <c r="I138"/>
  <c r="G138"/>
  <c r="E138"/>
  <c r="Y137"/>
  <c r="W137"/>
  <c r="U137"/>
  <c r="S137"/>
  <c r="Q137"/>
  <c r="O137"/>
  <c r="M137"/>
  <c r="K137"/>
  <c r="I137"/>
  <c r="G137"/>
  <c r="E137"/>
  <c r="Y136"/>
  <c r="W136"/>
  <c r="U136"/>
  <c r="S136"/>
  <c r="Q136"/>
  <c r="O136"/>
  <c r="M136"/>
  <c r="K136"/>
  <c r="I136"/>
  <c r="G136"/>
  <c r="E136"/>
  <c r="Y134"/>
  <c r="W134"/>
  <c r="U134"/>
  <c r="S134"/>
  <c r="Q134"/>
  <c r="O134"/>
  <c r="M134"/>
  <c r="K134"/>
  <c r="I134"/>
  <c r="G134"/>
  <c r="E134"/>
  <c r="Y133"/>
  <c r="W133"/>
  <c r="U133"/>
  <c r="S133"/>
  <c r="Q133"/>
  <c r="O133"/>
  <c r="M133"/>
  <c r="K133"/>
  <c r="I133"/>
  <c r="G133"/>
  <c r="E133"/>
  <c r="Y132"/>
  <c r="W132"/>
  <c r="U132"/>
  <c r="S132"/>
  <c r="Q132"/>
  <c r="O132"/>
  <c r="M132"/>
  <c r="K132"/>
  <c r="I132"/>
  <c r="G132"/>
  <c r="E132"/>
  <c r="Y130"/>
  <c r="W130"/>
  <c r="U130"/>
  <c r="S130"/>
  <c r="Q130"/>
  <c r="O130"/>
  <c r="M130"/>
  <c r="K130"/>
  <c r="I130"/>
  <c r="G130"/>
  <c r="E130"/>
  <c r="I116"/>
  <c r="G116"/>
  <c r="E116"/>
  <c r="C116"/>
  <c r="U115"/>
  <c r="Y114"/>
  <c r="W114"/>
  <c r="U114"/>
  <c r="S114"/>
  <c r="Q114"/>
  <c r="O114"/>
  <c r="M114"/>
  <c r="K114"/>
  <c r="I114"/>
  <c r="G114"/>
  <c r="E114"/>
  <c r="C114"/>
  <c r="Y113"/>
  <c r="W113"/>
  <c r="U113"/>
  <c r="S113"/>
  <c r="Q113"/>
  <c r="O113"/>
  <c r="M113"/>
  <c r="K113"/>
  <c r="I113"/>
  <c r="G113"/>
  <c r="E113"/>
  <c r="C113"/>
  <c r="Y112"/>
  <c r="W112"/>
  <c r="U112"/>
  <c r="S112"/>
  <c r="Q112"/>
  <c r="O112"/>
  <c r="M112"/>
  <c r="K112"/>
  <c r="I112"/>
  <c r="G112"/>
  <c r="E112"/>
  <c r="C112"/>
  <c r="Y111"/>
  <c r="W111"/>
  <c r="U111"/>
  <c r="S111"/>
  <c r="Q111"/>
  <c r="O111"/>
  <c r="M111"/>
  <c r="K111"/>
  <c r="I111"/>
  <c r="G111"/>
  <c r="E111"/>
  <c r="C111"/>
  <c r="Y110"/>
  <c r="W110"/>
  <c r="U110"/>
  <c r="S110"/>
  <c r="Q110"/>
  <c r="O110"/>
  <c r="M110"/>
  <c r="K110"/>
  <c r="I110"/>
  <c r="G110"/>
  <c r="E110"/>
  <c r="C110"/>
  <c r="Y109"/>
  <c r="W109"/>
  <c r="U109"/>
  <c r="S109"/>
  <c r="Q109"/>
  <c r="O109"/>
  <c r="M109"/>
  <c r="K109"/>
  <c r="I109"/>
  <c r="G109"/>
  <c r="E109"/>
  <c r="C109"/>
  <c r="Y108"/>
  <c r="U108"/>
  <c r="S108"/>
  <c r="Q108"/>
  <c r="M108"/>
  <c r="K108"/>
  <c r="I108"/>
  <c r="E108"/>
  <c r="C108"/>
  <c r="Y107"/>
  <c r="U107"/>
  <c r="S107"/>
  <c r="Q107"/>
  <c r="M107"/>
  <c r="K107"/>
  <c r="I107"/>
  <c r="E107"/>
  <c r="Y106"/>
  <c r="U106"/>
  <c r="Q106"/>
  <c r="M106"/>
  <c r="I106"/>
  <c r="E106"/>
  <c r="Y105"/>
  <c r="U105"/>
  <c r="Q105"/>
  <c r="M105"/>
  <c r="I105"/>
  <c r="E105"/>
  <c r="Y104"/>
  <c r="U104"/>
  <c r="Q104"/>
  <c r="M104"/>
  <c r="I104"/>
  <c r="E104"/>
  <c r="Y103"/>
  <c r="U103"/>
  <c r="Q103"/>
  <c r="M103"/>
  <c r="I103"/>
  <c r="E103"/>
  <c r="Y102"/>
  <c r="U102"/>
  <c r="Q102"/>
  <c r="M102"/>
  <c r="I102"/>
  <c r="E102"/>
  <c r="Y101"/>
  <c r="U101"/>
  <c r="Q101"/>
  <c r="M101"/>
  <c r="I101"/>
  <c r="E101"/>
  <c r="Y100"/>
  <c r="W100"/>
  <c r="U100"/>
  <c r="S100"/>
  <c r="Q100"/>
  <c r="O100"/>
  <c r="M100"/>
  <c r="K100"/>
  <c r="I100"/>
  <c r="G100"/>
  <c r="E100"/>
  <c r="C100"/>
  <c r="Y99"/>
  <c r="W99"/>
  <c r="U99"/>
  <c r="S99"/>
  <c r="Q99"/>
  <c r="O99"/>
  <c r="M99"/>
  <c r="K99"/>
  <c r="I99"/>
  <c r="G99"/>
  <c r="E99"/>
  <c r="C99"/>
  <c r="Y98"/>
  <c r="W98"/>
  <c r="U98"/>
  <c r="S98"/>
  <c r="Q98"/>
  <c r="O98"/>
  <c r="M98"/>
  <c r="K98"/>
  <c r="I98"/>
  <c r="G98"/>
  <c r="E98"/>
  <c r="C98"/>
  <c r="Y97"/>
  <c r="W97"/>
  <c r="U97"/>
  <c r="S97"/>
  <c r="Q97"/>
  <c r="O97"/>
  <c r="M97"/>
  <c r="K97"/>
  <c r="I97"/>
  <c r="G97"/>
  <c r="E97"/>
  <c r="C97"/>
  <c r="Y96"/>
  <c r="W96"/>
  <c r="U96"/>
  <c r="S96"/>
  <c r="Q96"/>
  <c r="O96"/>
  <c r="M96"/>
  <c r="I96"/>
  <c r="E96"/>
  <c r="Y95"/>
  <c r="U95"/>
  <c r="Q95"/>
  <c r="M95"/>
  <c r="I95"/>
  <c r="E95"/>
  <c r="Y94"/>
  <c r="U94"/>
  <c r="Q94"/>
  <c r="M94"/>
  <c r="I94"/>
  <c r="E94"/>
  <c r="Y92"/>
  <c r="W92"/>
  <c r="U92"/>
  <c r="S92"/>
  <c r="Q92"/>
  <c r="O92"/>
  <c r="M92"/>
  <c r="K92"/>
  <c r="I92"/>
  <c r="G92"/>
  <c r="E92"/>
  <c r="C92"/>
  <c r="Y91"/>
  <c r="W91"/>
  <c r="U91"/>
  <c r="S91"/>
  <c r="Q91"/>
  <c r="O91"/>
  <c r="M91"/>
  <c r="K91"/>
  <c r="I91"/>
  <c r="G91"/>
  <c r="E91"/>
  <c r="C91"/>
  <c r="Y90"/>
  <c r="W90"/>
  <c r="U90"/>
  <c r="S90"/>
  <c r="Q90"/>
  <c r="O90"/>
  <c r="M90"/>
  <c r="K90"/>
  <c r="I90"/>
  <c r="G90"/>
  <c r="E90"/>
  <c r="C90"/>
  <c r="Y89"/>
  <c r="W89"/>
  <c r="U89"/>
  <c r="S89"/>
  <c r="Q89"/>
  <c r="O89"/>
  <c r="M89"/>
  <c r="K89"/>
  <c r="I89"/>
  <c r="G89"/>
  <c r="E89"/>
  <c r="C89"/>
  <c r="Y88"/>
  <c r="W88"/>
  <c r="U88"/>
  <c r="S88"/>
  <c r="Q88"/>
  <c r="O88"/>
  <c r="M88"/>
  <c r="K88"/>
  <c r="I88"/>
  <c r="G88"/>
  <c r="E88"/>
  <c r="C88"/>
  <c r="Y87"/>
  <c r="W87"/>
  <c r="U87"/>
  <c r="S87"/>
  <c r="Q87"/>
  <c r="O87"/>
  <c r="M87"/>
  <c r="K87"/>
  <c r="I87"/>
  <c r="G87"/>
  <c r="E87"/>
  <c r="C87"/>
  <c r="Y86"/>
  <c r="W86"/>
  <c r="U86"/>
  <c r="S86"/>
  <c r="Q86"/>
  <c r="O86"/>
  <c r="M86"/>
  <c r="K86"/>
  <c r="I86"/>
  <c r="G86"/>
  <c r="E86"/>
  <c r="C86"/>
  <c r="Y85"/>
  <c r="W85"/>
  <c r="U85"/>
  <c r="S85"/>
  <c r="Q85"/>
  <c r="O85"/>
  <c r="M85"/>
  <c r="K85"/>
  <c r="I85"/>
  <c r="G85"/>
  <c r="E85"/>
  <c r="C85"/>
  <c r="Y84"/>
  <c r="W84"/>
  <c r="U84"/>
  <c r="S84"/>
  <c r="Q84"/>
  <c r="O84"/>
  <c r="M84"/>
  <c r="K84"/>
  <c r="I84"/>
  <c r="G84"/>
  <c r="E84"/>
  <c r="C84"/>
  <c r="Y83"/>
  <c r="W83"/>
  <c r="U83"/>
  <c r="S83"/>
  <c r="Q83"/>
  <c r="O83"/>
  <c r="M83"/>
  <c r="K83"/>
  <c r="I83"/>
  <c r="G83"/>
  <c r="E83"/>
  <c r="C83"/>
  <c r="Y82"/>
  <c r="W82"/>
  <c r="U82"/>
  <c r="S82"/>
  <c r="Q82"/>
  <c r="O82"/>
  <c r="M82"/>
  <c r="K82"/>
  <c r="I82"/>
  <c r="G82"/>
  <c r="E82"/>
  <c r="C82"/>
  <c r="Y81"/>
  <c r="W81"/>
  <c r="U81"/>
  <c r="S81"/>
  <c r="Q81"/>
  <c r="O81"/>
  <c r="M81"/>
  <c r="K81"/>
  <c r="I81"/>
  <c r="G81"/>
  <c r="E81"/>
  <c r="C81"/>
  <c r="Y80"/>
  <c r="W80"/>
  <c r="U80"/>
  <c r="S80"/>
  <c r="Q80"/>
  <c r="O80"/>
  <c r="M80"/>
  <c r="K80"/>
  <c r="I80"/>
  <c r="G80"/>
  <c r="E80"/>
  <c r="C80"/>
  <c r="Y79"/>
  <c r="W79"/>
  <c r="U79"/>
  <c r="S79"/>
  <c r="Q79"/>
  <c r="O79"/>
  <c r="M79"/>
  <c r="K79"/>
  <c r="I79"/>
  <c r="G79"/>
  <c r="E79"/>
  <c r="C79"/>
  <c r="Y78"/>
  <c r="W78"/>
  <c r="U78"/>
  <c r="S78"/>
  <c r="Q78"/>
  <c r="O78"/>
  <c r="M78"/>
  <c r="K78"/>
  <c r="I78"/>
  <c r="G78"/>
  <c r="E78"/>
  <c r="C78"/>
  <c r="Y77"/>
  <c r="W77"/>
  <c r="U77"/>
  <c r="S77"/>
  <c r="Q77"/>
  <c r="O77"/>
  <c r="M77"/>
  <c r="K77"/>
  <c r="I77"/>
  <c r="G77"/>
  <c r="E77"/>
  <c r="C77"/>
  <c r="Y75"/>
  <c r="W75"/>
  <c r="U75"/>
  <c r="S75"/>
  <c r="Q75"/>
  <c r="O75"/>
  <c r="M75"/>
  <c r="K75"/>
  <c r="I75"/>
  <c r="G75"/>
  <c r="E75"/>
  <c r="C75"/>
  <c r="Y74"/>
  <c r="W74"/>
  <c r="U74"/>
  <c r="S74"/>
  <c r="Q74"/>
  <c r="O74"/>
  <c r="M74"/>
  <c r="K74"/>
  <c r="I74"/>
  <c r="G74"/>
  <c r="E74"/>
  <c r="C74"/>
  <c r="Y73"/>
  <c r="W73"/>
  <c r="U73"/>
  <c r="S73"/>
  <c r="Q73"/>
  <c r="O73"/>
  <c r="M73"/>
  <c r="K73"/>
  <c r="I73"/>
  <c r="G73"/>
  <c r="E73"/>
  <c r="C73"/>
  <c r="Y72"/>
  <c r="W72"/>
  <c r="U72"/>
  <c r="S72"/>
  <c r="Q72"/>
  <c r="O72"/>
  <c r="M72"/>
  <c r="K72"/>
  <c r="I72"/>
  <c r="G72"/>
  <c r="E72"/>
  <c r="C72"/>
  <c r="Y71"/>
  <c r="W71"/>
  <c r="U71"/>
  <c r="S71"/>
  <c r="Q71"/>
  <c r="O71"/>
  <c r="M71"/>
  <c r="K71"/>
  <c r="I71"/>
  <c r="G71"/>
  <c r="E71"/>
  <c r="C71"/>
  <c r="Y70"/>
  <c r="W70"/>
  <c r="U70"/>
  <c r="S70"/>
  <c r="Q70"/>
  <c r="O70"/>
  <c r="M70"/>
  <c r="K70"/>
  <c r="I70"/>
  <c r="G70"/>
  <c r="E70"/>
  <c r="C70"/>
  <c r="Y69"/>
  <c r="W69"/>
  <c r="U69"/>
  <c r="S69"/>
  <c r="Q69"/>
  <c r="O69"/>
  <c r="M69"/>
  <c r="K69"/>
  <c r="I69"/>
  <c r="G69"/>
  <c r="E69"/>
  <c r="C69"/>
  <c r="Y68"/>
  <c r="W68"/>
  <c r="U68"/>
  <c r="S68"/>
  <c r="Q68"/>
  <c r="O68"/>
  <c r="M68"/>
  <c r="K68"/>
  <c r="I68"/>
  <c r="G68"/>
  <c r="E68"/>
  <c r="C68"/>
  <c r="Y67"/>
  <c r="W67"/>
  <c r="U67"/>
  <c r="S67"/>
  <c r="Q67"/>
  <c r="O67"/>
  <c r="M67"/>
  <c r="K67"/>
  <c r="I67"/>
  <c r="G67"/>
  <c r="E67"/>
  <c r="C67"/>
  <c r="Y66"/>
  <c r="W66"/>
  <c r="U66"/>
  <c r="S66"/>
  <c r="Q66"/>
  <c r="O66"/>
  <c r="M66"/>
  <c r="K66"/>
  <c r="I66"/>
  <c r="G66"/>
  <c r="E66"/>
  <c r="C66"/>
  <c r="Y65"/>
  <c r="W65"/>
  <c r="U65"/>
  <c r="S65"/>
  <c r="Q65"/>
  <c r="O65"/>
  <c r="M65"/>
  <c r="K65"/>
  <c r="I65"/>
  <c r="G65"/>
  <c r="E65"/>
  <c r="C65"/>
  <c r="Y64"/>
  <c r="W64"/>
  <c r="U64"/>
  <c r="S64"/>
  <c r="Q64"/>
  <c r="O64"/>
  <c r="M64"/>
  <c r="K64"/>
  <c r="I64"/>
  <c r="G64"/>
  <c r="E64"/>
  <c r="C64"/>
  <c r="Y63"/>
  <c r="W63"/>
  <c r="U63"/>
  <c r="S63"/>
  <c r="Q63"/>
  <c r="O63"/>
  <c r="M63"/>
  <c r="K63"/>
  <c r="I63"/>
  <c r="G63"/>
  <c r="E63"/>
  <c r="C63"/>
  <c r="Y62"/>
  <c r="W62"/>
  <c r="U62"/>
  <c r="S62"/>
  <c r="Q62"/>
  <c r="O62"/>
  <c r="M62"/>
  <c r="K62"/>
  <c r="I62"/>
  <c r="G62"/>
  <c r="E62"/>
  <c r="C62"/>
  <c r="Y61"/>
  <c r="W61"/>
  <c r="U61"/>
  <c r="S61"/>
  <c r="Q61"/>
  <c r="O61"/>
  <c r="M61"/>
  <c r="K61"/>
  <c r="I61"/>
  <c r="G61"/>
  <c r="E61"/>
  <c r="C61"/>
  <c r="Y60"/>
  <c r="W60"/>
  <c r="U60"/>
  <c r="S60"/>
  <c r="Q60"/>
  <c r="O60"/>
  <c r="M60"/>
  <c r="K60"/>
  <c r="I60"/>
  <c r="G60"/>
  <c r="E60"/>
  <c r="C60"/>
  <c r="Y59"/>
  <c r="W59"/>
  <c r="U59"/>
  <c r="S59"/>
  <c r="Q59"/>
  <c r="O59"/>
  <c r="M59"/>
  <c r="K59"/>
  <c r="I59"/>
  <c r="G59"/>
  <c r="E59"/>
  <c r="C59"/>
  <c r="Y58"/>
  <c r="W58"/>
  <c r="U58"/>
  <c r="S58"/>
  <c r="Q58"/>
  <c r="O58"/>
  <c r="M58"/>
  <c r="K58"/>
  <c r="I58"/>
  <c r="G58"/>
  <c r="E58"/>
  <c r="C58"/>
  <c r="Y57"/>
  <c r="W57"/>
  <c r="U57"/>
  <c r="S57"/>
  <c r="Q57"/>
  <c r="O57"/>
  <c r="M57"/>
  <c r="K57"/>
  <c r="I57"/>
  <c r="G57"/>
  <c r="E57"/>
  <c r="C57"/>
  <c r="Y56"/>
  <c r="W56"/>
  <c r="U56"/>
  <c r="S56"/>
  <c r="Q56"/>
  <c r="O56"/>
  <c r="M56"/>
  <c r="K56"/>
  <c r="I56"/>
  <c r="G56"/>
  <c r="E56"/>
  <c r="C56"/>
  <c r="Y55"/>
  <c r="W55"/>
  <c r="U55"/>
  <c r="S55"/>
  <c r="Q55"/>
  <c r="O55"/>
  <c r="M55"/>
  <c r="K55"/>
  <c r="I55"/>
  <c r="G55"/>
  <c r="E55"/>
  <c r="C55"/>
  <c r="Y54"/>
  <c r="W54"/>
  <c r="U54"/>
  <c r="S54"/>
  <c r="Q54"/>
  <c r="O54"/>
  <c r="M54"/>
  <c r="K54"/>
  <c r="I54"/>
  <c r="G54"/>
  <c r="E54"/>
  <c r="C54"/>
  <c r="Y53"/>
  <c r="W53"/>
  <c r="U53"/>
  <c r="S53"/>
  <c r="Q53"/>
  <c r="O53"/>
  <c r="M53"/>
  <c r="K53"/>
  <c r="I53"/>
  <c r="G53"/>
  <c r="E53"/>
  <c r="C53"/>
  <c r="Y52"/>
  <c r="W52"/>
  <c r="U52"/>
  <c r="S52"/>
  <c r="Q52"/>
  <c r="O52"/>
  <c r="M52"/>
  <c r="K52"/>
  <c r="I52"/>
  <c r="G52"/>
  <c r="E52"/>
  <c r="C52"/>
  <c r="Y51"/>
  <c r="W51"/>
  <c r="U51"/>
  <c r="S51"/>
  <c r="Q51"/>
  <c r="O51"/>
  <c r="M51"/>
  <c r="K51"/>
  <c r="I51"/>
  <c r="G51"/>
  <c r="E51"/>
  <c r="C51"/>
  <c r="Y50"/>
  <c r="W50"/>
  <c r="U50"/>
  <c r="S50"/>
  <c r="Q50"/>
  <c r="O50"/>
  <c r="M50"/>
  <c r="K50"/>
  <c r="I50"/>
  <c r="G50"/>
  <c r="E50"/>
  <c r="C50"/>
  <c r="Y49"/>
  <c r="W49"/>
  <c r="U49"/>
  <c r="S49"/>
  <c r="Q49"/>
  <c r="O49"/>
  <c r="M49"/>
  <c r="K49"/>
  <c r="I49"/>
  <c r="G49"/>
  <c r="E49"/>
  <c r="C49"/>
  <c r="Y48"/>
  <c r="W48"/>
  <c r="U48"/>
  <c r="S48"/>
  <c r="Q48"/>
  <c r="O48"/>
  <c r="M48"/>
  <c r="K48"/>
  <c r="I48"/>
  <c r="G48"/>
  <c r="E48"/>
  <c r="C48"/>
  <c r="Y47"/>
  <c r="W47"/>
  <c r="U47"/>
  <c r="S47"/>
  <c r="Q47"/>
  <c r="O47"/>
  <c r="M47"/>
  <c r="K47"/>
  <c r="I47"/>
  <c r="G47"/>
  <c r="E47"/>
  <c r="C47"/>
  <c r="Y45"/>
  <c r="W45"/>
  <c r="U45"/>
  <c r="S45"/>
  <c r="Q45"/>
  <c r="O45"/>
  <c r="M45"/>
  <c r="K45"/>
  <c r="I45"/>
  <c r="G45"/>
  <c r="E45"/>
  <c r="C45"/>
  <c r="Y44"/>
  <c r="W44"/>
  <c r="U44"/>
  <c r="S44"/>
  <c r="Q44"/>
  <c r="O44"/>
  <c r="M44"/>
  <c r="K44"/>
  <c r="I44"/>
  <c r="G44"/>
  <c r="E44"/>
  <c r="C44"/>
  <c r="Y43"/>
  <c r="W43"/>
  <c r="U43"/>
  <c r="S43"/>
  <c r="Q43"/>
  <c r="O43"/>
  <c r="M43"/>
  <c r="K43"/>
  <c r="I43"/>
  <c r="G43"/>
  <c r="E43"/>
  <c r="C43"/>
  <c r="C115" i="20"/>
  <c r="E115"/>
  <c r="AC97" i="10"/>
  <c r="AC95"/>
  <c r="AA116" i="22"/>
  <c r="AC116"/>
  <c r="AC123"/>
  <c r="AC124"/>
  <c r="AC125"/>
  <c r="AA44"/>
  <c r="AC44"/>
  <c r="AA48"/>
  <c r="AC48"/>
  <c r="AA50"/>
  <c r="AC50"/>
  <c r="AA58"/>
  <c r="AC58"/>
  <c r="AA61"/>
  <c r="AC61"/>
  <c r="AA63"/>
  <c r="AC63"/>
  <c r="AA64"/>
  <c r="AC64"/>
  <c r="AA67"/>
  <c r="AC67"/>
  <c r="AA130"/>
  <c r="AC130"/>
  <c r="AA132"/>
  <c r="AC132"/>
  <c r="AA133"/>
  <c r="AC133"/>
  <c r="AA134"/>
  <c r="AC134"/>
  <c r="AA136"/>
  <c r="AC136"/>
  <c r="AA143"/>
  <c r="AC143"/>
  <c r="AA147"/>
  <c r="AC147"/>
  <c r="AA148"/>
  <c r="AC148"/>
  <c r="AA149"/>
  <c r="AC149"/>
  <c r="AA150"/>
  <c r="AC150"/>
  <c r="AA151"/>
  <c r="AC151"/>
  <c r="AA92"/>
  <c r="AC92"/>
  <c r="AA69"/>
  <c r="AC69"/>
  <c r="AA60"/>
  <c r="AC60"/>
  <c r="AA74"/>
  <c r="AC74"/>
  <c r="AC128"/>
  <c r="AC127"/>
  <c r="AC122"/>
  <c r="AA57"/>
  <c r="AC57"/>
  <c r="AA51"/>
  <c r="AC51"/>
  <c r="AA75"/>
  <c r="AC75"/>
  <c r="AA70"/>
  <c r="AC70"/>
  <c r="AA71"/>
  <c r="AC71"/>
  <c r="AA72"/>
  <c r="AC72"/>
  <c r="AA73"/>
  <c r="AC73"/>
  <c r="AA66"/>
  <c r="AC66"/>
  <c r="AA65"/>
  <c r="AC65"/>
  <c r="AA62"/>
  <c r="AC62"/>
  <c r="AA54"/>
  <c r="AC54"/>
  <c r="AA45"/>
  <c r="AC45"/>
  <c r="AA115" i="10"/>
  <c r="AA68" i="22"/>
  <c r="AC68"/>
  <c r="AA59"/>
  <c r="AC59"/>
  <c r="AA56"/>
  <c r="AC56"/>
  <c r="AA55"/>
  <c r="AC55"/>
  <c r="AA53"/>
  <c r="AC53"/>
  <c r="AA52"/>
  <c r="AC52"/>
  <c r="AA49"/>
  <c r="AC49"/>
  <c r="AA47"/>
  <c r="AC47"/>
  <c r="AA43"/>
  <c r="AC43"/>
  <c r="I115"/>
  <c r="Q115"/>
  <c r="Y115"/>
  <c r="AC94" i="10"/>
  <c r="AC96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G94" i="22"/>
  <c r="O94"/>
  <c r="W94"/>
  <c r="G95"/>
  <c r="O95"/>
  <c r="W95"/>
  <c r="G96"/>
  <c r="C94"/>
  <c r="K94"/>
  <c r="S94"/>
  <c r="C95"/>
  <c r="K95"/>
  <c r="S95"/>
  <c r="C96"/>
  <c r="K96"/>
  <c r="G101"/>
  <c r="O101"/>
  <c r="W101"/>
  <c r="G102"/>
  <c r="O102"/>
  <c r="W102"/>
  <c r="G103"/>
  <c r="O103"/>
  <c r="W103"/>
  <c r="G104"/>
  <c r="O104"/>
  <c r="W104"/>
  <c r="G105"/>
  <c r="O105"/>
  <c r="W105"/>
  <c r="G106"/>
  <c r="O106"/>
  <c r="W106"/>
  <c r="G107"/>
  <c r="O107"/>
  <c r="W107"/>
  <c r="G108"/>
  <c r="O108"/>
  <c r="W108"/>
  <c r="AA97"/>
  <c r="AC97"/>
  <c r="AA98"/>
  <c r="AC98"/>
  <c r="AA99"/>
  <c r="AC99"/>
  <c r="AA100"/>
  <c r="AC100"/>
  <c r="C101"/>
  <c r="K101"/>
  <c r="S101"/>
  <c r="C102"/>
  <c r="K102"/>
  <c r="S102"/>
  <c r="C103"/>
  <c r="K103"/>
  <c r="S103"/>
  <c r="C104"/>
  <c r="K104"/>
  <c r="S104"/>
  <c r="C105"/>
  <c r="K105"/>
  <c r="S105"/>
  <c r="C106"/>
  <c r="K106"/>
  <c r="S106"/>
  <c r="C107"/>
  <c r="AA109"/>
  <c r="AC109"/>
  <c r="AA110"/>
  <c r="AC110"/>
  <c r="AA111"/>
  <c r="AC111"/>
  <c r="AA112"/>
  <c r="AC112"/>
  <c r="AA113"/>
  <c r="AC113"/>
  <c r="AA114"/>
  <c r="AC114"/>
  <c r="AA77"/>
  <c r="AC77"/>
  <c r="AA78"/>
  <c r="AC78"/>
  <c r="AA79"/>
  <c r="AC79"/>
  <c r="AA80"/>
  <c r="AC80"/>
  <c r="AA81"/>
  <c r="AC81"/>
  <c r="AA82"/>
  <c r="AC82"/>
  <c r="AA83"/>
  <c r="AC83"/>
  <c r="AA84"/>
  <c r="AC84"/>
  <c r="AA85"/>
  <c r="AC85"/>
  <c r="AA86"/>
  <c r="AC86"/>
  <c r="AA87"/>
  <c r="AC87" s="1"/>
  <c r="AJ87" s="1"/>
  <c r="AA88"/>
  <c r="AC88"/>
  <c r="AA89"/>
  <c r="AC89"/>
  <c r="AA90"/>
  <c r="AC90" s="1"/>
  <c r="AJ90" s="1"/>
  <c r="AA91"/>
  <c r="AC91"/>
  <c r="AA137"/>
  <c r="AC137"/>
  <c r="AA138"/>
  <c r="AC138"/>
  <c r="AA139"/>
  <c r="AC139"/>
  <c r="AA140"/>
  <c r="AC140"/>
  <c r="AA141"/>
  <c r="AC141"/>
  <c r="AA142"/>
  <c r="AC142" s="1"/>
  <c r="C144" i="10"/>
  <c r="C6" i="27" s="1"/>
  <c r="C93" i="10"/>
  <c r="C93" i="22" s="1"/>
  <c r="AA75" i="10"/>
  <c r="AC75"/>
  <c r="AA74"/>
  <c r="AA73"/>
  <c r="AC73"/>
  <c r="AA72"/>
  <c r="AC72"/>
  <c r="AA71"/>
  <c r="AC71"/>
  <c r="AA70"/>
  <c r="Y12"/>
  <c r="W12"/>
  <c r="U12"/>
  <c r="S12"/>
  <c r="Q12"/>
  <c r="O12"/>
  <c r="M12"/>
  <c r="K12"/>
  <c r="I12"/>
  <c r="G12"/>
  <c r="E12"/>
  <c r="AA142"/>
  <c r="I164"/>
  <c r="I162"/>
  <c r="AC115"/>
  <c r="U126"/>
  <c r="U126" i="22"/>
  <c r="U27" i="10"/>
  <c r="K126"/>
  <c r="K126" i="22"/>
  <c r="K27" i="10"/>
  <c r="Q126"/>
  <c r="Q126" i="22"/>
  <c r="Q27" i="10"/>
  <c r="G126"/>
  <c r="G126" i="22"/>
  <c r="G27" i="10"/>
  <c r="O126"/>
  <c r="O126" i="22"/>
  <c r="O27" i="10"/>
  <c r="W126"/>
  <c r="W126" i="22"/>
  <c r="W27" i="10"/>
  <c r="M126"/>
  <c r="M126" i="22"/>
  <c r="M27" i="10"/>
  <c r="E126"/>
  <c r="E126" i="22"/>
  <c r="E27" i="10"/>
  <c r="S126"/>
  <c r="S126" i="22"/>
  <c r="S27" i="10"/>
  <c r="I126"/>
  <c r="I126" i="22"/>
  <c r="I27" i="10"/>
  <c r="Y126"/>
  <c r="Y126" i="22"/>
  <c r="Y27" i="10"/>
  <c r="Z27"/>
  <c r="Z43"/>
  <c r="Z47"/>
  <c r="Z118"/>
  <c r="Z56"/>
  <c r="Z74"/>
  <c r="X43"/>
  <c r="X47"/>
  <c r="X74"/>
  <c r="X56"/>
  <c r="X118"/>
  <c r="V43"/>
  <c r="V74"/>
  <c r="V56"/>
  <c r="V47"/>
  <c r="V118"/>
  <c r="T43"/>
  <c r="T56"/>
  <c r="T118"/>
  <c r="T47"/>
  <c r="T74"/>
  <c r="R43"/>
  <c r="R47"/>
  <c r="R118"/>
  <c r="R74"/>
  <c r="R56"/>
  <c r="P43"/>
  <c r="P51"/>
  <c r="P74"/>
  <c r="P47"/>
  <c r="O17"/>
  <c r="P56"/>
  <c r="P118"/>
  <c r="N43"/>
  <c r="N74"/>
  <c r="N118"/>
  <c r="N56"/>
  <c r="N47"/>
  <c r="L43"/>
  <c r="L74"/>
  <c r="L118"/>
  <c r="K17"/>
  <c r="L56"/>
  <c r="J43"/>
  <c r="J56"/>
  <c r="I17"/>
  <c r="J74"/>
  <c r="J118"/>
  <c r="H43"/>
  <c r="H65"/>
  <c r="H56"/>
  <c r="H118"/>
  <c r="H74"/>
  <c r="F43"/>
  <c r="F56"/>
  <c r="F74"/>
  <c r="F118"/>
  <c r="AC74"/>
  <c r="C7" i="27"/>
  <c r="AA115" i="22"/>
  <c r="AC115"/>
  <c r="AA96"/>
  <c r="AC96"/>
  <c r="AA108"/>
  <c r="AC108"/>
  <c r="AC70" i="10"/>
  <c r="Z107"/>
  <c r="Z104"/>
  <c r="Z100"/>
  <c r="Z98"/>
  <c r="Z94"/>
  <c r="Z113"/>
  <c r="Z110"/>
  <c r="Z105"/>
  <c r="Z102"/>
  <c r="Z101"/>
  <c r="Z99"/>
  <c r="Z95"/>
  <c r="Z111"/>
  <c r="Z108"/>
  <c r="Z103"/>
  <c r="Z96"/>
  <c r="Z109"/>
  <c r="Z97"/>
  <c r="Z112"/>
  <c r="Z114"/>
  <c r="Z106"/>
  <c r="Z70"/>
  <c r="Z66"/>
  <c r="Z75"/>
  <c r="Z71"/>
  <c r="Z67"/>
  <c r="Z69"/>
  <c r="Z72"/>
  <c r="Z68"/>
  <c r="Z115"/>
  <c r="Z73"/>
  <c r="X73"/>
  <c r="X69"/>
  <c r="X70"/>
  <c r="X66"/>
  <c r="X75"/>
  <c r="X71"/>
  <c r="X67"/>
  <c r="X115"/>
  <c r="X72"/>
  <c r="X68"/>
  <c r="V72"/>
  <c r="V68"/>
  <c r="V73"/>
  <c r="V69"/>
  <c r="V70"/>
  <c r="V66"/>
  <c r="V115"/>
  <c r="V75"/>
  <c r="V71"/>
  <c r="V67"/>
  <c r="T75"/>
  <c r="T71"/>
  <c r="T67"/>
  <c r="T72"/>
  <c r="T68"/>
  <c r="T73"/>
  <c r="T69"/>
  <c r="T115"/>
  <c r="T70"/>
  <c r="T66"/>
  <c r="R70"/>
  <c r="R66"/>
  <c r="R75"/>
  <c r="R71"/>
  <c r="R67"/>
  <c r="R72"/>
  <c r="R68"/>
  <c r="R115"/>
  <c r="R73"/>
  <c r="R69"/>
  <c r="P73"/>
  <c r="P69"/>
  <c r="P70"/>
  <c r="P66"/>
  <c r="P75"/>
  <c r="P71"/>
  <c r="P67"/>
  <c r="P115"/>
  <c r="P72"/>
  <c r="P68"/>
  <c r="N72"/>
  <c r="N68"/>
  <c r="N73"/>
  <c r="N69"/>
  <c r="N70"/>
  <c r="N66"/>
  <c r="N115"/>
  <c r="N75"/>
  <c r="N71"/>
  <c r="N67"/>
  <c r="L72"/>
  <c r="L68"/>
  <c r="L67"/>
  <c r="L73"/>
  <c r="L69"/>
  <c r="L71"/>
  <c r="L70"/>
  <c r="L66"/>
  <c r="L115"/>
  <c r="L75"/>
  <c r="J72"/>
  <c r="J68"/>
  <c r="J73"/>
  <c r="J69"/>
  <c r="J70"/>
  <c r="J66"/>
  <c r="J115"/>
  <c r="J75"/>
  <c r="J71"/>
  <c r="J67"/>
  <c r="H72"/>
  <c r="H68"/>
  <c r="H73"/>
  <c r="H69"/>
  <c r="H70"/>
  <c r="H66"/>
  <c r="H115"/>
  <c r="H75"/>
  <c r="H71"/>
  <c r="H67"/>
  <c r="F115"/>
  <c r="C12"/>
  <c r="AA106" i="22"/>
  <c r="AC106"/>
  <c r="AA102"/>
  <c r="AC102"/>
  <c r="AA94"/>
  <c r="AC94"/>
  <c r="AA95"/>
  <c r="AC95"/>
  <c r="AA107"/>
  <c r="AC107"/>
  <c r="AA103"/>
  <c r="AC103"/>
  <c r="AA105"/>
  <c r="AC105"/>
  <c r="AA101"/>
  <c r="AC101"/>
  <c r="AA104"/>
  <c r="AC104"/>
  <c r="M164" i="10"/>
  <c r="M162"/>
  <c r="AQ6"/>
  <c r="AQ7"/>
  <c r="AQ8"/>
  <c r="AQ9"/>
  <c r="AQ10"/>
  <c r="AQ11"/>
  <c r="AQ13"/>
  <c r="AQ14"/>
  <c r="AQ18"/>
  <c r="AQ19"/>
  <c r="AQ20"/>
  <c r="AQ22"/>
  <c r="AQ23"/>
  <c r="AQ24"/>
  <c r="AQ25"/>
  <c r="AQ26"/>
  <c r="AQ28"/>
  <c r="AQ29"/>
  <c r="AQ30"/>
  <c r="AQ31"/>
  <c r="AQ32"/>
  <c r="AQ33"/>
  <c r="AQ34"/>
  <c r="AQ38"/>
  <c r="AQ39"/>
  <c r="AQ40"/>
  <c r="AQ42"/>
  <c r="AQ43"/>
  <c r="AQ44"/>
  <c r="AQ45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7"/>
  <c r="AQ78"/>
  <c r="AQ79"/>
  <c r="AQ80"/>
  <c r="AQ81"/>
  <c r="AQ82"/>
  <c r="AQ83"/>
  <c r="AQ84"/>
  <c r="AQ85"/>
  <c r="AQ86"/>
  <c r="AQ87"/>
  <c r="AQ88"/>
  <c r="AQ89"/>
  <c r="AQ90"/>
  <c r="AQ91"/>
  <c r="AQ92"/>
  <c r="AQ94"/>
  <c r="AQ95"/>
  <c r="AQ96"/>
  <c r="AQ97"/>
  <c r="AQ98"/>
  <c r="AQ99"/>
  <c r="AQ101"/>
  <c r="AQ102"/>
  <c r="AQ103"/>
  <c r="AQ104"/>
  <c r="AQ105"/>
  <c r="AQ106"/>
  <c r="AQ107"/>
  <c r="AQ116"/>
  <c r="AQ117"/>
  <c r="AQ119"/>
  <c r="AQ120"/>
  <c r="AQ121"/>
  <c r="AQ122"/>
  <c r="AQ123"/>
  <c r="AQ124"/>
  <c r="AQ125"/>
  <c r="AQ127"/>
  <c r="AQ128"/>
  <c r="AQ130"/>
  <c r="AQ132"/>
  <c r="AQ133"/>
  <c r="AQ134"/>
  <c r="AQ136"/>
  <c r="AQ137"/>
  <c r="AQ138"/>
  <c r="AQ139"/>
  <c r="AQ140"/>
  <c r="AQ141"/>
  <c r="AQ142"/>
  <c r="AQ143"/>
  <c r="AQ147"/>
  <c r="AQ148"/>
  <c r="AQ149"/>
  <c r="AQ150"/>
  <c r="AQ151"/>
  <c r="K46" i="26"/>
  <c r="B46"/>
  <c r="C46"/>
  <c r="D46"/>
  <c r="E46"/>
  <c r="E34"/>
  <c r="E35"/>
  <c r="E36"/>
  <c r="E37"/>
  <c r="E38"/>
  <c r="E39"/>
  <c r="E40"/>
  <c r="E41"/>
  <c r="E42"/>
  <c r="E43"/>
  <c r="E44"/>
  <c r="E33"/>
  <c r="AQ126" i="10"/>
  <c r="AR138"/>
  <c r="C126"/>
  <c r="C126" i="22"/>
  <c r="AA126"/>
  <c r="AC126"/>
  <c r="C27" i="10"/>
  <c r="D43"/>
  <c r="D118"/>
  <c r="D56"/>
  <c r="D74"/>
  <c r="D115"/>
  <c r="AL68"/>
  <c r="J33" i="25"/>
  <c r="AA65" i="10"/>
  <c r="AA62"/>
  <c r="D29" i="25"/>
  <c r="D30"/>
  <c r="D31"/>
  <c r="D32"/>
  <c r="D33"/>
  <c r="D34"/>
  <c r="D35"/>
  <c r="D36"/>
  <c r="E17"/>
  <c r="J11" i="10"/>
  <c r="J10"/>
  <c r="J7"/>
  <c r="J6"/>
  <c r="M128" i="20"/>
  <c r="AL105"/>
  <c r="AM105"/>
  <c r="J59" i="10"/>
  <c r="N59"/>
  <c r="L59"/>
  <c r="D59" i="23"/>
  <c r="D60"/>
  <c r="D61"/>
  <c r="D62"/>
  <c r="D63"/>
  <c r="D64"/>
  <c r="D65"/>
  <c r="D66"/>
  <c r="D67"/>
  <c r="D68"/>
  <c r="D69"/>
  <c r="D58"/>
  <c r="C59"/>
  <c r="C60"/>
  <c r="C61"/>
  <c r="C62"/>
  <c r="C63"/>
  <c r="C64"/>
  <c r="C65"/>
  <c r="C66"/>
  <c r="C67"/>
  <c r="C68"/>
  <c r="C69"/>
  <c r="C58"/>
  <c r="K71"/>
  <c r="B69"/>
  <c r="E69"/>
  <c r="B68"/>
  <c r="B67"/>
  <c r="B66"/>
  <c r="B65"/>
  <c r="E65"/>
  <c r="B64"/>
  <c r="B63"/>
  <c r="B62"/>
  <c r="B61"/>
  <c r="E61"/>
  <c r="B60"/>
  <c r="J59"/>
  <c r="B59"/>
  <c r="B58"/>
  <c r="L57"/>
  <c r="L56"/>
  <c r="L55"/>
  <c r="K46"/>
  <c r="D34"/>
  <c r="D35"/>
  <c r="D36"/>
  <c r="D37"/>
  <c r="D38"/>
  <c r="D39"/>
  <c r="D40"/>
  <c r="D41"/>
  <c r="D42"/>
  <c r="D43"/>
  <c r="D44"/>
  <c r="D33"/>
  <c r="C34"/>
  <c r="C35"/>
  <c r="C36"/>
  <c r="C37"/>
  <c r="C38"/>
  <c r="C39"/>
  <c r="C40"/>
  <c r="C41"/>
  <c r="C42"/>
  <c r="C43"/>
  <c r="C44"/>
  <c r="C33"/>
  <c r="B44"/>
  <c r="B43"/>
  <c r="B42"/>
  <c r="B41"/>
  <c r="E41"/>
  <c r="B40"/>
  <c r="B39"/>
  <c r="B38"/>
  <c r="B37"/>
  <c r="E37"/>
  <c r="B36"/>
  <c r="B35"/>
  <c r="B34"/>
  <c r="B33"/>
  <c r="E33"/>
  <c r="J34"/>
  <c r="L32"/>
  <c r="L31"/>
  <c r="L30"/>
  <c r="J19"/>
  <c r="L16"/>
  <c r="L17"/>
  <c r="L15"/>
  <c r="D9"/>
  <c r="C9"/>
  <c r="B9"/>
  <c r="D11"/>
  <c r="D12"/>
  <c r="D13"/>
  <c r="D14"/>
  <c r="D15"/>
  <c r="D16"/>
  <c r="D17"/>
  <c r="D18"/>
  <c r="D19"/>
  <c r="D20"/>
  <c r="C11"/>
  <c r="C12"/>
  <c r="C13"/>
  <c r="C14"/>
  <c r="C15"/>
  <c r="C16"/>
  <c r="C17"/>
  <c r="C18"/>
  <c r="C19"/>
  <c r="C20"/>
  <c r="B11"/>
  <c r="B12"/>
  <c r="B13"/>
  <c r="B14"/>
  <c r="B15"/>
  <c r="B16"/>
  <c r="B17"/>
  <c r="B18"/>
  <c r="B19"/>
  <c r="B20"/>
  <c r="D10"/>
  <c r="C10"/>
  <c r="B10"/>
  <c r="E17" i="20"/>
  <c r="F17"/>
  <c r="AC65" i="10"/>
  <c r="C129"/>
  <c r="C129" i="22"/>
  <c r="AA126" i="10"/>
  <c r="Y46" i="22"/>
  <c r="Y76" i="10"/>
  <c r="D37" i="25"/>
  <c r="D38"/>
  <c r="D39"/>
  <c r="D40"/>
  <c r="D41"/>
  <c r="D42"/>
  <c r="D43"/>
  <c r="D44"/>
  <c r="F36"/>
  <c r="F37"/>
  <c r="F38"/>
  <c r="F39"/>
  <c r="F40"/>
  <c r="F41"/>
  <c r="F42"/>
  <c r="F43"/>
  <c r="F44"/>
  <c r="E59" i="23"/>
  <c r="E58"/>
  <c r="D71"/>
  <c r="E60"/>
  <c r="E64"/>
  <c r="E68"/>
  <c r="E62"/>
  <c r="E66"/>
  <c r="E63"/>
  <c r="E67"/>
  <c r="C71"/>
  <c r="L59"/>
  <c r="B71"/>
  <c r="L34"/>
  <c r="D46"/>
  <c r="E36"/>
  <c r="E40"/>
  <c r="E44"/>
  <c r="E34"/>
  <c r="E38"/>
  <c r="E42"/>
  <c r="E35"/>
  <c r="E39"/>
  <c r="E43"/>
  <c r="C46"/>
  <c r="B46"/>
  <c r="L19"/>
  <c r="B22"/>
  <c r="C22"/>
  <c r="D22"/>
  <c r="E9"/>
  <c r="E19"/>
  <c r="E15"/>
  <c r="E11"/>
  <c r="E10"/>
  <c r="E17"/>
  <c r="E13"/>
  <c r="E18"/>
  <c r="E14"/>
  <c r="E20"/>
  <c r="E16"/>
  <c r="E12"/>
  <c r="Y143" i="20"/>
  <c r="W143"/>
  <c r="U143"/>
  <c r="S143"/>
  <c r="Q143"/>
  <c r="O143"/>
  <c r="M143"/>
  <c r="Y115"/>
  <c r="W115"/>
  <c r="U115"/>
  <c r="S115"/>
  <c r="Q115"/>
  <c r="O115"/>
  <c r="M115"/>
  <c r="U93"/>
  <c r="S93"/>
  <c r="Q93"/>
  <c r="M93"/>
  <c r="Y93"/>
  <c r="W93"/>
  <c r="O90"/>
  <c r="Y41"/>
  <c r="W41"/>
  <c r="U41"/>
  <c r="S41"/>
  <c r="Q41"/>
  <c r="O41"/>
  <c r="M41"/>
  <c r="Y15"/>
  <c r="W15"/>
  <c r="U15"/>
  <c r="S15"/>
  <c r="Q15"/>
  <c r="O15"/>
  <c r="M15"/>
  <c r="V11"/>
  <c r="N11"/>
  <c r="V10"/>
  <c r="N10"/>
  <c r="Z8"/>
  <c r="V8"/>
  <c r="R8"/>
  <c r="N8"/>
  <c r="X7"/>
  <c r="V7"/>
  <c r="P7"/>
  <c r="N7"/>
  <c r="V6"/>
  <c r="R6"/>
  <c r="N6"/>
  <c r="Z6"/>
  <c r="X59"/>
  <c r="T10"/>
  <c r="P59"/>
  <c r="Y76" i="22"/>
  <c r="Z76" i="10"/>
  <c r="C46" i="22"/>
  <c r="C76" i="10"/>
  <c r="O93" i="20"/>
  <c r="E71" i="23"/>
  <c r="E46"/>
  <c r="E22"/>
  <c r="U128" i="20"/>
  <c r="Q128"/>
  <c r="P6"/>
  <c r="X6"/>
  <c r="R7"/>
  <c r="Z7"/>
  <c r="T8"/>
  <c r="R10"/>
  <c r="Z10"/>
  <c r="T11"/>
  <c r="M12"/>
  <c r="M17"/>
  <c r="N17"/>
  <c r="U12"/>
  <c r="U17"/>
  <c r="V17"/>
  <c r="N59"/>
  <c r="V59"/>
  <c r="P10"/>
  <c r="X10"/>
  <c r="R11"/>
  <c r="Z11"/>
  <c r="S12"/>
  <c r="S17"/>
  <c r="T17"/>
  <c r="T59"/>
  <c r="T6"/>
  <c r="P8"/>
  <c r="X8"/>
  <c r="P11"/>
  <c r="X11"/>
  <c r="Q12"/>
  <c r="Q17"/>
  <c r="R17"/>
  <c r="Y12"/>
  <c r="Y17"/>
  <c r="Z17"/>
  <c r="R59"/>
  <c r="Z59"/>
  <c r="T7"/>
  <c r="O12"/>
  <c r="O17"/>
  <c r="P17"/>
  <c r="W12"/>
  <c r="W17"/>
  <c r="X17"/>
  <c r="C76" i="22"/>
  <c r="D76" i="10"/>
  <c r="R115" i="20"/>
  <c r="R105"/>
  <c r="Z97"/>
  <c r="X93"/>
  <c r="X104"/>
  <c r="X143"/>
  <c r="X115"/>
  <c r="V105"/>
  <c r="R103"/>
  <c r="R101"/>
  <c r="R97"/>
  <c r="R125"/>
  <c r="Y128"/>
  <c r="Z125"/>
  <c r="Z143"/>
  <c r="Z140"/>
  <c r="Z136"/>
  <c r="Z127"/>
  <c r="Z124"/>
  <c r="Z118"/>
  <c r="Z100"/>
  <c r="Z86"/>
  <c r="Z82"/>
  <c r="Z78"/>
  <c r="Z68"/>
  <c r="Z64"/>
  <c r="Z60"/>
  <c r="Z56"/>
  <c r="Z52"/>
  <c r="Z48"/>
  <c r="Z44"/>
  <c r="Z41"/>
  <c r="Z38"/>
  <c r="Z33"/>
  <c r="Z29"/>
  <c r="Z26"/>
  <c r="Z22"/>
  <c r="Z149"/>
  <c r="Z139"/>
  <c r="Z135"/>
  <c r="Z126"/>
  <c r="Z121"/>
  <c r="Z117"/>
  <c r="Z104"/>
  <c r="Z102"/>
  <c r="Z99"/>
  <c r="Z96"/>
  <c r="Z92"/>
  <c r="Z89"/>
  <c r="Z85"/>
  <c r="Z81"/>
  <c r="Z77"/>
  <c r="Z67"/>
  <c r="Z63"/>
  <c r="Z55"/>
  <c r="Z51"/>
  <c r="Z47"/>
  <c r="Z43"/>
  <c r="Z32"/>
  <c r="Z28"/>
  <c r="Z25"/>
  <c r="Y16"/>
  <c r="Z142"/>
  <c r="Z138"/>
  <c r="Z120"/>
  <c r="Z116"/>
  <c r="Z98"/>
  <c r="Z95"/>
  <c r="Z94"/>
  <c r="Z91"/>
  <c r="Z88"/>
  <c r="Z84"/>
  <c r="Z80"/>
  <c r="Z66"/>
  <c r="Z62"/>
  <c r="Z58"/>
  <c r="Z54"/>
  <c r="Z50"/>
  <c r="Z40"/>
  <c r="Z31"/>
  <c r="Z24"/>
  <c r="Z147"/>
  <c r="Z141"/>
  <c r="Z137"/>
  <c r="Z119"/>
  <c r="Z103"/>
  <c r="Z87"/>
  <c r="Z83"/>
  <c r="Z79"/>
  <c r="Z65"/>
  <c r="Z61"/>
  <c r="Z57"/>
  <c r="Z53"/>
  <c r="Z49"/>
  <c r="Z45"/>
  <c r="Z39"/>
  <c r="Z34"/>
  <c r="Z30"/>
  <c r="Z23"/>
  <c r="Z19"/>
  <c r="T147"/>
  <c r="T141"/>
  <c r="T137"/>
  <c r="T119"/>
  <c r="T101"/>
  <c r="T87"/>
  <c r="T83"/>
  <c r="T79"/>
  <c r="T65"/>
  <c r="T61"/>
  <c r="T57"/>
  <c r="T53"/>
  <c r="T49"/>
  <c r="T45"/>
  <c r="T39"/>
  <c r="T34"/>
  <c r="T30"/>
  <c r="T23"/>
  <c r="T19"/>
  <c r="T140"/>
  <c r="T136"/>
  <c r="T127"/>
  <c r="T124"/>
  <c r="T118"/>
  <c r="T105"/>
  <c r="T100"/>
  <c r="T97"/>
  <c r="T93"/>
  <c r="T86"/>
  <c r="T82"/>
  <c r="T78"/>
  <c r="T68"/>
  <c r="T64"/>
  <c r="T60"/>
  <c r="T56"/>
  <c r="T52"/>
  <c r="T48"/>
  <c r="T44"/>
  <c r="T38"/>
  <c r="T33"/>
  <c r="T29"/>
  <c r="T26"/>
  <c r="T22"/>
  <c r="T139"/>
  <c r="T135"/>
  <c r="T126"/>
  <c r="T121"/>
  <c r="T117"/>
  <c r="T102"/>
  <c r="T99"/>
  <c r="T96"/>
  <c r="T92"/>
  <c r="T90"/>
  <c r="T89"/>
  <c r="T85"/>
  <c r="T81"/>
  <c r="T77"/>
  <c r="T67"/>
  <c r="T63"/>
  <c r="T55"/>
  <c r="T51"/>
  <c r="T47"/>
  <c r="T43"/>
  <c r="T41"/>
  <c r="T32"/>
  <c r="T28"/>
  <c r="T25"/>
  <c r="T142"/>
  <c r="T138"/>
  <c r="T120"/>
  <c r="T116"/>
  <c r="T103"/>
  <c r="T98"/>
  <c r="T95"/>
  <c r="T94"/>
  <c r="T91"/>
  <c r="T88"/>
  <c r="T84"/>
  <c r="T80"/>
  <c r="T66"/>
  <c r="T62"/>
  <c r="T58"/>
  <c r="T54"/>
  <c r="T50"/>
  <c r="T40"/>
  <c r="T31"/>
  <c r="T24"/>
  <c r="S16"/>
  <c r="N149"/>
  <c r="N143"/>
  <c r="N142"/>
  <c r="N138"/>
  <c r="N120"/>
  <c r="N116"/>
  <c r="N98"/>
  <c r="N95"/>
  <c r="N94"/>
  <c r="N91"/>
  <c r="N88"/>
  <c r="N84"/>
  <c r="N80"/>
  <c r="N66"/>
  <c r="N62"/>
  <c r="N58"/>
  <c r="N54"/>
  <c r="N50"/>
  <c r="N41"/>
  <c r="N40"/>
  <c r="N31"/>
  <c r="N24"/>
  <c r="N147"/>
  <c r="N141"/>
  <c r="N137"/>
  <c r="N119"/>
  <c r="N104"/>
  <c r="N87"/>
  <c r="N83"/>
  <c r="N79"/>
  <c r="N65"/>
  <c r="N61"/>
  <c r="N57"/>
  <c r="N53"/>
  <c r="N49"/>
  <c r="N45"/>
  <c r="N39"/>
  <c r="N34"/>
  <c r="N30"/>
  <c r="N23"/>
  <c r="N19"/>
  <c r="M16"/>
  <c r="N140"/>
  <c r="N136"/>
  <c r="N127"/>
  <c r="N124"/>
  <c r="N118"/>
  <c r="N100"/>
  <c r="N90"/>
  <c r="N86"/>
  <c r="N82"/>
  <c r="N78"/>
  <c r="N68"/>
  <c r="N64"/>
  <c r="N60"/>
  <c r="N56"/>
  <c r="N52"/>
  <c r="N48"/>
  <c r="N44"/>
  <c r="N38"/>
  <c r="N33"/>
  <c r="N29"/>
  <c r="N26"/>
  <c r="N22"/>
  <c r="N139"/>
  <c r="N135"/>
  <c r="N126"/>
  <c r="N121"/>
  <c r="N117"/>
  <c r="N102"/>
  <c r="N99"/>
  <c r="N96"/>
  <c r="N92"/>
  <c r="N89"/>
  <c r="N85"/>
  <c r="N81"/>
  <c r="N77"/>
  <c r="N67"/>
  <c r="N63"/>
  <c r="N55"/>
  <c r="N51"/>
  <c r="N47"/>
  <c r="N43"/>
  <c r="N32"/>
  <c r="N28"/>
  <c r="N25"/>
  <c r="P125"/>
  <c r="O128"/>
  <c r="V143"/>
  <c r="V142"/>
  <c r="V138"/>
  <c r="V120"/>
  <c r="V116"/>
  <c r="V98"/>
  <c r="V95"/>
  <c r="V94"/>
  <c r="V91"/>
  <c r="V88"/>
  <c r="V84"/>
  <c r="V80"/>
  <c r="V66"/>
  <c r="V62"/>
  <c r="V58"/>
  <c r="V54"/>
  <c r="V50"/>
  <c r="V41"/>
  <c r="V40"/>
  <c r="V31"/>
  <c r="V24"/>
  <c r="V147"/>
  <c r="V141"/>
  <c r="V137"/>
  <c r="V119"/>
  <c r="V104"/>
  <c r="V103"/>
  <c r="V87"/>
  <c r="V83"/>
  <c r="V79"/>
  <c r="V65"/>
  <c r="V61"/>
  <c r="V57"/>
  <c r="V53"/>
  <c r="V49"/>
  <c r="V45"/>
  <c r="V39"/>
  <c r="V34"/>
  <c r="V30"/>
  <c r="V23"/>
  <c r="V19"/>
  <c r="U16"/>
  <c r="V140"/>
  <c r="V136"/>
  <c r="V127"/>
  <c r="V124"/>
  <c r="V118"/>
  <c r="V100"/>
  <c r="V86"/>
  <c r="V82"/>
  <c r="V78"/>
  <c r="V68"/>
  <c r="V64"/>
  <c r="V60"/>
  <c r="V56"/>
  <c r="V52"/>
  <c r="V48"/>
  <c r="V44"/>
  <c r="V38"/>
  <c r="V33"/>
  <c r="V29"/>
  <c r="V26"/>
  <c r="V22"/>
  <c r="V149"/>
  <c r="V139"/>
  <c r="V135"/>
  <c r="V126"/>
  <c r="V121"/>
  <c r="V117"/>
  <c r="V102"/>
  <c r="V99"/>
  <c r="V96"/>
  <c r="V92"/>
  <c r="V90"/>
  <c r="V89"/>
  <c r="V85"/>
  <c r="V81"/>
  <c r="V77"/>
  <c r="V67"/>
  <c r="V63"/>
  <c r="V55"/>
  <c r="V51"/>
  <c r="V47"/>
  <c r="V43"/>
  <c r="V32"/>
  <c r="V28"/>
  <c r="V25"/>
  <c r="P139"/>
  <c r="P135"/>
  <c r="P126"/>
  <c r="P121"/>
  <c r="P117"/>
  <c r="P103"/>
  <c r="P102"/>
  <c r="P101"/>
  <c r="P99"/>
  <c r="P96"/>
  <c r="P92"/>
  <c r="P90"/>
  <c r="P89"/>
  <c r="P85"/>
  <c r="P81"/>
  <c r="P77"/>
  <c r="P67"/>
  <c r="P63"/>
  <c r="P55"/>
  <c r="P51"/>
  <c r="P47"/>
  <c r="P43"/>
  <c r="P32"/>
  <c r="P28"/>
  <c r="P25"/>
  <c r="P149"/>
  <c r="P142"/>
  <c r="P138"/>
  <c r="P120"/>
  <c r="P116"/>
  <c r="P105"/>
  <c r="P98"/>
  <c r="P97"/>
  <c r="P95"/>
  <c r="P94"/>
  <c r="P91"/>
  <c r="P88"/>
  <c r="P84"/>
  <c r="P80"/>
  <c r="P66"/>
  <c r="P62"/>
  <c r="P58"/>
  <c r="P54"/>
  <c r="P50"/>
  <c r="P40"/>
  <c r="P31"/>
  <c r="P24"/>
  <c r="P147"/>
  <c r="P141"/>
  <c r="P137"/>
  <c r="P119"/>
  <c r="P87"/>
  <c r="P83"/>
  <c r="P79"/>
  <c r="P65"/>
  <c r="P61"/>
  <c r="P57"/>
  <c r="P53"/>
  <c r="P49"/>
  <c r="P45"/>
  <c r="P41"/>
  <c r="P39"/>
  <c r="P34"/>
  <c r="P30"/>
  <c r="P23"/>
  <c r="P19"/>
  <c r="P140"/>
  <c r="P136"/>
  <c r="P127"/>
  <c r="P124"/>
  <c r="P118"/>
  <c r="P100"/>
  <c r="P86"/>
  <c r="P82"/>
  <c r="P78"/>
  <c r="P68"/>
  <c r="P64"/>
  <c r="P60"/>
  <c r="P56"/>
  <c r="P52"/>
  <c r="P48"/>
  <c r="P44"/>
  <c r="P38"/>
  <c r="P33"/>
  <c r="P29"/>
  <c r="P26"/>
  <c r="P22"/>
  <c r="O16"/>
  <c r="T125"/>
  <c r="S128"/>
  <c r="X149"/>
  <c r="X139"/>
  <c r="X135"/>
  <c r="X126"/>
  <c r="X121"/>
  <c r="X117"/>
  <c r="X102"/>
  <c r="X101"/>
  <c r="X99"/>
  <c r="X96"/>
  <c r="X92"/>
  <c r="X89"/>
  <c r="X85"/>
  <c r="X81"/>
  <c r="X77"/>
  <c r="X67"/>
  <c r="X63"/>
  <c r="X55"/>
  <c r="X51"/>
  <c r="X47"/>
  <c r="X43"/>
  <c r="X32"/>
  <c r="X28"/>
  <c r="X25"/>
  <c r="X142"/>
  <c r="X138"/>
  <c r="X120"/>
  <c r="X116"/>
  <c r="X105"/>
  <c r="X98"/>
  <c r="X97"/>
  <c r="X95"/>
  <c r="X94"/>
  <c r="X91"/>
  <c r="X88"/>
  <c r="X84"/>
  <c r="X80"/>
  <c r="X66"/>
  <c r="X62"/>
  <c r="X58"/>
  <c r="X54"/>
  <c r="X50"/>
  <c r="X40"/>
  <c r="X31"/>
  <c r="X24"/>
  <c r="X147"/>
  <c r="X141"/>
  <c r="X137"/>
  <c r="X119"/>
  <c r="X103"/>
  <c r="X87"/>
  <c r="X83"/>
  <c r="X79"/>
  <c r="X65"/>
  <c r="X61"/>
  <c r="X57"/>
  <c r="X53"/>
  <c r="X49"/>
  <c r="X45"/>
  <c r="X41"/>
  <c r="X39"/>
  <c r="X34"/>
  <c r="X30"/>
  <c r="X23"/>
  <c r="X19"/>
  <c r="X140"/>
  <c r="X136"/>
  <c r="X127"/>
  <c r="X124"/>
  <c r="X118"/>
  <c r="X100"/>
  <c r="X86"/>
  <c r="X82"/>
  <c r="X78"/>
  <c r="X68"/>
  <c r="X64"/>
  <c r="X60"/>
  <c r="X56"/>
  <c r="X52"/>
  <c r="X48"/>
  <c r="X44"/>
  <c r="X38"/>
  <c r="X33"/>
  <c r="X29"/>
  <c r="X26"/>
  <c r="X22"/>
  <c r="W16"/>
  <c r="R143"/>
  <c r="R140"/>
  <c r="R136"/>
  <c r="R127"/>
  <c r="R124"/>
  <c r="R118"/>
  <c r="R100"/>
  <c r="R86"/>
  <c r="R82"/>
  <c r="R78"/>
  <c r="R68"/>
  <c r="R64"/>
  <c r="R60"/>
  <c r="R56"/>
  <c r="R52"/>
  <c r="R48"/>
  <c r="R44"/>
  <c r="R41"/>
  <c r="R38"/>
  <c r="R33"/>
  <c r="R29"/>
  <c r="R26"/>
  <c r="R22"/>
  <c r="R139"/>
  <c r="R135"/>
  <c r="R126"/>
  <c r="R121"/>
  <c r="R117"/>
  <c r="R104"/>
  <c r="R102"/>
  <c r="R99"/>
  <c r="R96"/>
  <c r="R92"/>
  <c r="R90"/>
  <c r="R89"/>
  <c r="R85"/>
  <c r="R81"/>
  <c r="R77"/>
  <c r="R67"/>
  <c r="R63"/>
  <c r="R55"/>
  <c r="R51"/>
  <c r="R47"/>
  <c r="R43"/>
  <c r="R32"/>
  <c r="R28"/>
  <c r="R25"/>
  <c r="Q16"/>
  <c r="R149"/>
  <c r="R142"/>
  <c r="R138"/>
  <c r="R120"/>
  <c r="R116"/>
  <c r="R98"/>
  <c r="R95"/>
  <c r="R94"/>
  <c r="R91"/>
  <c r="R88"/>
  <c r="R84"/>
  <c r="R80"/>
  <c r="R66"/>
  <c r="R62"/>
  <c r="R58"/>
  <c r="R54"/>
  <c r="R50"/>
  <c r="R40"/>
  <c r="R31"/>
  <c r="R24"/>
  <c r="R147"/>
  <c r="R141"/>
  <c r="R137"/>
  <c r="R119"/>
  <c r="R87"/>
  <c r="R83"/>
  <c r="R79"/>
  <c r="R65"/>
  <c r="R61"/>
  <c r="R57"/>
  <c r="R53"/>
  <c r="R49"/>
  <c r="R45"/>
  <c r="R39"/>
  <c r="R34"/>
  <c r="R30"/>
  <c r="R23"/>
  <c r="R19"/>
  <c r="X125"/>
  <c r="W128"/>
  <c r="N101"/>
  <c r="N115"/>
  <c r="N125"/>
  <c r="N97"/>
  <c r="Z115"/>
  <c r="V101"/>
  <c r="V115"/>
  <c r="V128"/>
  <c r="Z105"/>
  <c r="N103"/>
  <c r="P93"/>
  <c r="T104"/>
  <c r="Z101"/>
  <c r="Z93"/>
  <c r="V125"/>
  <c r="X90"/>
  <c r="V97"/>
  <c r="P104"/>
  <c r="N93"/>
  <c r="P143"/>
  <c r="T115"/>
  <c r="R128"/>
  <c r="N105"/>
  <c r="R93"/>
  <c r="T143"/>
  <c r="P115"/>
  <c r="V93"/>
  <c r="N128"/>
  <c r="Z90"/>
  <c r="T128"/>
  <c r="Z128"/>
  <c r="X128"/>
  <c r="P128"/>
  <c r="Q42"/>
  <c r="Q27"/>
  <c r="R16"/>
  <c r="P16"/>
  <c r="O42"/>
  <c r="O27"/>
  <c r="W21"/>
  <c r="M42"/>
  <c r="M27"/>
  <c r="N16"/>
  <c r="T16"/>
  <c r="S42"/>
  <c r="S27"/>
  <c r="U21"/>
  <c r="M21"/>
  <c r="X16"/>
  <c r="W42"/>
  <c r="W27"/>
  <c r="O21"/>
  <c r="S21"/>
  <c r="Y21"/>
  <c r="Y42"/>
  <c r="Y27"/>
  <c r="Z16"/>
  <c r="Q21"/>
  <c r="U42"/>
  <c r="U27"/>
  <c r="V16"/>
  <c r="Y76"/>
  <c r="Z42"/>
  <c r="X27"/>
  <c r="W35"/>
  <c r="X35"/>
  <c r="T27"/>
  <c r="S35"/>
  <c r="T35"/>
  <c r="Q76"/>
  <c r="R42"/>
  <c r="Y35"/>
  <c r="Z35"/>
  <c r="Z27"/>
  <c r="Z21"/>
  <c r="P21"/>
  <c r="V21"/>
  <c r="P42"/>
  <c r="O76"/>
  <c r="Q35"/>
  <c r="R35"/>
  <c r="R27"/>
  <c r="U76"/>
  <c r="V42"/>
  <c r="M76"/>
  <c r="N42"/>
  <c r="P27"/>
  <c r="O35"/>
  <c r="P35"/>
  <c r="U35"/>
  <c r="V35"/>
  <c r="V27"/>
  <c r="R21"/>
  <c r="S36"/>
  <c r="T21"/>
  <c r="X42"/>
  <c r="W76"/>
  <c r="N21"/>
  <c r="T42"/>
  <c r="S76"/>
  <c r="M35"/>
  <c r="N35"/>
  <c r="N27"/>
  <c r="X21"/>
  <c r="Y36"/>
  <c r="Y37"/>
  <c r="O36"/>
  <c r="P36"/>
  <c r="T36"/>
  <c r="S37"/>
  <c r="N76"/>
  <c r="M144"/>
  <c r="R76"/>
  <c r="Q144"/>
  <c r="Z36"/>
  <c r="V76"/>
  <c r="U144"/>
  <c r="Z76"/>
  <c r="Y144"/>
  <c r="T76"/>
  <c r="S144"/>
  <c r="X76"/>
  <c r="W144"/>
  <c r="P76"/>
  <c r="O144"/>
  <c r="M36"/>
  <c r="U36"/>
  <c r="W36"/>
  <c r="Q36"/>
  <c r="Z144"/>
  <c r="N144"/>
  <c r="X144"/>
  <c r="V144"/>
  <c r="P144"/>
  <c r="T144"/>
  <c r="R144"/>
  <c r="O37"/>
  <c r="O130"/>
  <c r="X36"/>
  <c r="W37"/>
  <c r="R36"/>
  <c r="Q37"/>
  <c r="P37"/>
  <c r="Z37"/>
  <c r="Y130"/>
  <c r="N36"/>
  <c r="M37"/>
  <c r="V36"/>
  <c r="U37"/>
  <c r="S130"/>
  <c r="T37"/>
  <c r="V37"/>
  <c r="U130"/>
  <c r="Z130"/>
  <c r="Y134"/>
  <c r="R37"/>
  <c r="Q130"/>
  <c r="T130"/>
  <c r="S134"/>
  <c r="P130"/>
  <c r="O134"/>
  <c r="N37"/>
  <c r="M130"/>
  <c r="W130"/>
  <c r="X37"/>
  <c r="N130"/>
  <c r="M134"/>
  <c r="T134"/>
  <c r="S145"/>
  <c r="Z134"/>
  <c r="Y145"/>
  <c r="X130"/>
  <c r="W134"/>
  <c r="P134"/>
  <c r="O145"/>
  <c r="R130"/>
  <c r="Q134"/>
  <c r="V130"/>
  <c r="U134"/>
  <c r="R134"/>
  <c r="Q145"/>
  <c r="X134"/>
  <c r="W145"/>
  <c r="S151"/>
  <c r="T145"/>
  <c r="V134"/>
  <c r="U145"/>
  <c r="O151"/>
  <c r="P145"/>
  <c r="Z145"/>
  <c r="Y151"/>
  <c r="N134"/>
  <c r="M145"/>
  <c r="P151"/>
  <c r="T151"/>
  <c r="Z151"/>
  <c r="R145"/>
  <c r="Q151"/>
  <c r="N145"/>
  <c r="M151"/>
  <c r="V145"/>
  <c r="U151"/>
  <c r="W151"/>
  <c r="X145"/>
  <c r="X151"/>
  <c r="N151"/>
  <c r="V151"/>
  <c r="R151"/>
  <c r="AM140"/>
  <c r="I76"/>
  <c r="G76"/>
  <c r="E76"/>
  <c r="C76"/>
  <c r="I42" i="22"/>
  <c r="G42"/>
  <c r="E42"/>
  <c r="C42"/>
  <c r="Y40"/>
  <c r="W40"/>
  <c r="U40"/>
  <c r="S40"/>
  <c r="Q40"/>
  <c r="O40"/>
  <c r="M40"/>
  <c r="K40"/>
  <c r="I40"/>
  <c r="G40"/>
  <c r="E40"/>
  <c r="C40"/>
  <c r="Y39"/>
  <c r="W39"/>
  <c r="U39"/>
  <c r="S39"/>
  <c r="Q39"/>
  <c r="O39"/>
  <c r="M39"/>
  <c r="K39"/>
  <c r="I39"/>
  <c r="G39"/>
  <c r="E39"/>
  <c r="C39"/>
  <c r="Y38"/>
  <c r="W38"/>
  <c r="U38"/>
  <c r="S38"/>
  <c r="Q38"/>
  <c r="O38"/>
  <c r="M38"/>
  <c r="K38"/>
  <c r="I38"/>
  <c r="G38"/>
  <c r="E38"/>
  <c r="C38"/>
  <c r="Y34"/>
  <c r="W34"/>
  <c r="U34"/>
  <c r="S34"/>
  <c r="Q34"/>
  <c r="O34"/>
  <c r="M34"/>
  <c r="K34"/>
  <c r="I34"/>
  <c r="G34"/>
  <c r="E34"/>
  <c r="C34"/>
  <c r="Y33"/>
  <c r="W33"/>
  <c r="U33"/>
  <c r="S33"/>
  <c r="Q33"/>
  <c r="O33"/>
  <c r="M33"/>
  <c r="K33"/>
  <c r="I33"/>
  <c r="G33"/>
  <c r="E33"/>
  <c r="C33"/>
  <c r="Y32"/>
  <c r="W32"/>
  <c r="U32"/>
  <c r="S32"/>
  <c r="Q32"/>
  <c r="O32"/>
  <c r="M32"/>
  <c r="K32"/>
  <c r="I32"/>
  <c r="G32"/>
  <c r="E32"/>
  <c r="C32"/>
  <c r="Y31"/>
  <c r="W31"/>
  <c r="U31"/>
  <c r="S31"/>
  <c r="Q31"/>
  <c r="O31"/>
  <c r="M31"/>
  <c r="K31"/>
  <c r="I31"/>
  <c r="G31"/>
  <c r="E31"/>
  <c r="C31"/>
  <c r="Y30"/>
  <c r="W30"/>
  <c r="U30"/>
  <c r="S30"/>
  <c r="Q30"/>
  <c r="O30"/>
  <c r="M30"/>
  <c r="K30"/>
  <c r="I30"/>
  <c r="G30"/>
  <c r="E30"/>
  <c r="C30"/>
  <c r="Y29"/>
  <c r="W29"/>
  <c r="U29"/>
  <c r="S29"/>
  <c r="Q29"/>
  <c r="O29"/>
  <c r="M29"/>
  <c r="K29"/>
  <c r="I29"/>
  <c r="G29"/>
  <c r="E29"/>
  <c r="C29"/>
  <c r="Y28"/>
  <c r="W28"/>
  <c r="U28"/>
  <c r="S28"/>
  <c r="Q28"/>
  <c r="O28"/>
  <c r="M28"/>
  <c r="K28"/>
  <c r="I28"/>
  <c r="G28"/>
  <c r="E28"/>
  <c r="C28"/>
  <c r="Y26"/>
  <c r="W26"/>
  <c r="U26"/>
  <c r="S26"/>
  <c r="Q26"/>
  <c r="O26"/>
  <c r="M26"/>
  <c r="K26"/>
  <c r="I26"/>
  <c r="G26"/>
  <c r="E26"/>
  <c r="C26"/>
  <c r="Y25"/>
  <c r="W25"/>
  <c r="U25"/>
  <c r="S25"/>
  <c r="Q25"/>
  <c r="O25"/>
  <c r="M25"/>
  <c r="K25"/>
  <c r="I25"/>
  <c r="G25"/>
  <c r="E25"/>
  <c r="C25"/>
  <c r="Y24"/>
  <c r="W24"/>
  <c r="U24"/>
  <c r="S24"/>
  <c r="Q24"/>
  <c r="O24"/>
  <c r="M24"/>
  <c r="K24"/>
  <c r="I24"/>
  <c r="G24"/>
  <c r="E24"/>
  <c r="C24"/>
  <c r="Y23"/>
  <c r="W23"/>
  <c r="U23"/>
  <c r="S23"/>
  <c r="Q23"/>
  <c r="O23"/>
  <c r="M23"/>
  <c r="K23"/>
  <c r="I23"/>
  <c r="G23"/>
  <c r="E23"/>
  <c r="C23"/>
  <c r="Y22"/>
  <c r="W22"/>
  <c r="U22"/>
  <c r="S22"/>
  <c r="Q22"/>
  <c r="O22"/>
  <c r="M22"/>
  <c r="K22"/>
  <c r="I22"/>
  <c r="G22"/>
  <c r="E22"/>
  <c r="C22"/>
  <c r="Y20"/>
  <c r="W20"/>
  <c r="U20"/>
  <c r="S20"/>
  <c r="Q20"/>
  <c r="O20"/>
  <c r="M20"/>
  <c r="K20"/>
  <c r="I20"/>
  <c r="G20"/>
  <c r="E20"/>
  <c r="C20"/>
  <c r="Y19"/>
  <c r="W19"/>
  <c r="U19"/>
  <c r="S19"/>
  <c r="Q19"/>
  <c r="Y18"/>
  <c r="W18"/>
  <c r="U18"/>
  <c r="S18"/>
  <c r="Q18"/>
  <c r="O18"/>
  <c r="M18"/>
  <c r="K18"/>
  <c r="I18"/>
  <c r="G18"/>
  <c r="E18"/>
  <c r="C18"/>
  <c r="Y14"/>
  <c r="W14"/>
  <c r="U14"/>
  <c r="S14"/>
  <c r="Q14"/>
  <c r="O14"/>
  <c r="M14"/>
  <c r="K14"/>
  <c r="I14"/>
  <c r="G14"/>
  <c r="E14"/>
  <c r="C14"/>
  <c r="Y13"/>
  <c r="W13"/>
  <c r="U13"/>
  <c r="S13"/>
  <c r="Q13"/>
  <c r="O13"/>
  <c r="M13"/>
  <c r="K13"/>
  <c r="I13"/>
  <c r="G13"/>
  <c r="E13"/>
  <c r="C13"/>
  <c r="Y11"/>
  <c r="W11"/>
  <c r="U11"/>
  <c r="S11"/>
  <c r="Q11"/>
  <c r="O11"/>
  <c r="M11"/>
  <c r="K11"/>
  <c r="I11"/>
  <c r="G11"/>
  <c r="E11"/>
  <c r="C11"/>
  <c r="Y10"/>
  <c r="W10"/>
  <c r="U10"/>
  <c r="S10"/>
  <c r="Q10"/>
  <c r="O10"/>
  <c r="M10"/>
  <c r="K10"/>
  <c r="I10"/>
  <c r="G10"/>
  <c r="E10"/>
  <c r="C10"/>
  <c r="U9"/>
  <c r="E9"/>
  <c r="C9"/>
  <c r="Y8"/>
  <c r="W8"/>
  <c r="U8"/>
  <c r="S8"/>
  <c r="Q8"/>
  <c r="O8"/>
  <c r="M8"/>
  <c r="K8"/>
  <c r="I8"/>
  <c r="G8"/>
  <c r="E8"/>
  <c r="C8"/>
  <c r="Y7"/>
  <c r="W7"/>
  <c r="U7"/>
  <c r="S7"/>
  <c r="Q7"/>
  <c r="O7"/>
  <c r="M7"/>
  <c r="K7"/>
  <c r="I7"/>
  <c r="G7"/>
  <c r="E7"/>
  <c r="C7"/>
  <c r="Y6"/>
  <c r="W6"/>
  <c r="U6"/>
  <c r="S6"/>
  <c r="Q6"/>
  <c r="O6"/>
  <c r="M6"/>
  <c r="K6"/>
  <c r="I6"/>
  <c r="G6"/>
  <c r="E6"/>
  <c r="C6"/>
  <c r="AA96" i="20"/>
  <c r="AA98"/>
  <c r="AA99"/>
  <c r="AA100"/>
  <c r="AA102"/>
  <c r="AA104"/>
  <c r="AC150"/>
  <c r="AC148"/>
  <c r="AC146"/>
  <c r="AC133"/>
  <c r="AC131"/>
  <c r="AC129"/>
  <c r="F76"/>
  <c r="AA6" i="22"/>
  <c r="AC6"/>
  <c r="AA7"/>
  <c r="AC7"/>
  <c r="AA8"/>
  <c r="AC8"/>
  <c r="AA10"/>
  <c r="AC10"/>
  <c r="AA11"/>
  <c r="AC11"/>
  <c r="AA13"/>
  <c r="AC13"/>
  <c r="AA14"/>
  <c r="AC14"/>
  <c r="AA18"/>
  <c r="AC18"/>
  <c r="AA19"/>
  <c r="AC19"/>
  <c r="AA20"/>
  <c r="AC20"/>
  <c r="AA22"/>
  <c r="AC22"/>
  <c r="AA23"/>
  <c r="AC23"/>
  <c r="AA24"/>
  <c r="AC24"/>
  <c r="AA26"/>
  <c r="AC26"/>
  <c r="AA28"/>
  <c r="AC28"/>
  <c r="AA29"/>
  <c r="AC29"/>
  <c r="AA30"/>
  <c r="AC30"/>
  <c r="AA31"/>
  <c r="AC31"/>
  <c r="AA32"/>
  <c r="AC32"/>
  <c r="AA33"/>
  <c r="AC33"/>
  <c r="AA34"/>
  <c r="AC34"/>
  <c r="AA38"/>
  <c r="AC38"/>
  <c r="AA39"/>
  <c r="AC39"/>
  <c r="AA40"/>
  <c r="AC40"/>
  <c r="AA25"/>
  <c r="AC25"/>
  <c r="AA105" i="20"/>
  <c r="AK105"/>
  <c r="AA103"/>
  <c r="AC103"/>
  <c r="AA101"/>
  <c r="AA97"/>
  <c r="AA95"/>
  <c r="F103"/>
  <c r="F104"/>
  <c r="AC104"/>
  <c r="F105"/>
  <c r="AC105"/>
  <c r="AM59" i="10"/>
  <c r="AA57" i="20"/>
  <c r="AC57"/>
  <c r="AA57" i="10"/>
  <c r="F53" i="20"/>
  <c r="AA54" i="10"/>
  <c r="AA83" i="20"/>
  <c r="AC83"/>
  <c r="E90"/>
  <c r="C90"/>
  <c r="F90"/>
  <c r="Y9" i="22"/>
  <c r="W9"/>
  <c r="S9"/>
  <c r="Q9"/>
  <c r="O9"/>
  <c r="M9"/>
  <c r="K9"/>
  <c r="I9"/>
  <c r="G9"/>
  <c r="AA9"/>
  <c r="AC9"/>
  <c r="AP68" i="20"/>
  <c r="AQ68"/>
  <c r="AM68"/>
  <c r="AN68"/>
  <c r="AL68"/>
  <c r="AA68"/>
  <c r="AC68"/>
  <c r="AM68" i="10"/>
  <c r="AK68" i="20"/>
  <c r="AJ68"/>
  <c r="AN80" i="10"/>
  <c r="W164" i="22"/>
  <c r="U164"/>
  <c r="S164"/>
  <c r="Q164"/>
  <c r="O164"/>
  <c r="M164"/>
  <c r="K164"/>
  <c r="I164"/>
  <c r="AM137"/>
  <c r="AN137"/>
  <c r="AM117"/>
  <c r="AN117"/>
  <c r="AM50"/>
  <c r="AN50"/>
  <c r="AM19"/>
  <c r="AN19"/>
  <c r="AM11"/>
  <c r="AN11"/>
  <c r="AM7"/>
  <c r="AN7"/>
  <c r="Y164"/>
  <c r="AM143"/>
  <c r="AN143"/>
  <c r="AL143"/>
  <c r="AH143"/>
  <c r="AH144"/>
  <c r="AM134"/>
  <c r="AN134"/>
  <c r="AL134"/>
  <c r="AK134"/>
  <c r="AJ134"/>
  <c r="AM132"/>
  <c r="AN132"/>
  <c r="AL132"/>
  <c r="AK132"/>
  <c r="AJ132"/>
  <c r="AM130"/>
  <c r="AN130"/>
  <c r="AL130"/>
  <c r="AK130"/>
  <c r="AJ130"/>
  <c r="AH129"/>
  <c r="AH115"/>
  <c r="AH93"/>
  <c r="AH76"/>
  <c r="AM40"/>
  <c r="AN40"/>
  <c r="AL40"/>
  <c r="AM39"/>
  <c r="AN39"/>
  <c r="AL39"/>
  <c r="AM38"/>
  <c r="AN38"/>
  <c r="AL38"/>
  <c r="AH5"/>
  <c r="AI59"/>
  <c r="Y163" i="20"/>
  <c r="Y162" i="22"/>
  <c r="W163" i="20"/>
  <c r="W162" i="22"/>
  <c r="U163" i="20"/>
  <c r="U162" i="22"/>
  <c r="S163" i="20"/>
  <c r="S162" i="22"/>
  <c r="Q163" i="20"/>
  <c r="Q162" i="22"/>
  <c r="O163" i="20"/>
  <c r="O162" i="22"/>
  <c r="M163" i="20"/>
  <c r="M162" i="22"/>
  <c r="K163" i="20"/>
  <c r="K162" i="22"/>
  <c r="I163" i="20"/>
  <c r="Y161"/>
  <c r="W161"/>
  <c r="U161"/>
  <c r="S161"/>
  <c r="Q161"/>
  <c r="O161"/>
  <c r="M161"/>
  <c r="K161"/>
  <c r="I161"/>
  <c r="AL150"/>
  <c r="AK150"/>
  <c r="AJ150"/>
  <c r="AL149"/>
  <c r="AA149"/>
  <c r="AC149"/>
  <c r="AL148"/>
  <c r="AK148"/>
  <c r="AJ148"/>
  <c r="AL147"/>
  <c r="AA147"/>
  <c r="AC147"/>
  <c r="AM146"/>
  <c r="AN146"/>
  <c r="AL146"/>
  <c r="AK146"/>
  <c r="AJ146"/>
  <c r="Y165"/>
  <c r="U165"/>
  <c r="Q165"/>
  <c r="O165"/>
  <c r="M165"/>
  <c r="K143"/>
  <c r="I143"/>
  <c r="I165"/>
  <c r="G143"/>
  <c r="AM142"/>
  <c r="AN142"/>
  <c r="AL142"/>
  <c r="AH142"/>
  <c r="AH143"/>
  <c r="AA142"/>
  <c r="AC142"/>
  <c r="AM141"/>
  <c r="AN141"/>
  <c r="AL141"/>
  <c r="AL140"/>
  <c r="AA140"/>
  <c r="AC140"/>
  <c r="AM139"/>
  <c r="AN139"/>
  <c r="AL139"/>
  <c r="AA139"/>
  <c r="AC139"/>
  <c r="AM138"/>
  <c r="AN138"/>
  <c r="AL138"/>
  <c r="AA138"/>
  <c r="AC138"/>
  <c r="AM137"/>
  <c r="AN137"/>
  <c r="AL137"/>
  <c r="AA137"/>
  <c r="AC137"/>
  <c r="AM136"/>
  <c r="AN136"/>
  <c r="AL136"/>
  <c r="AA136"/>
  <c r="AC136"/>
  <c r="AM135"/>
  <c r="AN135"/>
  <c r="AL135"/>
  <c r="AA135"/>
  <c r="AC135"/>
  <c r="AM133"/>
  <c r="AN133"/>
  <c r="AL133"/>
  <c r="AK133"/>
  <c r="AJ133"/>
  <c r="AM132"/>
  <c r="AN132"/>
  <c r="AL132"/>
  <c r="AA132"/>
  <c r="AC132"/>
  <c r="AM131"/>
  <c r="AN131"/>
  <c r="AL131"/>
  <c r="AK131"/>
  <c r="AJ131"/>
  <c r="AM129"/>
  <c r="AN129"/>
  <c r="AL129"/>
  <c r="AK129"/>
  <c r="AJ129"/>
  <c r="AH128"/>
  <c r="AM127"/>
  <c r="AN127"/>
  <c r="AL127"/>
  <c r="AA127"/>
  <c r="AC127"/>
  <c r="AM126"/>
  <c r="AN126"/>
  <c r="AL126"/>
  <c r="AA126"/>
  <c r="AC126"/>
  <c r="AM124"/>
  <c r="AN124"/>
  <c r="AL124"/>
  <c r="AA124"/>
  <c r="AC124"/>
  <c r="AM123"/>
  <c r="AN123"/>
  <c r="AL123"/>
  <c r="AA123"/>
  <c r="AC123"/>
  <c r="AM122"/>
  <c r="AN122"/>
  <c r="AL122"/>
  <c r="AA122"/>
  <c r="AC122"/>
  <c r="AM121"/>
  <c r="AN121"/>
  <c r="AL121"/>
  <c r="AA121"/>
  <c r="AC121"/>
  <c r="AM120"/>
  <c r="AN120"/>
  <c r="AL120"/>
  <c r="AA120"/>
  <c r="AC120"/>
  <c r="AM119"/>
  <c r="AN119"/>
  <c r="AL119"/>
  <c r="AA119"/>
  <c r="AC119"/>
  <c r="AM118"/>
  <c r="AN118"/>
  <c r="AL118"/>
  <c r="AA118"/>
  <c r="AC118"/>
  <c r="AM117"/>
  <c r="AN117"/>
  <c r="AL117"/>
  <c r="AA117"/>
  <c r="AC117"/>
  <c r="AM116"/>
  <c r="AN116"/>
  <c r="AL116"/>
  <c r="AA116"/>
  <c r="AC116"/>
  <c r="AH115"/>
  <c r="K115"/>
  <c r="I115"/>
  <c r="G115"/>
  <c r="AM104"/>
  <c r="AN104"/>
  <c r="AL104"/>
  <c r="AM103"/>
  <c r="AN103"/>
  <c r="AL103"/>
  <c r="AM102"/>
  <c r="AN102"/>
  <c r="AL102"/>
  <c r="AM101"/>
  <c r="AN101"/>
  <c r="AL101"/>
  <c r="AC101"/>
  <c r="AM100"/>
  <c r="AN100"/>
  <c r="AL100"/>
  <c r="AC100"/>
  <c r="AM99"/>
  <c r="AN99"/>
  <c r="AL99"/>
  <c r="AC99"/>
  <c r="AM98"/>
  <c r="AN98"/>
  <c r="AL98"/>
  <c r="AC98"/>
  <c r="AM97"/>
  <c r="AN97"/>
  <c r="AL97"/>
  <c r="AC97"/>
  <c r="AM96"/>
  <c r="AN96"/>
  <c r="AL96"/>
  <c r="AC96"/>
  <c r="AM95"/>
  <c r="AN95"/>
  <c r="AL95"/>
  <c r="AC95"/>
  <c r="AM94"/>
  <c r="AN94"/>
  <c r="AL94"/>
  <c r="AA94"/>
  <c r="AC94"/>
  <c r="AH93"/>
  <c r="K93"/>
  <c r="I93"/>
  <c r="G93"/>
  <c r="AM92"/>
  <c r="AN92"/>
  <c r="AL92"/>
  <c r="AA92"/>
  <c r="AC92"/>
  <c r="AM91"/>
  <c r="AN91"/>
  <c r="AL91"/>
  <c r="AA91"/>
  <c r="AC91"/>
  <c r="AM90"/>
  <c r="AN90"/>
  <c r="AL90"/>
  <c r="AA90"/>
  <c r="AC90"/>
  <c r="AM89"/>
  <c r="AN89"/>
  <c r="AL89"/>
  <c r="AA89"/>
  <c r="AC89"/>
  <c r="AM88"/>
  <c r="AN88"/>
  <c r="AL88"/>
  <c r="AA88"/>
  <c r="AC88"/>
  <c r="AM87"/>
  <c r="AN87"/>
  <c r="AL87"/>
  <c r="AA87"/>
  <c r="AC87"/>
  <c r="AM86"/>
  <c r="AN86"/>
  <c r="AL86"/>
  <c r="AA86"/>
  <c r="AC86"/>
  <c r="AM85"/>
  <c r="AN85"/>
  <c r="AL85"/>
  <c r="AA85"/>
  <c r="AC85"/>
  <c r="AM84"/>
  <c r="AN84"/>
  <c r="AL84"/>
  <c r="AA84"/>
  <c r="AC84"/>
  <c r="AM83"/>
  <c r="AN83"/>
  <c r="AL83"/>
  <c r="AM82"/>
  <c r="AN82"/>
  <c r="AL82"/>
  <c r="AA82"/>
  <c r="AC82"/>
  <c r="AM81"/>
  <c r="AN81"/>
  <c r="AL81"/>
  <c r="AA81"/>
  <c r="AC81"/>
  <c r="AM80"/>
  <c r="AN80"/>
  <c r="AL80"/>
  <c r="AA80"/>
  <c r="AC80"/>
  <c r="AM79"/>
  <c r="AN79"/>
  <c r="AL79"/>
  <c r="AA79"/>
  <c r="AC79"/>
  <c r="AM78"/>
  <c r="AN78"/>
  <c r="AL78"/>
  <c r="AA78"/>
  <c r="AC78"/>
  <c r="AM77"/>
  <c r="AN77"/>
  <c r="AL77"/>
  <c r="AA77"/>
  <c r="AC77"/>
  <c r="AH76"/>
  <c r="AM75"/>
  <c r="AN75"/>
  <c r="AL75"/>
  <c r="AA75"/>
  <c r="AC75"/>
  <c r="AM67"/>
  <c r="AN67"/>
  <c r="AL67"/>
  <c r="AA67"/>
  <c r="AC67"/>
  <c r="AM66"/>
  <c r="AN66"/>
  <c r="AL66"/>
  <c r="AA66"/>
  <c r="AC66"/>
  <c r="AM65"/>
  <c r="AN65"/>
  <c r="AL65"/>
  <c r="AA65"/>
  <c r="AC65"/>
  <c r="AM64"/>
  <c r="AN64"/>
  <c r="AL64"/>
  <c r="AA64"/>
  <c r="AC64"/>
  <c r="AM63"/>
  <c r="AN63"/>
  <c r="AL63"/>
  <c r="AA63"/>
  <c r="AC63"/>
  <c r="AM62"/>
  <c r="AN62"/>
  <c r="AL62"/>
  <c r="AA62"/>
  <c r="AC62"/>
  <c r="AM61"/>
  <c r="AN61"/>
  <c r="AL61"/>
  <c r="AA61"/>
  <c r="AC61"/>
  <c r="AM60"/>
  <c r="AN60"/>
  <c r="AL60"/>
  <c r="AA60"/>
  <c r="AC60"/>
  <c r="AM59"/>
  <c r="AN59"/>
  <c r="AL59"/>
  <c r="AA59"/>
  <c r="AC59"/>
  <c r="J59"/>
  <c r="AM58"/>
  <c r="AN58"/>
  <c r="AL58"/>
  <c r="AA58"/>
  <c r="AC58"/>
  <c r="AM57"/>
  <c r="AN57"/>
  <c r="AL57"/>
  <c r="AM56"/>
  <c r="AN56"/>
  <c r="AL56"/>
  <c r="AA56"/>
  <c r="AC56"/>
  <c r="AM55"/>
  <c r="AN55"/>
  <c r="AL55"/>
  <c r="AA55"/>
  <c r="AC55"/>
  <c r="AM54"/>
  <c r="AN54"/>
  <c r="AL54"/>
  <c r="AA54"/>
  <c r="AC54"/>
  <c r="AM53"/>
  <c r="AN53"/>
  <c r="AL53"/>
  <c r="AA53"/>
  <c r="AC53"/>
  <c r="AM52"/>
  <c r="AN52"/>
  <c r="AL52"/>
  <c r="AA52"/>
  <c r="AC52"/>
  <c r="AM51"/>
  <c r="AN51"/>
  <c r="AL51"/>
  <c r="AA51"/>
  <c r="AC51"/>
  <c r="AM50"/>
  <c r="AN50"/>
  <c r="AL50"/>
  <c r="AA50"/>
  <c r="AC50"/>
  <c r="AM49"/>
  <c r="AN49"/>
  <c r="AL49"/>
  <c r="AA49"/>
  <c r="AC49"/>
  <c r="AM48"/>
  <c r="AN48"/>
  <c r="AL48"/>
  <c r="AA48"/>
  <c r="AC48"/>
  <c r="AM47"/>
  <c r="AN47"/>
  <c r="AL47"/>
  <c r="AA47"/>
  <c r="AC47"/>
  <c r="AM46"/>
  <c r="AN46"/>
  <c r="AL46"/>
  <c r="AA46"/>
  <c r="AC46"/>
  <c r="AM45"/>
  <c r="AN45"/>
  <c r="AL45"/>
  <c r="AA45"/>
  <c r="AC45"/>
  <c r="AM44"/>
  <c r="AN44"/>
  <c r="AL44"/>
  <c r="AA44"/>
  <c r="AC44"/>
  <c r="AM43"/>
  <c r="AN43"/>
  <c r="AL43"/>
  <c r="AA43"/>
  <c r="AC43"/>
  <c r="K41"/>
  <c r="I41"/>
  <c r="G41"/>
  <c r="C41"/>
  <c r="AM40"/>
  <c r="AN40"/>
  <c r="AL40"/>
  <c r="AK40"/>
  <c r="AA40"/>
  <c r="AC40"/>
  <c r="AM39"/>
  <c r="AN39"/>
  <c r="AL39"/>
  <c r="AA39"/>
  <c r="AC39"/>
  <c r="AM38"/>
  <c r="AN38"/>
  <c r="AL38"/>
  <c r="AA38"/>
  <c r="AC38"/>
  <c r="AM34"/>
  <c r="AN34"/>
  <c r="AL34"/>
  <c r="AA34"/>
  <c r="AC34"/>
  <c r="AM33"/>
  <c r="AN33"/>
  <c r="AL33"/>
  <c r="AA33"/>
  <c r="AC33"/>
  <c r="AM32"/>
  <c r="AN32"/>
  <c r="AL32"/>
  <c r="AA32"/>
  <c r="AC32"/>
  <c r="AM31"/>
  <c r="AN31"/>
  <c r="AL31"/>
  <c r="AA31"/>
  <c r="AC31"/>
  <c r="AM30"/>
  <c r="AN30"/>
  <c r="AL30"/>
  <c r="AA30"/>
  <c r="AC30"/>
  <c r="AM29"/>
  <c r="AN29"/>
  <c r="AL29"/>
  <c r="AA29"/>
  <c r="AC29"/>
  <c r="AM28"/>
  <c r="AN28"/>
  <c r="AL28"/>
  <c r="AA28"/>
  <c r="AC28"/>
  <c r="AM26"/>
  <c r="AN26"/>
  <c r="AL26"/>
  <c r="AA26"/>
  <c r="AC26"/>
  <c r="AM25"/>
  <c r="AN25"/>
  <c r="AL25"/>
  <c r="AA25"/>
  <c r="AC25"/>
  <c r="AM24"/>
  <c r="AN24"/>
  <c r="AL24"/>
  <c r="AA24"/>
  <c r="AC24"/>
  <c r="AM23"/>
  <c r="AN23"/>
  <c r="AL23"/>
  <c r="AA23"/>
  <c r="AC23"/>
  <c r="AM22"/>
  <c r="AN22"/>
  <c r="AL22"/>
  <c r="AA22"/>
  <c r="AC22"/>
  <c r="AM20"/>
  <c r="AN20"/>
  <c r="AL20"/>
  <c r="AA20"/>
  <c r="AC20"/>
  <c r="AM19"/>
  <c r="AN19"/>
  <c r="AL19"/>
  <c r="AA19"/>
  <c r="AC19"/>
  <c r="AM18"/>
  <c r="AN18"/>
  <c r="AL18"/>
  <c r="AA18"/>
  <c r="AC18"/>
  <c r="K15"/>
  <c r="I15"/>
  <c r="G15"/>
  <c r="C15"/>
  <c r="AM14"/>
  <c r="AN14"/>
  <c r="AL14"/>
  <c r="AA14"/>
  <c r="AC14"/>
  <c r="AM13"/>
  <c r="AN13"/>
  <c r="AL13"/>
  <c r="AA13"/>
  <c r="AC13"/>
  <c r="AM11"/>
  <c r="AN11"/>
  <c r="AL11"/>
  <c r="AA11"/>
  <c r="AC11"/>
  <c r="J11"/>
  <c r="AL10"/>
  <c r="AA10"/>
  <c r="AC10"/>
  <c r="J10"/>
  <c r="AM9"/>
  <c r="AN9"/>
  <c r="AL9"/>
  <c r="AA9"/>
  <c r="AC9"/>
  <c r="AM8"/>
  <c r="AN8"/>
  <c r="AL8"/>
  <c r="AA8"/>
  <c r="AC8"/>
  <c r="AM7"/>
  <c r="AN7"/>
  <c r="AL7"/>
  <c r="AA7"/>
  <c r="AC7"/>
  <c r="J7"/>
  <c r="AM6"/>
  <c r="AN6"/>
  <c r="AL6"/>
  <c r="AA6"/>
  <c r="AC6"/>
  <c r="J6"/>
  <c r="AH5"/>
  <c r="AI59"/>
  <c r="L8"/>
  <c r="AA59" i="10"/>
  <c r="AA45"/>
  <c r="I162" i="22"/>
  <c r="AC102" i="20"/>
  <c r="AJ101" i="22"/>
  <c r="AJ121" i="20"/>
  <c r="AJ126"/>
  <c r="AK142"/>
  <c r="AJ142"/>
  <c r="AK30"/>
  <c r="AJ117"/>
  <c r="AJ140"/>
  <c r="AK14"/>
  <c r="AJ20"/>
  <c r="AJ30"/>
  <c r="AJ94"/>
  <c r="AJ98"/>
  <c r="AJ104"/>
  <c r="AJ75"/>
  <c r="AJ18"/>
  <c r="AJ32"/>
  <c r="AJ96"/>
  <c r="AJ100"/>
  <c r="AK117"/>
  <c r="AK9"/>
  <c r="AA15"/>
  <c r="AC15"/>
  <c r="AK32"/>
  <c r="AK132"/>
  <c r="AK104"/>
  <c r="AK91"/>
  <c r="AK78"/>
  <c r="AK86"/>
  <c r="AK90"/>
  <c r="AJ91"/>
  <c r="AL7" i="22"/>
  <c r="AL11"/>
  <c r="AL19"/>
  <c r="AL29"/>
  <c r="AM31"/>
  <c r="AN31"/>
  <c r="AL50"/>
  <c r="AJ66"/>
  <c r="AL80"/>
  <c r="AM96"/>
  <c r="AN96"/>
  <c r="AM105"/>
  <c r="AN105"/>
  <c r="AM54"/>
  <c r="AN54"/>
  <c r="AJ62"/>
  <c r="AL31"/>
  <c r="AL88"/>
  <c r="AJ122"/>
  <c r="AM23"/>
  <c r="AN23"/>
  <c r="AL66"/>
  <c r="AM122"/>
  <c r="AN122"/>
  <c r="AM80"/>
  <c r="AN80"/>
  <c r="AK6" i="20"/>
  <c r="AK7"/>
  <c r="AK11"/>
  <c r="AK18"/>
  <c r="AK26"/>
  <c r="AK38"/>
  <c r="AK50"/>
  <c r="AK88"/>
  <c r="AK98"/>
  <c r="AK122"/>
  <c r="AK126"/>
  <c r="AK138"/>
  <c r="AJ58" i="22"/>
  <c r="AL94"/>
  <c r="AJ14" i="20"/>
  <c r="AK67"/>
  <c r="AK75"/>
  <c r="AK80"/>
  <c r="AK140"/>
  <c r="AA141"/>
  <c r="AC141"/>
  <c r="AM88" i="22"/>
  <c r="AN88"/>
  <c r="AL141"/>
  <c r="AL58"/>
  <c r="AL62"/>
  <c r="AM66"/>
  <c r="AN66"/>
  <c r="AL84"/>
  <c r="AL92"/>
  <c r="AM101"/>
  <c r="AN101"/>
  <c r="AL101"/>
  <c r="AL122"/>
  <c r="AL23"/>
  <c r="AL54"/>
  <c r="AM58"/>
  <c r="AN58"/>
  <c r="AM62"/>
  <c r="AN62"/>
  <c r="AM84"/>
  <c r="AN84"/>
  <c r="AM92"/>
  <c r="AN92"/>
  <c r="AL96"/>
  <c r="AL105"/>
  <c r="AK105"/>
  <c r="AL137"/>
  <c r="AJ11"/>
  <c r="AL117"/>
  <c r="AJ88"/>
  <c r="AK59" i="20"/>
  <c r="AI8"/>
  <c r="D10"/>
  <c r="AK121"/>
  <c r="AK136"/>
  <c r="AM120" i="22"/>
  <c r="AN120"/>
  <c r="AM59"/>
  <c r="AN59"/>
  <c r="AL63"/>
  <c r="AJ7" i="20"/>
  <c r="AK8"/>
  <c r="AH10"/>
  <c r="AI10"/>
  <c r="AJ11"/>
  <c r="AK28"/>
  <c r="AK34"/>
  <c r="AJ38"/>
  <c r="AM41"/>
  <c r="AN41"/>
  <c r="AK46"/>
  <c r="AJ50"/>
  <c r="AK54"/>
  <c r="H59"/>
  <c r="AK82"/>
  <c r="AK84"/>
  <c r="AK96"/>
  <c r="AK102"/>
  <c r="AL115"/>
  <c r="AK119"/>
  <c r="AJ136"/>
  <c r="AH10" i="22"/>
  <c r="AI10"/>
  <c r="AM64"/>
  <c r="AN64"/>
  <c r="AM89"/>
  <c r="AN89"/>
  <c r="L10" i="20"/>
  <c r="AK23"/>
  <c r="AJ26"/>
  <c r="AJ34"/>
  <c r="AJ40"/>
  <c r="AK44"/>
  <c r="AK48"/>
  <c r="AK52"/>
  <c r="AK56"/>
  <c r="AK60"/>
  <c r="AK64"/>
  <c r="AJ80"/>
  <c r="AJ90"/>
  <c r="AK94"/>
  <c r="AK100"/>
  <c r="AK124"/>
  <c r="AI6" i="22"/>
  <c r="AI8"/>
  <c r="AL120"/>
  <c r="AL124"/>
  <c r="AL44"/>
  <c r="AM56"/>
  <c r="AN56"/>
  <c r="AM68"/>
  <c r="AN68"/>
  <c r="AM82"/>
  <c r="AN82"/>
  <c r="AM86"/>
  <c r="AN86"/>
  <c r="AI6" i="20"/>
  <c r="H7"/>
  <c r="H11"/>
  <c r="AL15"/>
  <c r="AJ25"/>
  <c r="AJ48"/>
  <c r="AJ56"/>
  <c r="AJ60"/>
  <c r="AJ64"/>
  <c r="AJ82"/>
  <c r="AJ84"/>
  <c r="AM93"/>
  <c r="AN93"/>
  <c r="AL107" i="22"/>
  <c r="AM20"/>
  <c r="AN20"/>
  <c r="AJ43"/>
  <c r="AL47"/>
  <c r="AM51"/>
  <c r="AN51"/>
  <c r="AM55"/>
  <c r="AN55"/>
  <c r="AM133"/>
  <c r="AN133"/>
  <c r="AL102"/>
  <c r="AM123"/>
  <c r="AN123"/>
  <c r="AM77"/>
  <c r="AN77"/>
  <c r="AL97"/>
  <c r="AM67"/>
  <c r="AN67"/>
  <c r="AL98"/>
  <c r="AM97"/>
  <c r="AN97"/>
  <c r="AM102"/>
  <c r="AN102"/>
  <c r="AM107"/>
  <c r="AN107"/>
  <c r="AM119"/>
  <c r="AN119"/>
  <c r="AJ123"/>
  <c r="AM127"/>
  <c r="AN127"/>
  <c r="AJ20"/>
  <c r="AM43"/>
  <c r="AN43"/>
  <c r="AM47"/>
  <c r="AN47"/>
  <c r="AJ51"/>
  <c r="AL55"/>
  <c r="AL59"/>
  <c r="AM63"/>
  <c r="AN63"/>
  <c r="AL8"/>
  <c r="AJ24"/>
  <c r="AL81"/>
  <c r="AM85"/>
  <c r="AN85"/>
  <c r="AM142"/>
  <c r="AN142" s="1"/>
  <c r="AL133"/>
  <c r="AL119"/>
  <c r="AL123"/>
  <c r="AL127"/>
  <c r="AL20"/>
  <c r="AM24"/>
  <c r="AN24"/>
  <c r="AM28"/>
  <c r="AN28"/>
  <c r="AM32"/>
  <c r="AN32"/>
  <c r="AM81"/>
  <c r="AN81"/>
  <c r="AL85"/>
  <c r="AL89"/>
  <c r="AJ133"/>
  <c r="AM8"/>
  <c r="AN8"/>
  <c r="AL77"/>
  <c r="AL24"/>
  <c r="AL28"/>
  <c r="AL32"/>
  <c r="AL43"/>
  <c r="AJ47"/>
  <c r="AL51"/>
  <c r="AJ55"/>
  <c r="AL67"/>
  <c r="AM49"/>
  <c r="AN49"/>
  <c r="AL6"/>
  <c r="AL83"/>
  <c r="AM124"/>
  <c r="AN124"/>
  <c r="AL52"/>
  <c r="AM60"/>
  <c r="AN60"/>
  <c r="AM103"/>
  <c r="AN103"/>
  <c r="AM45"/>
  <c r="AN45"/>
  <c r="AM53"/>
  <c r="AN53"/>
  <c r="AM61"/>
  <c r="AN61"/>
  <c r="AM65"/>
  <c r="AN65"/>
  <c r="AM69"/>
  <c r="AN69"/>
  <c r="AM26"/>
  <c r="AN26"/>
  <c r="AM79"/>
  <c r="AN79"/>
  <c r="AM128"/>
  <c r="AN128"/>
  <c r="AM44"/>
  <c r="AN44"/>
  <c r="AM48"/>
  <c r="AN48"/>
  <c r="AM52"/>
  <c r="AN52"/>
  <c r="AL56"/>
  <c r="AL86"/>
  <c r="AM18"/>
  <c r="AN18"/>
  <c r="AJ49"/>
  <c r="AM57"/>
  <c r="AN57"/>
  <c r="AL13"/>
  <c r="AL57"/>
  <c r="AL65"/>
  <c r="AM6"/>
  <c r="AN6"/>
  <c r="AM87"/>
  <c r="AN87" s="1"/>
  <c r="AL128"/>
  <c r="AJ48"/>
  <c r="AJ52"/>
  <c r="AJ60"/>
  <c r="AL68"/>
  <c r="AM9"/>
  <c r="AN9"/>
  <c r="AM14"/>
  <c r="AN14"/>
  <c r="AM25"/>
  <c r="AN25"/>
  <c r="AM29"/>
  <c r="AN29"/>
  <c r="AL33"/>
  <c r="AJ82"/>
  <c r="AM95"/>
  <c r="AN95"/>
  <c r="AM99"/>
  <c r="AN99"/>
  <c r="AM104"/>
  <c r="AN104"/>
  <c r="AJ18"/>
  <c r="AL49"/>
  <c r="AL61"/>
  <c r="AL10"/>
  <c r="AM30"/>
  <c r="AN30"/>
  <c r="AM34"/>
  <c r="AN34"/>
  <c r="AM83"/>
  <c r="AN83"/>
  <c r="AM91"/>
  <c r="AN91"/>
  <c r="AK143"/>
  <c r="AM94"/>
  <c r="AN94"/>
  <c r="AM98"/>
  <c r="AN98"/>
  <c r="AM125"/>
  <c r="AN125"/>
  <c r="AL22"/>
  <c r="AL30"/>
  <c r="AL45"/>
  <c r="AL53"/>
  <c r="AL79"/>
  <c r="AL18"/>
  <c r="AM33"/>
  <c r="AN33"/>
  <c r="AM78"/>
  <c r="AN78"/>
  <c r="AL87"/>
  <c r="AM90"/>
  <c r="AN90" s="1"/>
  <c r="AL136"/>
  <c r="AM139"/>
  <c r="AN139"/>
  <c r="AL9"/>
  <c r="AJ14"/>
  <c r="AL95"/>
  <c r="AL150"/>
  <c r="AM136"/>
  <c r="AN136"/>
  <c r="AL26"/>
  <c r="AL34"/>
  <c r="AM13"/>
  <c r="AN13"/>
  <c r="AM22"/>
  <c r="AN22"/>
  <c r="AJ39"/>
  <c r="AJ143"/>
  <c r="AJ94"/>
  <c r="AL103"/>
  <c r="AL139"/>
  <c r="AL99"/>
  <c r="AL25"/>
  <c r="AK39"/>
  <c r="AL48"/>
  <c r="AL60"/>
  <c r="AL64"/>
  <c r="AL69"/>
  <c r="AL104"/>
  <c r="AL125"/>
  <c r="AL78"/>
  <c r="AL82"/>
  <c r="AL90"/>
  <c r="AJ136"/>
  <c r="AA162"/>
  <c r="AL91"/>
  <c r="AL14"/>
  <c r="AL148"/>
  <c r="AJ105"/>
  <c r="AK40"/>
  <c r="AJ40"/>
  <c r="AI7"/>
  <c r="AH9"/>
  <c r="AI9"/>
  <c r="AI11"/>
  <c r="AK38"/>
  <c r="AJ38"/>
  <c r="AH145"/>
  <c r="AJ15" i="20"/>
  <c r="AK15"/>
  <c r="AK39"/>
  <c r="AJ39"/>
  <c r="AK57"/>
  <c r="AJ57"/>
  <c r="AK89"/>
  <c r="AJ89"/>
  <c r="AJ19"/>
  <c r="AJ22"/>
  <c r="AK31"/>
  <c r="AJ31"/>
  <c r="AK81"/>
  <c r="AJ81"/>
  <c r="AK123"/>
  <c r="AJ123"/>
  <c r="AK139"/>
  <c r="AJ139"/>
  <c r="AK33"/>
  <c r="AJ33"/>
  <c r="AK45"/>
  <c r="AK53"/>
  <c r="AH144"/>
  <c r="AK83"/>
  <c r="AJ92"/>
  <c r="AK92"/>
  <c r="AL93"/>
  <c r="AK95"/>
  <c r="AM115"/>
  <c r="AN115"/>
  <c r="AJ119"/>
  <c r="AJ122"/>
  <c r="AJ124"/>
  <c r="AK149"/>
  <c r="AJ149"/>
  <c r="AA161"/>
  <c r="AL5"/>
  <c r="F8"/>
  <c r="C12"/>
  <c r="C17"/>
  <c r="D17"/>
  <c r="AK22"/>
  <c r="AJ62"/>
  <c r="AJ66"/>
  <c r="F7"/>
  <c r="J8"/>
  <c r="F9"/>
  <c r="H10"/>
  <c r="AJ10"/>
  <c r="F11"/>
  <c r="I12"/>
  <c r="I17"/>
  <c r="J17"/>
  <c r="AK13"/>
  <c r="AK20"/>
  <c r="AK25"/>
  <c r="AJ28"/>
  <c r="AJ44"/>
  <c r="AJ52"/>
  <c r="AK63"/>
  <c r="AJ88"/>
  <c r="AK29"/>
  <c r="AK49"/>
  <c r="AJ49"/>
  <c r="AK120"/>
  <c r="AJ120"/>
  <c r="L59"/>
  <c r="AL41"/>
  <c r="AK47"/>
  <c r="AK55"/>
  <c r="G128"/>
  <c r="AJ24"/>
  <c r="AK43"/>
  <c r="AK51"/>
  <c r="AJ138"/>
  <c r="K165"/>
  <c r="AL143"/>
  <c r="W165"/>
  <c r="F6"/>
  <c r="AA5"/>
  <c r="AC5"/>
  <c r="D6"/>
  <c r="L6"/>
  <c r="D8"/>
  <c r="AK10"/>
  <c r="K12"/>
  <c r="K17"/>
  <c r="L17"/>
  <c r="AM15"/>
  <c r="AN15"/>
  <c r="AK19"/>
  <c r="AJ23"/>
  <c r="AJ46"/>
  <c r="AJ54"/>
  <c r="AJ58"/>
  <c r="AM5"/>
  <c r="AN5"/>
  <c r="H6"/>
  <c r="D7"/>
  <c r="L7"/>
  <c r="AI7"/>
  <c r="H8"/>
  <c r="D9"/>
  <c r="AH9"/>
  <c r="AI9"/>
  <c r="F10"/>
  <c r="D11"/>
  <c r="L11"/>
  <c r="AI11"/>
  <c r="G12"/>
  <c r="G17"/>
  <c r="H17"/>
  <c r="AJ13"/>
  <c r="AK24"/>
  <c r="AA41"/>
  <c r="AC41"/>
  <c r="I128"/>
  <c r="AK79"/>
  <c r="AK87"/>
  <c r="AK99"/>
  <c r="AJ99"/>
  <c r="AK118"/>
  <c r="AK127"/>
  <c r="AK137"/>
  <c r="AM143"/>
  <c r="AN143"/>
  <c r="AK58"/>
  <c r="AK62"/>
  <c r="AK66"/>
  <c r="AJ78"/>
  <c r="AJ86"/>
  <c r="AJ61"/>
  <c r="AJ65"/>
  <c r="AA93"/>
  <c r="AC93"/>
  <c r="AK77"/>
  <c r="AK85"/>
  <c r="AK103"/>
  <c r="AJ103"/>
  <c r="AK147"/>
  <c r="AK61"/>
  <c r="AK65"/>
  <c r="AK116"/>
  <c r="AK135"/>
  <c r="AJ135"/>
  <c r="AA115"/>
  <c r="AC115"/>
  <c r="AK97"/>
  <c r="AK101"/>
  <c r="AJ132"/>
  <c r="S165"/>
  <c r="AA43" i="10"/>
  <c r="H76" i="20"/>
  <c r="H103"/>
  <c r="H105"/>
  <c r="H104"/>
  <c r="D76"/>
  <c r="D103"/>
  <c r="D105"/>
  <c r="D104"/>
  <c r="L103"/>
  <c r="L105"/>
  <c r="L104"/>
  <c r="J104"/>
  <c r="J76"/>
  <c r="J103"/>
  <c r="J105"/>
  <c r="AJ102"/>
  <c r="AK101" i="22"/>
  <c r="AK96"/>
  <c r="AK31"/>
  <c r="D90" i="20"/>
  <c r="D53"/>
  <c r="AK29" i="22"/>
  <c r="AK122"/>
  <c r="L90" i="20"/>
  <c r="L53"/>
  <c r="L54"/>
  <c r="J90"/>
  <c r="J54"/>
  <c r="J53"/>
  <c r="H53"/>
  <c r="H54"/>
  <c r="AB9"/>
  <c r="AD59"/>
  <c r="AA143"/>
  <c r="AC143"/>
  <c r="H68"/>
  <c r="H90"/>
  <c r="AK141"/>
  <c r="AK141" i="22"/>
  <c r="J128" i="20"/>
  <c r="J93"/>
  <c r="J68"/>
  <c r="L143"/>
  <c r="L68"/>
  <c r="F41"/>
  <c r="F68"/>
  <c r="D93"/>
  <c r="D68"/>
  <c r="AK7" i="22"/>
  <c r="AJ28"/>
  <c r="AK63"/>
  <c r="AK50"/>
  <c r="AJ85"/>
  <c r="AK19"/>
  <c r="AK66"/>
  <c r="AK28"/>
  <c r="AK88"/>
  <c r="AJ31"/>
  <c r="AK84"/>
  <c r="AJ141"/>
  <c r="AJ128"/>
  <c r="AJ50"/>
  <c r="AJ127"/>
  <c r="AK11"/>
  <c r="AK119"/>
  <c r="AK62"/>
  <c r="J41" i="20"/>
  <c r="AK80" i="22"/>
  <c r="AK127"/>
  <c r="AK54"/>
  <c r="AK23"/>
  <c r="AJ141" i="20"/>
  <c r="L93"/>
  <c r="AA163"/>
  <c r="AM125"/>
  <c r="AN125"/>
  <c r="AK58" i="22"/>
  <c r="AJ54"/>
  <c r="AK128"/>
  <c r="AK43"/>
  <c r="AK85"/>
  <c r="AJ137"/>
  <c r="AK117"/>
  <c r="AK137"/>
  <c r="AJ7"/>
  <c r="AK92"/>
  <c r="AK81"/>
  <c r="AK124"/>
  <c r="AL125" i="20"/>
  <c r="D143"/>
  <c r="D125"/>
  <c r="AB59"/>
  <c r="AH12" i="22"/>
  <c r="AI145"/>
  <c r="AK107"/>
  <c r="F125" i="20"/>
  <c r="AA125"/>
  <c r="AC125"/>
  <c r="L41"/>
  <c r="AK102" i="22"/>
  <c r="AK97"/>
  <c r="AJ102"/>
  <c r="AJ63"/>
  <c r="AK67"/>
  <c r="AK20"/>
  <c r="AJ148"/>
  <c r="AJ81"/>
  <c r="AK6"/>
  <c r="AK8"/>
  <c r="AK51"/>
  <c r="AK148"/>
  <c r="AK65"/>
  <c r="AJ107"/>
  <c r="AK123"/>
  <c r="AJ32"/>
  <c r="AK55"/>
  <c r="AK24"/>
  <c r="AK89"/>
  <c r="AK59"/>
  <c r="AJ89"/>
  <c r="AK32"/>
  <c r="AK133"/>
  <c r="AJ68"/>
  <c r="AK103"/>
  <c r="AK77"/>
  <c r="AJ125"/>
  <c r="AJ77"/>
  <c r="AJ91"/>
  <c r="AK47"/>
  <c r="AJ69"/>
  <c r="AK52"/>
  <c r="AJ83"/>
  <c r="AJ124"/>
  <c r="AJ65"/>
  <c r="AJ6"/>
  <c r="AK44"/>
  <c r="AK68"/>
  <c r="AK78"/>
  <c r="AK56"/>
  <c r="AK86"/>
  <c r="AK139"/>
  <c r="AK49"/>
  <c r="AK104"/>
  <c r="AK60"/>
  <c r="AK33"/>
  <c r="AJ56"/>
  <c r="AK14"/>
  <c r="AK61"/>
  <c r="AK57"/>
  <c r="AJ139"/>
  <c r="AK94"/>
  <c r="AK10"/>
  <c r="AK82"/>
  <c r="AK87"/>
  <c r="AK120"/>
  <c r="AJ29"/>
  <c r="AK90"/>
  <c r="AK69"/>
  <c r="AK18"/>
  <c r="AJ64"/>
  <c r="AK64"/>
  <c r="AK136"/>
  <c r="AK83"/>
  <c r="AK95"/>
  <c r="AK48"/>
  <c r="AK99"/>
  <c r="AK98"/>
  <c r="AK25"/>
  <c r="AJ98"/>
  <c r="AJ26"/>
  <c r="AK26"/>
  <c r="AJ95"/>
  <c r="AK91"/>
  <c r="AK125"/>
  <c r="AJ22"/>
  <c r="AK150"/>
  <c r="AK22"/>
  <c r="AK13"/>
  <c r="AJ13"/>
  <c r="AJ79"/>
  <c r="AK79"/>
  <c r="AJ150"/>
  <c r="AJ97"/>
  <c r="AJ45"/>
  <c r="AK45"/>
  <c r="AK53"/>
  <c r="AJ53"/>
  <c r="AK30"/>
  <c r="AJ30"/>
  <c r="AK34"/>
  <c r="AJ34"/>
  <c r="AJ19"/>
  <c r="AK9"/>
  <c r="AJ84"/>
  <c r="AJ86"/>
  <c r="AI104"/>
  <c r="AI97"/>
  <c r="AI95"/>
  <c r="AI98"/>
  <c r="AI128"/>
  <c r="AI127"/>
  <c r="AI87"/>
  <c r="AI81"/>
  <c r="AI79"/>
  <c r="AI64"/>
  <c r="AI60"/>
  <c r="AI58"/>
  <c r="AI122"/>
  <c r="AI121"/>
  <c r="AI120"/>
  <c r="AI116"/>
  <c r="AI143"/>
  <c r="AI90"/>
  <c r="AI61"/>
  <c r="AI136"/>
  <c r="AI84"/>
  <c r="AI53"/>
  <c r="AI51"/>
  <c r="AI49"/>
  <c r="AI43"/>
  <c r="AI41"/>
  <c r="AI141"/>
  <c r="AI137"/>
  <c r="AI46"/>
  <c r="AI40"/>
  <c r="AH17"/>
  <c r="AI125"/>
  <c r="AI88"/>
  <c r="AI63"/>
  <c r="AI48"/>
  <c r="AI31"/>
  <c r="AI29"/>
  <c r="AH16"/>
  <c r="AI65"/>
  <c r="AI50"/>
  <c r="AI42"/>
  <c r="AI24"/>
  <c r="AI22"/>
  <c r="AI19"/>
  <c r="AI115"/>
  <c r="AI86"/>
  <c r="AI57"/>
  <c r="AI44"/>
  <c r="AI38"/>
  <c r="AI34"/>
  <c r="AI30"/>
  <c r="AI28"/>
  <c r="AJ59"/>
  <c r="AJ104"/>
  <c r="AJ25"/>
  <c r="AJ67"/>
  <c r="AJ117"/>
  <c r="AJ61"/>
  <c r="AJ92"/>
  <c r="AJ44"/>
  <c r="AJ10"/>
  <c r="AJ9"/>
  <c r="AJ99"/>
  <c r="AJ23"/>
  <c r="AJ96"/>
  <c r="AJ78"/>
  <c r="AJ80"/>
  <c r="AJ8"/>
  <c r="AJ57"/>
  <c r="AJ120"/>
  <c r="AJ119"/>
  <c r="AI93"/>
  <c r="AJ33"/>
  <c r="AK41" i="20"/>
  <c r="AJ41"/>
  <c r="H141"/>
  <c r="H101"/>
  <c r="H99"/>
  <c r="H97"/>
  <c r="H95"/>
  <c r="H149"/>
  <c r="H147"/>
  <c r="H139"/>
  <c r="H137"/>
  <c r="H135"/>
  <c r="H127"/>
  <c r="H120"/>
  <c r="H118"/>
  <c r="H116"/>
  <c r="H115"/>
  <c r="H138"/>
  <c r="H124"/>
  <c r="H119"/>
  <c r="H91"/>
  <c r="H89"/>
  <c r="H87"/>
  <c r="H85"/>
  <c r="H83"/>
  <c r="H81"/>
  <c r="H79"/>
  <c r="H77"/>
  <c r="H142"/>
  <c r="H140"/>
  <c r="H121"/>
  <c r="H100"/>
  <c r="H96"/>
  <c r="H102"/>
  <c r="H88"/>
  <c r="H80"/>
  <c r="H65"/>
  <c r="H61"/>
  <c r="H57"/>
  <c r="H55"/>
  <c r="H51"/>
  <c r="H49"/>
  <c r="H47"/>
  <c r="H45"/>
  <c r="H43"/>
  <c r="H39"/>
  <c r="H136"/>
  <c r="H126"/>
  <c r="H117"/>
  <c r="H98"/>
  <c r="H82"/>
  <c r="H66"/>
  <c r="H62"/>
  <c r="H58"/>
  <c r="H33"/>
  <c r="H31"/>
  <c r="H29"/>
  <c r="H94"/>
  <c r="H93"/>
  <c r="H78"/>
  <c r="H46"/>
  <c r="H30"/>
  <c r="H24"/>
  <c r="G16"/>
  <c r="H42"/>
  <c r="AM12"/>
  <c r="AN12"/>
  <c r="H50"/>
  <c r="H41"/>
  <c r="H22"/>
  <c r="H19"/>
  <c r="H92"/>
  <c r="H63"/>
  <c r="H52"/>
  <c r="H44"/>
  <c r="H34"/>
  <c r="H32"/>
  <c r="H23"/>
  <c r="H86"/>
  <c r="H84"/>
  <c r="H64"/>
  <c r="H60"/>
  <c r="H56"/>
  <c r="H48"/>
  <c r="H38"/>
  <c r="H28"/>
  <c r="H25"/>
  <c r="H40"/>
  <c r="H26"/>
  <c r="H67"/>
  <c r="AJ8"/>
  <c r="AJ6"/>
  <c r="D128"/>
  <c r="AK93"/>
  <c r="F149"/>
  <c r="F147"/>
  <c r="F139"/>
  <c r="F137"/>
  <c r="F135"/>
  <c r="F127"/>
  <c r="F120"/>
  <c r="F118"/>
  <c r="F116"/>
  <c r="F92"/>
  <c r="F142"/>
  <c r="F102"/>
  <c r="F100"/>
  <c r="F98"/>
  <c r="F96"/>
  <c r="F94"/>
  <c r="F140"/>
  <c r="F121"/>
  <c r="F99"/>
  <c r="F95"/>
  <c r="F88"/>
  <c r="F86"/>
  <c r="F84"/>
  <c r="F82"/>
  <c r="F80"/>
  <c r="F78"/>
  <c r="F67"/>
  <c r="F65"/>
  <c r="F63"/>
  <c r="F61"/>
  <c r="F59"/>
  <c r="F143"/>
  <c r="F136"/>
  <c r="F126"/>
  <c r="F117"/>
  <c r="F97"/>
  <c r="F87"/>
  <c r="F79"/>
  <c r="F66"/>
  <c r="F62"/>
  <c r="F58"/>
  <c r="F141"/>
  <c r="F138"/>
  <c r="F119"/>
  <c r="F89"/>
  <c r="F81"/>
  <c r="F56"/>
  <c r="F54"/>
  <c r="F52"/>
  <c r="F50"/>
  <c r="F48"/>
  <c r="F46"/>
  <c r="F44"/>
  <c r="F42"/>
  <c r="F40"/>
  <c r="F38"/>
  <c r="F26"/>
  <c r="F24"/>
  <c r="F22"/>
  <c r="F19"/>
  <c r="F85"/>
  <c r="F64"/>
  <c r="F60"/>
  <c r="F45"/>
  <c r="F28"/>
  <c r="F25"/>
  <c r="F49"/>
  <c r="F39"/>
  <c r="F31"/>
  <c r="F91"/>
  <c r="F30"/>
  <c r="F124"/>
  <c r="F55"/>
  <c r="F47"/>
  <c r="F33"/>
  <c r="F101"/>
  <c r="F83"/>
  <c r="F57"/>
  <c r="F34"/>
  <c r="F32"/>
  <c r="F23"/>
  <c r="F77"/>
  <c r="F51"/>
  <c r="F43"/>
  <c r="F29"/>
  <c r="AJ51"/>
  <c r="AJ45"/>
  <c r="AC163"/>
  <c r="AA165"/>
  <c r="AJ143"/>
  <c r="AK143"/>
  <c r="AJ29"/>
  <c r="AJ147"/>
  <c r="AJ137"/>
  <c r="AJ118"/>
  <c r="F93"/>
  <c r="AJ116"/>
  <c r="H143"/>
  <c r="AB11"/>
  <c r="AJ47"/>
  <c r="H128"/>
  <c r="AJ97"/>
  <c r="AJ85"/>
  <c r="AJ87"/>
  <c r="AA12"/>
  <c r="AB8"/>
  <c r="AK5"/>
  <c r="AB6"/>
  <c r="AJ101"/>
  <c r="AK115"/>
  <c r="AJ77"/>
  <c r="AJ79"/>
  <c r="L142"/>
  <c r="L102"/>
  <c r="L100"/>
  <c r="L98"/>
  <c r="L96"/>
  <c r="L94"/>
  <c r="L140"/>
  <c r="L138"/>
  <c r="L136"/>
  <c r="L126"/>
  <c r="L124"/>
  <c r="L121"/>
  <c r="L119"/>
  <c r="L117"/>
  <c r="L115"/>
  <c r="L101"/>
  <c r="L97"/>
  <c r="L88"/>
  <c r="L86"/>
  <c r="L84"/>
  <c r="L82"/>
  <c r="L80"/>
  <c r="L78"/>
  <c r="L135"/>
  <c r="L116"/>
  <c r="L92"/>
  <c r="L139"/>
  <c r="L120"/>
  <c r="L95"/>
  <c r="L85"/>
  <c r="L77"/>
  <c r="L67"/>
  <c r="L64"/>
  <c r="L63"/>
  <c r="L60"/>
  <c r="L56"/>
  <c r="L52"/>
  <c r="L50"/>
  <c r="L48"/>
  <c r="L46"/>
  <c r="L44"/>
  <c r="L40"/>
  <c r="L38"/>
  <c r="L149"/>
  <c r="L87"/>
  <c r="L79"/>
  <c r="L34"/>
  <c r="L32"/>
  <c r="L30"/>
  <c r="L28"/>
  <c r="L137"/>
  <c r="L99"/>
  <c r="L91"/>
  <c r="L81"/>
  <c r="L65"/>
  <c r="L61"/>
  <c r="L51"/>
  <c r="L43"/>
  <c r="L31"/>
  <c r="L26"/>
  <c r="L23"/>
  <c r="L22"/>
  <c r="L19"/>
  <c r="L58"/>
  <c r="L24"/>
  <c r="L141"/>
  <c r="L83"/>
  <c r="L57"/>
  <c r="L39"/>
  <c r="L33"/>
  <c r="K16"/>
  <c r="K42"/>
  <c r="L118"/>
  <c r="L89"/>
  <c r="L45"/>
  <c r="L29"/>
  <c r="L66"/>
  <c r="L62"/>
  <c r="L55"/>
  <c r="L47"/>
  <c r="L25"/>
  <c r="L147"/>
  <c r="L127"/>
  <c r="L49"/>
  <c r="AJ43"/>
  <c r="L125"/>
  <c r="K128"/>
  <c r="J140"/>
  <c r="J138"/>
  <c r="J136"/>
  <c r="J126"/>
  <c r="J124"/>
  <c r="J121"/>
  <c r="J119"/>
  <c r="J117"/>
  <c r="J141"/>
  <c r="J101"/>
  <c r="J99"/>
  <c r="J97"/>
  <c r="J95"/>
  <c r="J135"/>
  <c r="J116"/>
  <c r="J102"/>
  <c r="J98"/>
  <c r="J94"/>
  <c r="J92"/>
  <c r="J143"/>
  <c r="J137"/>
  <c r="J127"/>
  <c r="J118"/>
  <c r="J91"/>
  <c r="J89"/>
  <c r="J87"/>
  <c r="J85"/>
  <c r="J83"/>
  <c r="J81"/>
  <c r="J79"/>
  <c r="J77"/>
  <c r="J66"/>
  <c r="J64"/>
  <c r="J62"/>
  <c r="J60"/>
  <c r="J58"/>
  <c r="J149"/>
  <c r="J86"/>
  <c r="J78"/>
  <c r="J34"/>
  <c r="J147"/>
  <c r="J100"/>
  <c r="J88"/>
  <c r="J80"/>
  <c r="J65"/>
  <c r="J61"/>
  <c r="J57"/>
  <c r="J55"/>
  <c r="J51"/>
  <c r="J49"/>
  <c r="J47"/>
  <c r="J45"/>
  <c r="J43"/>
  <c r="J39"/>
  <c r="J25"/>
  <c r="J23"/>
  <c r="I16"/>
  <c r="J42"/>
  <c r="J67"/>
  <c r="J63"/>
  <c r="J52"/>
  <c r="J44"/>
  <c r="J32"/>
  <c r="J29"/>
  <c r="J56"/>
  <c r="J48"/>
  <c r="J38"/>
  <c r="J33"/>
  <c r="J50"/>
  <c r="J40"/>
  <c r="J31"/>
  <c r="J26"/>
  <c r="J22"/>
  <c r="J19"/>
  <c r="J139"/>
  <c r="J96"/>
  <c r="J46"/>
  <c r="J30"/>
  <c r="J24"/>
  <c r="J120"/>
  <c r="J84"/>
  <c r="J82"/>
  <c r="J28"/>
  <c r="J142"/>
  <c r="D142"/>
  <c r="D102"/>
  <c r="D100"/>
  <c r="D98"/>
  <c r="D96"/>
  <c r="D94"/>
  <c r="D140"/>
  <c r="D138"/>
  <c r="D136"/>
  <c r="D126"/>
  <c r="D124"/>
  <c r="D121"/>
  <c r="D119"/>
  <c r="D117"/>
  <c r="D115"/>
  <c r="D137"/>
  <c r="D127"/>
  <c r="D118"/>
  <c r="D99"/>
  <c r="D95"/>
  <c r="D88"/>
  <c r="D86"/>
  <c r="D84"/>
  <c r="D82"/>
  <c r="D80"/>
  <c r="D78"/>
  <c r="D149"/>
  <c r="D147"/>
  <c r="D141"/>
  <c r="D139"/>
  <c r="D120"/>
  <c r="D135"/>
  <c r="D116"/>
  <c r="D89"/>
  <c r="D81"/>
  <c r="D56"/>
  <c r="D54"/>
  <c r="D52"/>
  <c r="D50"/>
  <c r="D48"/>
  <c r="D46"/>
  <c r="D44"/>
  <c r="D40"/>
  <c r="D38"/>
  <c r="D92"/>
  <c r="D91"/>
  <c r="D83"/>
  <c r="D67"/>
  <c r="D64"/>
  <c r="D63"/>
  <c r="D60"/>
  <c r="D59"/>
  <c r="D34"/>
  <c r="D32"/>
  <c r="D30"/>
  <c r="D28"/>
  <c r="D55"/>
  <c r="D47"/>
  <c r="D33"/>
  <c r="D77"/>
  <c r="D43"/>
  <c r="D85"/>
  <c r="D65"/>
  <c r="D45"/>
  <c r="D24"/>
  <c r="D101"/>
  <c r="D97"/>
  <c r="D79"/>
  <c r="D66"/>
  <c r="D62"/>
  <c r="D58"/>
  <c r="D57"/>
  <c r="D49"/>
  <c r="D39"/>
  <c r="D31"/>
  <c r="D26"/>
  <c r="D23"/>
  <c r="D22"/>
  <c r="D19"/>
  <c r="C16"/>
  <c r="D87"/>
  <c r="D51"/>
  <c r="D29"/>
  <c r="D61"/>
  <c r="D41"/>
  <c r="D25"/>
  <c r="AL12"/>
  <c r="AC161"/>
  <c r="AJ83"/>
  <c r="AJ53"/>
  <c r="AJ55"/>
  <c r="AJ127"/>
  <c r="AJ67"/>
  <c r="AB7"/>
  <c r="AJ95"/>
  <c r="F115"/>
  <c r="AH12"/>
  <c r="AI68"/>
  <c r="H125"/>
  <c r="AJ59"/>
  <c r="J125"/>
  <c r="J115"/>
  <c r="AJ63"/>
  <c r="F128"/>
  <c r="AB10"/>
  <c r="AJ9"/>
  <c r="AI76" i="22"/>
  <c r="AI25"/>
  <c r="AI138"/>
  <c r="AI45"/>
  <c r="AI67"/>
  <c r="AI82"/>
  <c r="AI117"/>
  <c r="AI56"/>
  <c r="AI66"/>
  <c r="AI89"/>
  <c r="AI101"/>
  <c r="AI107"/>
  <c r="U42"/>
  <c r="O42"/>
  <c r="M42"/>
  <c r="K76" i="20"/>
  <c r="K42" i="22"/>
  <c r="AC12" i="20"/>
  <c r="AD68"/>
  <c r="AB103"/>
  <c r="AB105"/>
  <c r="AB104"/>
  <c r="AB102"/>
  <c r="Q42" i="22"/>
  <c r="S42"/>
  <c r="W42"/>
  <c r="Y42"/>
  <c r="AJ103"/>
  <c r="AA128" i="20"/>
  <c r="AC128"/>
  <c r="AJ125"/>
  <c r="AB68"/>
  <c r="AM128"/>
  <c r="AN128"/>
  <c r="AM42"/>
  <c r="AN42"/>
  <c r="AK125"/>
  <c r="L42"/>
  <c r="AB125"/>
  <c r="AA42"/>
  <c r="AC42"/>
  <c r="AL42"/>
  <c r="D42"/>
  <c r="AB115"/>
  <c r="AL142" i="22"/>
  <c r="AI68"/>
  <c r="AI83"/>
  <c r="AI91"/>
  <c r="AI94"/>
  <c r="AI103"/>
  <c r="AI99"/>
  <c r="AI142"/>
  <c r="AI129"/>
  <c r="AI144"/>
  <c r="AI32"/>
  <c r="AI52"/>
  <c r="AI148"/>
  <c r="AI26"/>
  <c r="AI78"/>
  <c r="AI33"/>
  <c r="AI80"/>
  <c r="AI23"/>
  <c r="AI54"/>
  <c r="AI39"/>
  <c r="AI47"/>
  <c r="AI55"/>
  <c r="AI140"/>
  <c r="AI139"/>
  <c r="AI119"/>
  <c r="AI126"/>
  <c r="AI62"/>
  <c r="AI77"/>
  <c r="AI85"/>
  <c r="AI92"/>
  <c r="AI96"/>
  <c r="AI105"/>
  <c r="AI102"/>
  <c r="AI150"/>
  <c r="AC162"/>
  <c r="AI17"/>
  <c r="AH21"/>
  <c r="AI21"/>
  <c r="AI16"/>
  <c r="AD11" i="20"/>
  <c r="AD9"/>
  <c r="AD7"/>
  <c r="AI104"/>
  <c r="AI102"/>
  <c r="AI100"/>
  <c r="AI98"/>
  <c r="AI96"/>
  <c r="AI94"/>
  <c r="AI142"/>
  <c r="AI140"/>
  <c r="AI138"/>
  <c r="AI136"/>
  <c r="AI126"/>
  <c r="AI124"/>
  <c r="AI121"/>
  <c r="AI119"/>
  <c r="AI117"/>
  <c r="AI115"/>
  <c r="AI149"/>
  <c r="AI137"/>
  <c r="AI127"/>
  <c r="AI118"/>
  <c r="AI103"/>
  <c r="AI99"/>
  <c r="AI95"/>
  <c r="AI91"/>
  <c r="AI90"/>
  <c r="AI88"/>
  <c r="AI86"/>
  <c r="AI84"/>
  <c r="AI82"/>
  <c r="AI80"/>
  <c r="AI78"/>
  <c r="AI147"/>
  <c r="AI141"/>
  <c r="AI139"/>
  <c r="AI120"/>
  <c r="AI97"/>
  <c r="AI93"/>
  <c r="AI89"/>
  <c r="AI81"/>
  <c r="AI56"/>
  <c r="AI54"/>
  <c r="AI52"/>
  <c r="AI50"/>
  <c r="AI48"/>
  <c r="AI46"/>
  <c r="AI44"/>
  <c r="AI42"/>
  <c r="AI40"/>
  <c r="AI38"/>
  <c r="AI135"/>
  <c r="AI128"/>
  <c r="AI116"/>
  <c r="AI83"/>
  <c r="AI67"/>
  <c r="AI64"/>
  <c r="AI63"/>
  <c r="AI60"/>
  <c r="AI34"/>
  <c r="AI32"/>
  <c r="AI30"/>
  <c r="AI28"/>
  <c r="AI101"/>
  <c r="AI85"/>
  <c r="AI66"/>
  <c r="AI62"/>
  <c r="AI58"/>
  <c r="AI55"/>
  <c r="AI47"/>
  <c r="AH17"/>
  <c r="AI61"/>
  <c r="AI43"/>
  <c r="AI29"/>
  <c r="AH16"/>
  <c r="AI87"/>
  <c r="AI77"/>
  <c r="AI53"/>
  <c r="AI24"/>
  <c r="AI125"/>
  <c r="AI57"/>
  <c r="AI49"/>
  <c r="AI39"/>
  <c r="AI31"/>
  <c r="AI26"/>
  <c r="AI23"/>
  <c r="AI22"/>
  <c r="AI19"/>
  <c r="AI92"/>
  <c r="AI79"/>
  <c r="AI65"/>
  <c r="AI51"/>
  <c r="AI41"/>
  <c r="AI45"/>
  <c r="AI33"/>
  <c r="AI25"/>
  <c r="AI143"/>
  <c r="AI76"/>
  <c r="K21"/>
  <c r="AC165"/>
  <c r="F16"/>
  <c r="G27"/>
  <c r="AM16"/>
  <c r="AN16"/>
  <c r="H16"/>
  <c r="C21"/>
  <c r="AL17"/>
  <c r="AA17"/>
  <c r="AC17"/>
  <c r="C27"/>
  <c r="AL16"/>
  <c r="D16"/>
  <c r="J16"/>
  <c r="I27"/>
  <c r="AB142"/>
  <c r="AB100"/>
  <c r="AB98"/>
  <c r="AB96"/>
  <c r="AB94"/>
  <c r="AB136"/>
  <c r="AB126"/>
  <c r="AB117"/>
  <c r="AB140"/>
  <c r="AB121"/>
  <c r="AB91"/>
  <c r="AB138"/>
  <c r="AB119"/>
  <c r="AB124"/>
  <c r="AB32"/>
  <c r="AB53"/>
  <c r="AK12"/>
  <c r="AB81"/>
  <c r="AB55"/>
  <c r="AB47"/>
  <c r="AB31"/>
  <c r="AB23"/>
  <c r="AA16"/>
  <c r="AC16"/>
  <c r="AB79"/>
  <c r="AB34"/>
  <c r="AB30"/>
  <c r="AB149"/>
  <c r="AB99"/>
  <c r="AB95"/>
  <c r="AB87"/>
  <c r="AB45"/>
  <c r="AB28"/>
  <c r="AB43"/>
  <c r="AB22"/>
  <c r="AB77"/>
  <c r="AB97"/>
  <c r="AB57"/>
  <c r="AB38"/>
  <c r="AB44"/>
  <c r="AB52"/>
  <c r="AB116"/>
  <c r="AB78"/>
  <c r="AB86"/>
  <c r="AB51"/>
  <c r="AB90"/>
  <c r="AB120"/>
  <c r="AB40"/>
  <c r="AB54"/>
  <c r="AB141"/>
  <c r="AB135"/>
  <c r="AB88"/>
  <c r="AB92"/>
  <c r="AB85"/>
  <c r="AB60"/>
  <c r="AB67"/>
  <c r="AB26"/>
  <c r="AB29"/>
  <c r="AB49"/>
  <c r="AB89"/>
  <c r="AB118"/>
  <c r="AB127"/>
  <c r="AB137"/>
  <c r="AB50"/>
  <c r="AB58"/>
  <c r="AB66"/>
  <c r="AB61"/>
  <c r="AB147"/>
  <c r="AB84"/>
  <c r="AB19"/>
  <c r="AB139"/>
  <c r="AB33"/>
  <c r="AB24"/>
  <c r="AB48"/>
  <c r="AB56"/>
  <c r="AB82"/>
  <c r="AB63"/>
  <c r="AB83"/>
  <c r="AB101"/>
  <c r="AB25"/>
  <c r="AB64"/>
  <c r="AB39"/>
  <c r="AB46"/>
  <c r="AB62"/>
  <c r="AB65"/>
  <c r="AB80"/>
  <c r="AD10"/>
  <c r="AL128"/>
  <c r="AD8"/>
  <c r="AJ93"/>
  <c r="I21"/>
  <c r="L128"/>
  <c r="L16"/>
  <c r="K27"/>
  <c r="G21"/>
  <c r="AM17"/>
  <c r="AN17"/>
  <c r="AJ5"/>
  <c r="AJ115"/>
  <c r="AI144"/>
  <c r="AB143"/>
  <c r="AB93"/>
  <c r="AD6"/>
  <c r="AB41"/>
  <c r="C5" i="22"/>
  <c r="AK128" i="20"/>
  <c r="L76"/>
  <c r="AJ128"/>
  <c r="AB128"/>
  <c r="AD105"/>
  <c r="AD104"/>
  <c r="AD103"/>
  <c r="AD102"/>
  <c r="AA42" i="22"/>
  <c r="AB42" i="20"/>
  <c r="AD41"/>
  <c r="AD93"/>
  <c r="AJ12"/>
  <c r="AD125"/>
  <c r="AD115"/>
  <c r="AD143"/>
  <c r="K144"/>
  <c r="AL76"/>
  <c r="D144"/>
  <c r="AM76"/>
  <c r="AN76"/>
  <c r="G144"/>
  <c r="I144"/>
  <c r="AL42" i="22"/>
  <c r="AD42" i="20"/>
  <c r="AA76"/>
  <c r="AC76"/>
  <c r="AK42"/>
  <c r="F144"/>
  <c r="AM42" i="22"/>
  <c r="AN42"/>
  <c r="K5"/>
  <c r="E5"/>
  <c r="M5"/>
  <c r="U5"/>
  <c r="S5"/>
  <c r="Q5"/>
  <c r="I5"/>
  <c r="Y5"/>
  <c r="G5"/>
  <c r="O5"/>
  <c r="W5"/>
  <c r="AA164"/>
  <c r="AK142"/>
  <c r="AL21" i="20"/>
  <c r="D21"/>
  <c r="L21"/>
  <c r="C35"/>
  <c r="D27"/>
  <c r="AL27"/>
  <c r="AA27"/>
  <c r="AC27"/>
  <c r="K35"/>
  <c r="L35"/>
  <c r="L27"/>
  <c r="AD50"/>
  <c r="AD32"/>
  <c r="AD98"/>
  <c r="AD52"/>
  <c r="AD30"/>
  <c r="AD86"/>
  <c r="AD40"/>
  <c r="AD84"/>
  <c r="AD44"/>
  <c r="AD28"/>
  <c r="AD61"/>
  <c r="AD48"/>
  <c r="AD90"/>
  <c r="AD138"/>
  <c r="AD64"/>
  <c r="AD91"/>
  <c r="AD117"/>
  <c r="AD58"/>
  <c r="AD25"/>
  <c r="AD88"/>
  <c r="AD80"/>
  <c r="AD142"/>
  <c r="AD66"/>
  <c r="AD34"/>
  <c r="AD82"/>
  <c r="AD62"/>
  <c r="AD94"/>
  <c r="AD24"/>
  <c r="AD54"/>
  <c r="AD38"/>
  <c r="AD22"/>
  <c r="AD46"/>
  <c r="AD23"/>
  <c r="AD56"/>
  <c r="AD19"/>
  <c r="AD60"/>
  <c r="AD136"/>
  <c r="AD100"/>
  <c r="AD140"/>
  <c r="AD78"/>
  <c r="AD65"/>
  <c r="AD26"/>
  <c r="AD119"/>
  <c r="AD124"/>
  <c r="AD126"/>
  <c r="AD96"/>
  <c r="AD121"/>
  <c r="AD51"/>
  <c r="AD67"/>
  <c r="AD83"/>
  <c r="AD127"/>
  <c r="AD95"/>
  <c r="AD99"/>
  <c r="AD33"/>
  <c r="AD149"/>
  <c r="AD81"/>
  <c r="AD141"/>
  <c r="AD29"/>
  <c r="AD135"/>
  <c r="AD47"/>
  <c r="AD89"/>
  <c r="AD87"/>
  <c r="AD101"/>
  <c r="AD79"/>
  <c r="AD118"/>
  <c r="AD49"/>
  <c r="AD85"/>
  <c r="AD77"/>
  <c r="AD43"/>
  <c r="AD92"/>
  <c r="AD137"/>
  <c r="AD31"/>
  <c r="AD116"/>
  <c r="AD63"/>
  <c r="AD120"/>
  <c r="AD57"/>
  <c r="AD53"/>
  <c r="AD55"/>
  <c r="AD45"/>
  <c r="AD147"/>
  <c r="AD97"/>
  <c r="AD39"/>
  <c r="AD139"/>
  <c r="I35"/>
  <c r="J35"/>
  <c r="J27"/>
  <c r="AM27"/>
  <c r="AN27"/>
  <c r="H27"/>
  <c r="G35"/>
  <c r="G36"/>
  <c r="AM21"/>
  <c r="AN21"/>
  <c r="H21"/>
  <c r="F21"/>
  <c r="J21"/>
  <c r="AD16"/>
  <c r="AK16"/>
  <c r="AB16"/>
  <c r="AA21"/>
  <c r="AC21"/>
  <c r="AK17"/>
  <c r="AB17"/>
  <c r="AD17"/>
  <c r="F35"/>
  <c r="F27"/>
  <c r="AI16"/>
  <c r="AH21"/>
  <c r="AI21"/>
  <c r="AI17"/>
  <c r="AD128"/>
  <c r="AC151" i="10"/>
  <c r="AC149"/>
  <c r="AC147"/>
  <c r="AC134"/>
  <c r="AC132"/>
  <c r="AC130"/>
  <c r="H144" i="20"/>
  <c r="L144"/>
  <c r="J144"/>
  <c r="AC42" i="22"/>
  <c r="AJ42"/>
  <c r="AJ17" i="20"/>
  <c r="I36"/>
  <c r="J36"/>
  <c r="AK42" i="22"/>
  <c r="AL144" i="20"/>
  <c r="AM144"/>
  <c r="AN144"/>
  <c r="AJ42"/>
  <c r="AK76"/>
  <c r="AD76"/>
  <c r="AA144"/>
  <c r="AC144"/>
  <c r="AB76"/>
  <c r="AA5" i="22"/>
  <c r="AM5"/>
  <c r="AN5"/>
  <c r="AL5"/>
  <c r="AM126"/>
  <c r="AN126"/>
  <c r="H36" i="20"/>
  <c r="G37"/>
  <c r="AM35"/>
  <c r="AN35"/>
  <c r="H35"/>
  <c r="AK27"/>
  <c r="AB27"/>
  <c r="AD27"/>
  <c r="AH27"/>
  <c r="AA35"/>
  <c r="AC35"/>
  <c r="D35"/>
  <c r="AL35"/>
  <c r="AK21"/>
  <c r="AD21"/>
  <c r="AB21"/>
  <c r="K36"/>
  <c r="AJ16"/>
  <c r="C36"/>
  <c r="Y164" i="10"/>
  <c r="W164"/>
  <c r="U164"/>
  <c r="S164"/>
  <c r="Q164"/>
  <c r="O164"/>
  <c r="K164"/>
  <c r="Y162"/>
  <c r="W162"/>
  <c r="S162"/>
  <c r="Q162"/>
  <c r="O162"/>
  <c r="K162"/>
  <c r="AA19"/>
  <c r="AA10"/>
  <c r="AA8"/>
  <c r="AI6"/>
  <c r="AI7"/>
  <c r="AI8"/>
  <c r="AI10"/>
  <c r="AI11"/>
  <c r="AI13"/>
  <c r="AI14"/>
  <c r="AI18"/>
  <c r="AI19"/>
  <c r="AI20"/>
  <c r="AI22"/>
  <c r="AI23"/>
  <c r="AI24"/>
  <c r="AI25"/>
  <c r="AI26"/>
  <c r="AI28"/>
  <c r="AI29"/>
  <c r="AI30"/>
  <c r="AI31"/>
  <c r="AI32"/>
  <c r="AI33"/>
  <c r="AI34"/>
  <c r="AI38"/>
  <c r="AI39"/>
  <c r="AI40"/>
  <c r="AI42"/>
  <c r="AI43"/>
  <c r="AH43"/>
  <c r="AI44"/>
  <c r="AI45"/>
  <c r="AH45"/>
  <c r="AI47"/>
  <c r="AI48"/>
  <c r="AI49"/>
  <c r="AI50"/>
  <c r="AI51"/>
  <c r="AI52"/>
  <c r="AI53"/>
  <c r="AI54"/>
  <c r="AH54"/>
  <c r="AI55"/>
  <c r="AI56"/>
  <c r="AI57"/>
  <c r="AH57"/>
  <c r="AI58"/>
  <c r="AI59"/>
  <c r="AH59"/>
  <c r="AI60"/>
  <c r="AI61"/>
  <c r="AI62"/>
  <c r="AH62"/>
  <c r="AI63"/>
  <c r="AI64"/>
  <c r="AI65"/>
  <c r="AH65"/>
  <c r="AI66"/>
  <c r="AI67"/>
  <c r="AI68"/>
  <c r="AH68"/>
  <c r="AI69"/>
  <c r="AI77"/>
  <c r="AH77"/>
  <c r="AI78"/>
  <c r="AH78"/>
  <c r="AI79"/>
  <c r="AH79"/>
  <c r="AI80"/>
  <c r="AH80"/>
  <c r="AI81"/>
  <c r="AH81"/>
  <c r="AI82"/>
  <c r="AH82"/>
  <c r="AI83"/>
  <c r="AH83"/>
  <c r="AI84"/>
  <c r="AH84"/>
  <c r="AI85"/>
  <c r="AH85"/>
  <c r="AI86"/>
  <c r="AH86"/>
  <c r="AI87"/>
  <c r="AH87" s="1"/>
  <c r="AI88"/>
  <c r="AH88"/>
  <c r="AI89"/>
  <c r="AH89"/>
  <c r="AI90"/>
  <c r="AH90" s="1"/>
  <c r="AI91"/>
  <c r="AH91"/>
  <c r="AI92"/>
  <c r="AI94"/>
  <c r="AH94"/>
  <c r="AI95"/>
  <c r="AH95"/>
  <c r="AI96"/>
  <c r="AH96"/>
  <c r="AI98"/>
  <c r="AH98"/>
  <c r="AI99"/>
  <c r="AH99"/>
  <c r="AI101"/>
  <c r="AH101"/>
  <c r="AI103"/>
  <c r="AH103"/>
  <c r="AI107"/>
  <c r="AH107"/>
  <c r="AI116"/>
  <c r="AH116"/>
  <c r="AI119"/>
  <c r="AH119"/>
  <c r="AI120"/>
  <c r="AH120"/>
  <c r="AI121"/>
  <c r="AH121"/>
  <c r="AI122"/>
  <c r="AH122"/>
  <c r="AI123"/>
  <c r="AH123"/>
  <c r="AI124"/>
  <c r="AH124"/>
  <c r="AI125"/>
  <c r="AH125"/>
  <c r="AI127"/>
  <c r="AH127"/>
  <c r="AI128"/>
  <c r="AH128"/>
  <c r="AI130"/>
  <c r="AH130"/>
  <c r="AI132"/>
  <c r="AH132"/>
  <c r="AI133"/>
  <c r="AI134"/>
  <c r="AH134"/>
  <c r="AI136"/>
  <c r="AI137"/>
  <c r="AI138"/>
  <c r="AI139"/>
  <c r="AI140"/>
  <c r="AI141"/>
  <c r="AI142"/>
  <c r="AH142" s="1"/>
  <c r="AI143"/>
  <c r="AI147"/>
  <c r="AH147"/>
  <c r="AI149"/>
  <c r="AH149"/>
  <c r="AI151"/>
  <c r="AH151"/>
  <c r="J8"/>
  <c r="K144"/>
  <c r="K144" i="22" s="1"/>
  <c r="K166" s="1"/>
  <c r="AC8" i="10"/>
  <c r="AH8"/>
  <c r="AH19"/>
  <c r="AC10"/>
  <c r="AH10"/>
  <c r="AC19"/>
  <c r="AD75"/>
  <c r="AB75"/>
  <c r="I37" i="20"/>
  <c r="J37"/>
  <c r="AC5" i="22"/>
  <c r="AB144" i="20"/>
  <c r="AJ21"/>
  <c r="AJ76"/>
  <c r="AK144"/>
  <c r="AK5" i="22"/>
  <c r="AL126"/>
  <c r="AJ27" i="20"/>
  <c r="D36"/>
  <c r="AL36"/>
  <c r="C37"/>
  <c r="F36"/>
  <c r="L36"/>
  <c r="K37"/>
  <c r="AB35"/>
  <c r="AD35"/>
  <c r="AK35"/>
  <c r="G130"/>
  <c r="H37"/>
  <c r="AH35"/>
  <c r="AI27"/>
  <c r="AA36"/>
  <c r="AC36"/>
  <c r="AM36"/>
  <c r="AN36"/>
  <c r="I130"/>
  <c r="AM37"/>
  <c r="AN37"/>
  <c r="AJ5" i="22"/>
  <c r="AD144" i="20"/>
  <c r="AO144"/>
  <c r="AJ144"/>
  <c r="AK126" i="22"/>
  <c r="AD36" i="20"/>
  <c r="AK36"/>
  <c r="AB36"/>
  <c r="AA37"/>
  <c r="AC37"/>
  <c r="F37"/>
  <c r="AL37"/>
  <c r="D37"/>
  <c r="G134"/>
  <c r="H130"/>
  <c r="AI35"/>
  <c r="AH36"/>
  <c r="K130"/>
  <c r="L37"/>
  <c r="AJ35"/>
  <c r="AI5" i="10"/>
  <c r="AJ135" i="19"/>
  <c r="AJ133"/>
  <c r="AJ131"/>
  <c r="AJ118"/>
  <c r="AJ116"/>
  <c r="AJ114"/>
  <c r="AJ19"/>
  <c r="AJ8"/>
  <c r="AO122"/>
  <c r="AO121"/>
  <c r="AM131"/>
  <c r="AN131"/>
  <c r="Y128"/>
  <c r="W128"/>
  <c r="U128"/>
  <c r="S128"/>
  <c r="Q128"/>
  <c r="O128"/>
  <c r="M128"/>
  <c r="K128"/>
  <c r="I128"/>
  <c r="G128"/>
  <c r="E128"/>
  <c r="C128"/>
  <c r="AM127"/>
  <c r="AN127"/>
  <c r="AH127"/>
  <c r="AH128"/>
  <c r="AA127"/>
  <c r="AC127"/>
  <c r="AM126"/>
  <c r="AN126"/>
  <c r="AA126"/>
  <c r="AJ126"/>
  <c r="AA125"/>
  <c r="AJ125"/>
  <c r="AM124"/>
  <c r="AN124"/>
  <c r="AA124"/>
  <c r="AJ124"/>
  <c r="AM123"/>
  <c r="AN123"/>
  <c r="AA123"/>
  <c r="AJ123"/>
  <c r="AM122"/>
  <c r="AN122"/>
  <c r="AA122"/>
  <c r="AJ122"/>
  <c r="AM121"/>
  <c r="AN121"/>
  <c r="AA121"/>
  <c r="AJ121"/>
  <c r="AM120"/>
  <c r="AN120"/>
  <c r="AA120"/>
  <c r="AM118"/>
  <c r="AN118"/>
  <c r="AM117"/>
  <c r="AN117"/>
  <c r="AA117"/>
  <c r="AJ117"/>
  <c r="AM116"/>
  <c r="AN116"/>
  <c r="AM114"/>
  <c r="AN114"/>
  <c r="AH113"/>
  <c r="AC113"/>
  <c r="AM112"/>
  <c r="AN112"/>
  <c r="AA112"/>
  <c r="AJ112"/>
  <c r="AM111"/>
  <c r="AN111"/>
  <c r="AA111"/>
  <c r="AJ111"/>
  <c r="AM109"/>
  <c r="AN109"/>
  <c r="AA109"/>
  <c r="AJ109"/>
  <c r="AM108"/>
  <c r="AN108"/>
  <c r="AA108"/>
  <c r="AJ108"/>
  <c r="AM107"/>
  <c r="AN107"/>
  <c r="AA107"/>
  <c r="AJ107"/>
  <c r="AM106"/>
  <c r="AN106"/>
  <c r="AA106"/>
  <c r="AJ106"/>
  <c r="AM105"/>
  <c r="AN105"/>
  <c r="AA105"/>
  <c r="AJ105"/>
  <c r="AM104"/>
  <c r="AN104"/>
  <c r="AA104"/>
  <c r="AJ104"/>
  <c r="AM103"/>
  <c r="AN103"/>
  <c r="AA103"/>
  <c r="AJ103"/>
  <c r="AM102"/>
  <c r="AN102"/>
  <c r="C102"/>
  <c r="C113"/>
  <c r="AM101"/>
  <c r="AN101"/>
  <c r="AA101"/>
  <c r="AJ101"/>
  <c r="AH100"/>
  <c r="AC100"/>
  <c r="C100"/>
  <c r="AM99"/>
  <c r="AN99"/>
  <c r="AA99"/>
  <c r="AJ99"/>
  <c r="Y98"/>
  <c r="W98"/>
  <c r="S98"/>
  <c r="Q98"/>
  <c r="M98"/>
  <c r="K98"/>
  <c r="I98"/>
  <c r="G98"/>
  <c r="E98"/>
  <c r="U97"/>
  <c r="Q97"/>
  <c r="K97"/>
  <c r="G97"/>
  <c r="E97"/>
  <c r="AM96"/>
  <c r="AN96"/>
  <c r="AA96"/>
  <c r="AJ96"/>
  <c r="Y95"/>
  <c r="W95"/>
  <c r="U95"/>
  <c r="S95"/>
  <c r="Q95"/>
  <c r="O95"/>
  <c r="M95"/>
  <c r="K95"/>
  <c r="I95"/>
  <c r="G95"/>
  <c r="E95"/>
  <c r="AM94"/>
  <c r="AN94"/>
  <c r="AA94"/>
  <c r="AJ94"/>
  <c r="AM93"/>
  <c r="AN93"/>
  <c r="AA93"/>
  <c r="AJ93"/>
  <c r="M92"/>
  <c r="AM92"/>
  <c r="AN92"/>
  <c r="Y91"/>
  <c r="W91"/>
  <c r="U91"/>
  <c r="S91"/>
  <c r="Q91"/>
  <c r="O91"/>
  <c r="M91"/>
  <c r="K91"/>
  <c r="I91"/>
  <c r="G91"/>
  <c r="E91"/>
  <c r="AM90"/>
  <c r="AN90"/>
  <c r="AA90"/>
  <c r="AJ90"/>
  <c r="AM89"/>
  <c r="AN89"/>
  <c r="AA89"/>
  <c r="AJ89"/>
  <c r="AM88"/>
  <c r="AN88"/>
  <c r="AA88"/>
  <c r="AJ88"/>
  <c r="AH87"/>
  <c r="AC87"/>
  <c r="Y87"/>
  <c r="W87"/>
  <c r="U87"/>
  <c r="S87"/>
  <c r="Q87"/>
  <c r="O87"/>
  <c r="M87"/>
  <c r="K87"/>
  <c r="I87"/>
  <c r="G87"/>
  <c r="E87"/>
  <c r="C87"/>
  <c r="AM86"/>
  <c r="AN86"/>
  <c r="AA86"/>
  <c r="AJ86"/>
  <c r="AM85"/>
  <c r="AN85"/>
  <c r="AA85"/>
  <c r="AJ85"/>
  <c r="AM84"/>
  <c r="AN84"/>
  <c r="AA84"/>
  <c r="AJ84"/>
  <c r="AM83"/>
  <c r="AN83"/>
  <c r="AA83"/>
  <c r="AJ83"/>
  <c r="AM82"/>
  <c r="AN82"/>
  <c r="AA82"/>
  <c r="AJ82"/>
  <c r="AM81"/>
  <c r="AN81"/>
  <c r="AA81"/>
  <c r="AJ81"/>
  <c r="AM80"/>
  <c r="AN80"/>
  <c r="AA80"/>
  <c r="AJ80"/>
  <c r="AM79"/>
  <c r="AN79"/>
  <c r="AA79"/>
  <c r="AJ79"/>
  <c r="AM78"/>
  <c r="AN78"/>
  <c r="AA78"/>
  <c r="AJ78"/>
  <c r="AM77"/>
  <c r="AN77"/>
  <c r="AA77"/>
  <c r="AJ77"/>
  <c r="AM76"/>
  <c r="AN76"/>
  <c r="AA76"/>
  <c r="AJ76"/>
  <c r="AM75"/>
  <c r="AN75"/>
  <c r="AA75"/>
  <c r="AJ75"/>
  <c r="AM74"/>
  <c r="AN74"/>
  <c r="AA74"/>
  <c r="AJ74"/>
  <c r="AM73"/>
  <c r="AN73"/>
  <c r="AA73"/>
  <c r="AJ73"/>
  <c r="AM72"/>
  <c r="AN72"/>
  <c r="AA72"/>
  <c r="AJ72"/>
  <c r="AM71"/>
  <c r="AN71"/>
  <c r="AA71"/>
  <c r="AH70"/>
  <c r="AH129"/>
  <c r="AC70"/>
  <c r="Y70"/>
  <c r="W70"/>
  <c r="U70"/>
  <c r="S70"/>
  <c r="Q70"/>
  <c r="O70"/>
  <c r="M70"/>
  <c r="K70"/>
  <c r="I70"/>
  <c r="G70"/>
  <c r="E70"/>
  <c r="C70"/>
  <c r="AM69"/>
  <c r="AN69"/>
  <c r="AA69"/>
  <c r="AJ69"/>
  <c r="AM68"/>
  <c r="AN68"/>
  <c r="AA68"/>
  <c r="AJ68"/>
  <c r="AM67"/>
  <c r="AN67"/>
  <c r="AA67"/>
  <c r="AJ67"/>
  <c r="AM66"/>
  <c r="AN66"/>
  <c r="AA66"/>
  <c r="AJ66"/>
  <c r="AM65"/>
  <c r="AN65"/>
  <c r="AA65"/>
  <c r="AJ65"/>
  <c r="AM64"/>
  <c r="AN64"/>
  <c r="AA64"/>
  <c r="AJ64"/>
  <c r="AM63"/>
  <c r="AN63"/>
  <c r="AA63"/>
  <c r="AJ63"/>
  <c r="AM62"/>
  <c r="AN62"/>
  <c r="AA62"/>
  <c r="AJ62"/>
  <c r="AM61"/>
  <c r="AN61"/>
  <c r="AA61"/>
  <c r="AJ61"/>
  <c r="AM60"/>
  <c r="AN60"/>
  <c r="AA60"/>
  <c r="AJ60"/>
  <c r="AM59"/>
  <c r="AN59"/>
  <c r="AA59"/>
  <c r="AJ59"/>
  <c r="J59"/>
  <c r="AM58"/>
  <c r="AN58"/>
  <c r="AA58"/>
  <c r="AJ58"/>
  <c r="AM57"/>
  <c r="AN57"/>
  <c r="AA57"/>
  <c r="AJ57"/>
  <c r="AM56"/>
  <c r="AN56"/>
  <c r="AA56"/>
  <c r="AJ56"/>
  <c r="AM55"/>
  <c r="AN55"/>
  <c r="AA55"/>
  <c r="AJ55"/>
  <c r="AM54"/>
  <c r="AN54"/>
  <c r="AA54"/>
  <c r="AJ54"/>
  <c r="AM53"/>
  <c r="AN53"/>
  <c r="AA53"/>
  <c r="AJ53"/>
  <c r="AM52"/>
  <c r="AN52"/>
  <c r="AA52"/>
  <c r="AJ52"/>
  <c r="AM51"/>
  <c r="AN51"/>
  <c r="AA51"/>
  <c r="AJ51"/>
  <c r="AM50"/>
  <c r="AN50"/>
  <c r="AA50"/>
  <c r="AJ50"/>
  <c r="AM49"/>
  <c r="AN49"/>
  <c r="AA49"/>
  <c r="AJ49"/>
  <c r="AM48"/>
  <c r="AN48"/>
  <c r="AA48"/>
  <c r="AJ48"/>
  <c r="AM47"/>
  <c r="AN47"/>
  <c r="AA47"/>
  <c r="AJ47"/>
  <c r="AM46"/>
  <c r="AN46"/>
  <c r="AA46"/>
  <c r="AJ46"/>
  <c r="AM45"/>
  <c r="AN45"/>
  <c r="AA45"/>
  <c r="AJ45"/>
  <c r="AM44"/>
  <c r="AN44"/>
  <c r="AA44"/>
  <c r="AJ44"/>
  <c r="AM43"/>
  <c r="AN43"/>
  <c r="AA43"/>
  <c r="AJ43"/>
  <c r="AM42"/>
  <c r="AN42"/>
  <c r="AA42"/>
  <c r="AJ42"/>
  <c r="Y41"/>
  <c r="W41"/>
  <c r="U41"/>
  <c r="S41"/>
  <c r="Q41"/>
  <c r="O41"/>
  <c r="M41"/>
  <c r="K41"/>
  <c r="I41"/>
  <c r="G41"/>
  <c r="E41"/>
  <c r="C41"/>
  <c r="AM40"/>
  <c r="AN40"/>
  <c r="AA40"/>
  <c r="AJ40"/>
  <c r="AM39"/>
  <c r="AN39"/>
  <c r="AA39"/>
  <c r="AJ39"/>
  <c r="AM38"/>
  <c r="AN38"/>
  <c r="AA38"/>
  <c r="C35"/>
  <c r="AM34"/>
  <c r="AN34"/>
  <c r="AA34"/>
  <c r="AJ34"/>
  <c r="AM33"/>
  <c r="AN33"/>
  <c r="AA33"/>
  <c r="AJ33"/>
  <c r="AM32"/>
  <c r="AN32"/>
  <c r="AA32"/>
  <c r="AJ32"/>
  <c r="AM31"/>
  <c r="AN31"/>
  <c r="AA31"/>
  <c r="AJ31"/>
  <c r="AM30"/>
  <c r="AN30"/>
  <c r="AA30"/>
  <c r="AJ30"/>
  <c r="AM29"/>
  <c r="AN29"/>
  <c r="AA29"/>
  <c r="AJ29"/>
  <c r="AM28"/>
  <c r="AN28"/>
  <c r="AA28"/>
  <c r="AJ28"/>
  <c r="AM26"/>
  <c r="AN26"/>
  <c r="AA26"/>
  <c r="AJ26"/>
  <c r="AM25"/>
  <c r="AN25"/>
  <c r="AA25"/>
  <c r="AJ25"/>
  <c r="AM24"/>
  <c r="AN24"/>
  <c r="AA24"/>
  <c r="AJ24"/>
  <c r="AM23"/>
  <c r="AN23"/>
  <c r="AA23"/>
  <c r="AJ23"/>
  <c r="AM22"/>
  <c r="AN22"/>
  <c r="AA22"/>
  <c r="AJ22"/>
  <c r="C21"/>
  <c r="C36"/>
  <c r="AM20"/>
  <c r="AN20"/>
  <c r="AA20"/>
  <c r="AJ20"/>
  <c r="AM19"/>
  <c r="AN19"/>
  <c r="AM18"/>
  <c r="AN18"/>
  <c r="AA18"/>
  <c r="AJ18"/>
  <c r="Y15"/>
  <c r="W15"/>
  <c r="U15"/>
  <c r="S15"/>
  <c r="Q15"/>
  <c r="O15"/>
  <c r="M15"/>
  <c r="K15"/>
  <c r="I15"/>
  <c r="G15"/>
  <c r="E15"/>
  <c r="C15"/>
  <c r="AM14"/>
  <c r="AN14"/>
  <c r="AA14"/>
  <c r="AJ14"/>
  <c r="AM13"/>
  <c r="AN13"/>
  <c r="AA13"/>
  <c r="C12"/>
  <c r="D32"/>
  <c r="AM11"/>
  <c r="AN11"/>
  <c r="AA11"/>
  <c r="AJ11"/>
  <c r="J11"/>
  <c r="D11"/>
  <c r="J10"/>
  <c r="D10"/>
  <c r="D9"/>
  <c r="AM8"/>
  <c r="AN8"/>
  <c r="J8"/>
  <c r="D8"/>
  <c r="AM7"/>
  <c r="AN7"/>
  <c r="AA7"/>
  <c r="AJ7"/>
  <c r="J7"/>
  <c r="D7"/>
  <c r="AM6"/>
  <c r="AN6"/>
  <c r="AA6"/>
  <c r="AJ6"/>
  <c r="J6"/>
  <c r="D6"/>
  <c r="AH5"/>
  <c r="AI59"/>
  <c r="AC5"/>
  <c r="AD59"/>
  <c r="Y5"/>
  <c r="W5"/>
  <c r="W9"/>
  <c r="X9"/>
  <c r="U5"/>
  <c r="S5"/>
  <c r="S9"/>
  <c r="T9"/>
  <c r="Q5"/>
  <c r="O5"/>
  <c r="O10"/>
  <c r="M5"/>
  <c r="K5"/>
  <c r="L10"/>
  <c r="I5"/>
  <c r="I110"/>
  <c r="G5"/>
  <c r="H10"/>
  <c r="E5"/>
  <c r="E110"/>
  <c r="AA5" i="10"/>
  <c r="AA6"/>
  <c r="AA7"/>
  <c r="AA11"/>
  <c r="AA13"/>
  <c r="AA14"/>
  <c r="AA18"/>
  <c r="AA20"/>
  <c r="AA22"/>
  <c r="AA23"/>
  <c r="AA24"/>
  <c r="AA25"/>
  <c r="AA26"/>
  <c r="AA28"/>
  <c r="AA29"/>
  <c r="AA30"/>
  <c r="AA31"/>
  <c r="AA32"/>
  <c r="AA33"/>
  <c r="AA34"/>
  <c r="AA38"/>
  <c r="AA39"/>
  <c r="AA40"/>
  <c r="AA42"/>
  <c r="AC43"/>
  <c r="AA44"/>
  <c r="AC45"/>
  <c r="AA47"/>
  <c r="AA48"/>
  <c r="AA49"/>
  <c r="AA50"/>
  <c r="AA51"/>
  <c r="AA52"/>
  <c r="AA53"/>
  <c r="AA55"/>
  <c r="AA56"/>
  <c r="AC57"/>
  <c r="AA58"/>
  <c r="AC59"/>
  <c r="AA60"/>
  <c r="AA61"/>
  <c r="AC62"/>
  <c r="AA63"/>
  <c r="AA64"/>
  <c r="AA66"/>
  <c r="AA67"/>
  <c r="AC68"/>
  <c r="AA69"/>
  <c r="AC78"/>
  <c r="AC79"/>
  <c r="AC83"/>
  <c r="AC84"/>
  <c r="AC85"/>
  <c r="AC86"/>
  <c r="AC87"/>
  <c r="AC88"/>
  <c r="AC90"/>
  <c r="AC91"/>
  <c r="AA92"/>
  <c r="AC120"/>
  <c r="AC121"/>
  <c r="AC122"/>
  <c r="AC127"/>
  <c r="AC128"/>
  <c r="AA133"/>
  <c r="AA136"/>
  <c r="AA137"/>
  <c r="AA138"/>
  <c r="AA139"/>
  <c r="AA140"/>
  <c r="AA141"/>
  <c r="AC142"/>
  <c r="AA143"/>
  <c r="U162"/>
  <c r="AH141"/>
  <c r="AH137"/>
  <c r="AH92"/>
  <c r="AH63"/>
  <c r="AC55"/>
  <c r="AH55"/>
  <c r="AC50"/>
  <c r="AH50"/>
  <c r="AC40"/>
  <c r="AH40"/>
  <c r="AH33"/>
  <c r="AH29"/>
  <c r="AH24"/>
  <c r="AH18"/>
  <c r="AC7"/>
  <c r="AH7"/>
  <c r="AH136"/>
  <c r="AC164"/>
  <c r="AC138"/>
  <c r="AH138"/>
  <c r="AH69"/>
  <c r="AH64"/>
  <c r="AH60"/>
  <c r="AC56"/>
  <c r="AH56"/>
  <c r="AC51"/>
  <c r="AH51"/>
  <c r="AC47"/>
  <c r="AH47"/>
  <c r="AH42"/>
  <c r="AH34"/>
  <c r="AH30"/>
  <c r="AC25"/>
  <c r="AH25"/>
  <c r="AH20"/>
  <c r="AH11"/>
  <c r="AH143"/>
  <c r="AH139"/>
  <c r="AH133"/>
  <c r="AC66"/>
  <c r="AH66"/>
  <c r="AH61"/>
  <c r="AC52"/>
  <c r="AH52"/>
  <c r="AH48"/>
  <c r="AH38"/>
  <c r="AH31"/>
  <c r="AH26"/>
  <c r="AH22"/>
  <c r="AH13"/>
  <c r="AH5"/>
  <c r="AH140"/>
  <c r="AH67"/>
  <c r="AH58"/>
  <c r="AC53"/>
  <c r="AH53"/>
  <c r="AH49"/>
  <c r="AH44"/>
  <c r="AH39"/>
  <c r="AH32"/>
  <c r="AH28"/>
  <c r="AH23"/>
  <c r="AB70"/>
  <c r="AH14"/>
  <c r="AH6"/>
  <c r="AB69"/>
  <c r="AC69"/>
  <c r="I134" i="20"/>
  <c r="AC5" i="10"/>
  <c r="AQ5"/>
  <c r="AC42"/>
  <c r="AN65"/>
  <c r="AO65"/>
  <c r="AC77"/>
  <c r="AL81"/>
  <c r="AN81"/>
  <c r="AN82"/>
  <c r="AK82"/>
  <c r="J130" i="20"/>
  <c r="AJ126" i="22"/>
  <c r="AI36" i="20"/>
  <c r="AH37"/>
  <c r="F130"/>
  <c r="H134"/>
  <c r="G145"/>
  <c r="I145"/>
  <c r="J134"/>
  <c r="AA130"/>
  <c r="AC130"/>
  <c r="AK37"/>
  <c r="AD37"/>
  <c r="AB37"/>
  <c r="K134"/>
  <c r="L130"/>
  <c r="AL130"/>
  <c r="D130"/>
  <c r="AJ36"/>
  <c r="AM130"/>
  <c r="AN130"/>
  <c r="AC140" i="10"/>
  <c r="AC136"/>
  <c r="AC33"/>
  <c r="AC29"/>
  <c r="AC24"/>
  <c r="AC18"/>
  <c r="AA41" i="19"/>
  <c r="AJ41"/>
  <c r="AA87"/>
  <c r="AJ87"/>
  <c r="AM97"/>
  <c r="AN97"/>
  <c r="AJ127"/>
  <c r="AC141" i="10"/>
  <c r="AC34"/>
  <c r="AC30"/>
  <c r="AC20"/>
  <c r="AC11"/>
  <c r="AJ71" i="19"/>
  <c r="AC38" i="10"/>
  <c r="AC31"/>
  <c r="AC26"/>
  <c r="AC22"/>
  <c r="AC13"/>
  <c r="AC143"/>
  <c r="AC139"/>
  <c r="AC133"/>
  <c r="AC39"/>
  <c r="AC32"/>
  <c r="AC28"/>
  <c r="AC23"/>
  <c r="AC14"/>
  <c r="AC6"/>
  <c r="AC137"/>
  <c r="AC125"/>
  <c r="AC116"/>
  <c r="AC123"/>
  <c r="AC119"/>
  <c r="AC124"/>
  <c r="AC92"/>
  <c r="AC89"/>
  <c r="AC82"/>
  <c r="AC80"/>
  <c r="AC81"/>
  <c r="AC64"/>
  <c r="AC60"/>
  <c r="AC48"/>
  <c r="AC44"/>
  <c r="AC61"/>
  <c r="AC49"/>
  <c r="AC58"/>
  <c r="AC54"/>
  <c r="AC67"/>
  <c r="AC63"/>
  <c r="AA15"/>
  <c r="AA41"/>
  <c r="AA15" i="19"/>
  <c r="AJ15"/>
  <c r="AM87"/>
  <c r="AN87"/>
  <c r="AA97"/>
  <c r="AJ97"/>
  <c r="AM128"/>
  <c r="AN128"/>
  <c r="AJ38"/>
  <c r="C129"/>
  <c r="AA70"/>
  <c r="AJ70"/>
  <c r="AA128"/>
  <c r="AJ13"/>
  <c r="AA164" i="10"/>
  <c r="AM15" i="19"/>
  <c r="AN15"/>
  <c r="AJ120"/>
  <c r="AA150" i="10"/>
  <c r="AI150"/>
  <c r="AA144"/>
  <c r="AC144" s="1"/>
  <c r="AA93"/>
  <c r="AA10" i="19"/>
  <c r="P10"/>
  <c r="E113"/>
  <c r="I113"/>
  <c r="M110"/>
  <c r="N59"/>
  <c r="Q110"/>
  <c r="R59"/>
  <c r="U110"/>
  <c r="V59"/>
  <c r="Y110"/>
  <c r="Z59"/>
  <c r="AM5"/>
  <c r="AN5"/>
  <c r="H6"/>
  <c r="L6"/>
  <c r="P6"/>
  <c r="T6"/>
  <c r="X6"/>
  <c r="AD6"/>
  <c r="H7"/>
  <c r="L7"/>
  <c r="P7"/>
  <c r="T7"/>
  <c r="X7"/>
  <c r="AD7"/>
  <c r="H8"/>
  <c r="L8"/>
  <c r="P8"/>
  <c r="T8"/>
  <c r="X8"/>
  <c r="AI8"/>
  <c r="E9"/>
  <c r="G9"/>
  <c r="I9"/>
  <c r="J9"/>
  <c r="K9"/>
  <c r="L9"/>
  <c r="M9"/>
  <c r="N9"/>
  <c r="O9"/>
  <c r="P9"/>
  <c r="Q9"/>
  <c r="R9"/>
  <c r="U9"/>
  <c r="V9"/>
  <c r="Y9"/>
  <c r="Z9"/>
  <c r="AC9"/>
  <c r="AD9"/>
  <c r="AH9"/>
  <c r="AI9"/>
  <c r="R10"/>
  <c r="V10"/>
  <c r="Z10"/>
  <c r="F11"/>
  <c r="N11"/>
  <c r="R11"/>
  <c r="V11"/>
  <c r="Z11"/>
  <c r="AI11"/>
  <c r="E12"/>
  <c r="F41"/>
  <c r="D21"/>
  <c r="D28"/>
  <c r="D30"/>
  <c r="D35"/>
  <c r="D70"/>
  <c r="G110"/>
  <c r="H59"/>
  <c r="K110"/>
  <c r="L59"/>
  <c r="O110"/>
  <c r="P59"/>
  <c r="S110"/>
  <c r="T59"/>
  <c r="W110"/>
  <c r="X59"/>
  <c r="D134"/>
  <c r="D132"/>
  <c r="D127"/>
  <c r="D126"/>
  <c r="D125"/>
  <c r="D124"/>
  <c r="D123"/>
  <c r="D122"/>
  <c r="D121"/>
  <c r="D120"/>
  <c r="D110"/>
  <c r="D109"/>
  <c r="D106"/>
  <c r="D105"/>
  <c r="D104"/>
  <c r="D128"/>
  <c r="D112"/>
  <c r="D111"/>
  <c r="D103"/>
  <c r="D102"/>
  <c r="D98"/>
  <c r="D95"/>
  <c r="D94"/>
  <c r="D93"/>
  <c r="D91"/>
  <c r="D90"/>
  <c r="D89"/>
  <c r="D88"/>
  <c r="D86"/>
  <c r="D85"/>
  <c r="D84"/>
  <c r="D83"/>
  <c r="D101"/>
  <c r="D99"/>
  <c r="D97"/>
  <c r="D96"/>
  <c r="D92"/>
  <c r="D81"/>
  <c r="D79"/>
  <c r="D77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0"/>
  <c r="D39"/>
  <c r="D38"/>
  <c r="D34"/>
  <c r="D82"/>
  <c r="D80"/>
  <c r="D78"/>
  <c r="D76"/>
  <c r="D75"/>
  <c r="D74"/>
  <c r="D73"/>
  <c r="D72"/>
  <c r="D71"/>
  <c r="D27"/>
  <c r="D26"/>
  <c r="D25"/>
  <c r="AA5"/>
  <c r="F6"/>
  <c r="N6"/>
  <c r="R6"/>
  <c r="V6"/>
  <c r="Z6"/>
  <c r="AI6"/>
  <c r="F7"/>
  <c r="N7"/>
  <c r="R7"/>
  <c r="V7"/>
  <c r="Z7"/>
  <c r="AI7"/>
  <c r="F8"/>
  <c r="N8"/>
  <c r="R8"/>
  <c r="V8"/>
  <c r="Z8"/>
  <c r="AD8"/>
  <c r="F10"/>
  <c r="N10"/>
  <c r="T10"/>
  <c r="X10"/>
  <c r="AC10"/>
  <c r="AD10"/>
  <c r="AH10"/>
  <c r="AI10"/>
  <c r="H11"/>
  <c r="L11"/>
  <c r="P11"/>
  <c r="T11"/>
  <c r="X11"/>
  <c r="AD11"/>
  <c r="G12"/>
  <c r="H91"/>
  <c r="O12"/>
  <c r="P134"/>
  <c r="S12"/>
  <c r="T70"/>
  <c r="W12"/>
  <c r="X91"/>
  <c r="C16"/>
  <c r="D17"/>
  <c r="D19"/>
  <c r="D36"/>
  <c r="D22"/>
  <c r="D23"/>
  <c r="D24"/>
  <c r="D29"/>
  <c r="D31"/>
  <c r="D33"/>
  <c r="F70"/>
  <c r="D41"/>
  <c r="AM70"/>
  <c r="AN70"/>
  <c r="D87"/>
  <c r="X95"/>
  <c r="D100"/>
  <c r="D129"/>
  <c r="AM41"/>
  <c r="AN41"/>
  <c r="F98"/>
  <c r="AC128"/>
  <c r="H87"/>
  <c r="AA91"/>
  <c r="AJ91"/>
  <c r="AM91"/>
  <c r="AN91"/>
  <c r="AA95"/>
  <c r="AJ95"/>
  <c r="AM95"/>
  <c r="AN95"/>
  <c r="AA98"/>
  <c r="AJ98"/>
  <c r="AM98"/>
  <c r="AN98"/>
  <c r="E100"/>
  <c r="G100"/>
  <c r="I100"/>
  <c r="K100"/>
  <c r="M100"/>
  <c r="O100"/>
  <c r="Q100"/>
  <c r="S100"/>
  <c r="U100"/>
  <c r="W100"/>
  <c r="X100"/>
  <c r="Y100"/>
  <c r="D113"/>
  <c r="AA92"/>
  <c r="AJ92"/>
  <c r="AA102"/>
  <c r="AJ102"/>
  <c r="P132"/>
  <c r="X132"/>
  <c r="H134"/>
  <c r="AA132"/>
  <c r="AA134"/>
  <c r="AB71" i="10"/>
  <c r="AC150"/>
  <c r="AH150"/>
  <c r="AC93"/>
  <c r="AC41"/>
  <c r="AD69"/>
  <c r="AD70"/>
  <c r="AJ121" i="22"/>
  <c r="AL121"/>
  <c r="AK121"/>
  <c r="AM121"/>
  <c r="AN121"/>
  <c r="AM116"/>
  <c r="AN116"/>
  <c r="AL116"/>
  <c r="P91" i="19"/>
  <c r="F134"/>
  <c r="F91"/>
  <c r="F95"/>
  <c r="F132"/>
  <c r="F100"/>
  <c r="AJ128"/>
  <c r="F87"/>
  <c r="X134"/>
  <c r="H132"/>
  <c r="X98"/>
  <c r="X41"/>
  <c r="H98"/>
  <c r="AM134" i="20"/>
  <c r="AN134"/>
  <c r="P41" i="19"/>
  <c r="H95"/>
  <c r="H41"/>
  <c r="Q12"/>
  <c r="R134"/>
  <c r="AL134" i="20"/>
  <c r="D134"/>
  <c r="AA134"/>
  <c r="AC134"/>
  <c r="AD130"/>
  <c r="AK130"/>
  <c r="AB130"/>
  <c r="AH130"/>
  <c r="AI37"/>
  <c r="AJ37"/>
  <c r="L134"/>
  <c r="K145"/>
  <c r="G151"/>
  <c r="H145"/>
  <c r="I151"/>
  <c r="J145"/>
  <c r="F134"/>
  <c r="Y12" i="19"/>
  <c r="Z100"/>
  <c r="M12"/>
  <c r="N100"/>
  <c r="AC15" i="10"/>
  <c r="P87" i="19"/>
  <c r="T41"/>
  <c r="R95"/>
  <c r="P95"/>
  <c r="T91"/>
  <c r="T87"/>
  <c r="R70"/>
  <c r="AB6"/>
  <c r="AJ5"/>
  <c r="T132"/>
  <c r="P100"/>
  <c r="T134"/>
  <c r="R100"/>
  <c r="T95"/>
  <c r="AH12"/>
  <c r="K12"/>
  <c r="L100"/>
  <c r="I12"/>
  <c r="AJ10"/>
  <c r="T100"/>
  <c r="AA162" i="10"/>
  <c r="AC132" i="19"/>
  <c r="AJ132"/>
  <c r="C37"/>
  <c r="D16"/>
  <c r="X127"/>
  <c r="X126"/>
  <c r="X125"/>
  <c r="X124"/>
  <c r="X123"/>
  <c r="X122"/>
  <c r="X121"/>
  <c r="X120"/>
  <c r="X109"/>
  <c r="X106"/>
  <c r="X105"/>
  <c r="X104"/>
  <c r="X128"/>
  <c r="X112"/>
  <c r="X111"/>
  <c r="X103"/>
  <c r="X102"/>
  <c r="X97"/>
  <c r="X94"/>
  <c r="X93"/>
  <c r="X92"/>
  <c r="X90"/>
  <c r="X89"/>
  <c r="X88"/>
  <c r="X86"/>
  <c r="X85"/>
  <c r="X84"/>
  <c r="X83"/>
  <c r="X82"/>
  <c r="X101"/>
  <c r="X99"/>
  <c r="X96"/>
  <c r="X87"/>
  <c r="X80"/>
  <c r="X78"/>
  <c r="X68"/>
  <c r="X67"/>
  <c r="X66"/>
  <c r="X65"/>
  <c r="X64"/>
  <c r="X63"/>
  <c r="X62"/>
  <c r="X61"/>
  <c r="X60"/>
  <c r="X58"/>
  <c r="X57"/>
  <c r="X56"/>
  <c r="X55"/>
  <c r="X54"/>
  <c r="X53"/>
  <c r="X52"/>
  <c r="X51"/>
  <c r="X50"/>
  <c r="X49"/>
  <c r="X48"/>
  <c r="X47"/>
  <c r="X46"/>
  <c r="X45"/>
  <c r="X44"/>
  <c r="X43"/>
  <c r="X42"/>
  <c r="X40"/>
  <c r="X39"/>
  <c r="X38"/>
  <c r="X34"/>
  <c r="X81"/>
  <c r="X79"/>
  <c r="X77"/>
  <c r="X76"/>
  <c r="X75"/>
  <c r="X74"/>
  <c r="X73"/>
  <c r="X72"/>
  <c r="X71"/>
  <c r="X26"/>
  <c r="X25"/>
  <c r="X24"/>
  <c r="X32"/>
  <c r="X30"/>
  <c r="X28"/>
  <c r="X23"/>
  <c r="X22"/>
  <c r="X19"/>
  <c r="W16"/>
  <c r="X33"/>
  <c r="X31"/>
  <c r="X29"/>
  <c r="W27"/>
  <c r="W17"/>
  <c r="P127"/>
  <c r="P126"/>
  <c r="P125"/>
  <c r="P124"/>
  <c r="P123"/>
  <c r="P122"/>
  <c r="P121"/>
  <c r="P120"/>
  <c r="P109"/>
  <c r="P106"/>
  <c r="P105"/>
  <c r="P104"/>
  <c r="P128"/>
  <c r="P112"/>
  <c r="P111"/>
  <c r="P103"/>
  <c r="P102"/>
  <c r="P97"/>
  <c r="P94"/>
  <c r="P93"/>
  <c r="P92"/>
  <c r="P90"/>
  <c r="P89"/>
  <c r="P88"/>
  <c r="P86"/>
  <c r="P85"/>
  <c r="P84"/>
  <c r="P83"/>
  <c r="P82"/>
  <c r="P101"/>
  <c r="P99"/>
  <c r="P98"/>
  <c r="P96"/>
  <c r="P80"/>
  <c r="P78"/>
  <c r="P68"/>
  <c r="P67"/>
  <c r="P66"/>
  <c r="P65"/>
  <c r="P64"/>
  <c r="P63"/>
  <c r="P62"/>
  <c r="P61"/>
  <c r="P60"/>
  <c r="P58"/>
  <c r="P57"/>
  <c r="P56"/>
  <c r="P55"/>
  <c r="P54"/>
  <c r="P53"/>
  <c r="P52"/>
  <c r="P51"/>
  <c r="P50"/>
  <c r="P49"/>
  <c r="P48"/>
  <c r="P47"/>
  <c r="P46"/>
  <c r="P45"/>
  <c r="P44"/>
  <c r="P43"/>
  <c r="P42"/>
  <c r="P40"/>
  <c r="P39"/>
  <c r="P38"/>
  <c r="P34"/>
  <c r="P81"/>
  <c r="P79"/>
  <c r="P77"/>
  <c r="P76"/>
  <c r="P75"/>
  <c r="P74"/>
  <c r="P73"/>
  <c r="P72"/>
  <c r="P71"/>
  <c r="P26"/>
  <c r="P25"/>
  <c r="P24"/>
  <c r="P32"/>
  <c r="P30"/>
  <c r="P28"/>
  <c r="P23"/>
  <c r="P22"/>
  <c r="P19"/>
  <c r="O16"/>
  <c r="P33"/>
  <c r="P31"/>
  <c r="P29"/>
  <c r="O17"/>
  <c r="H127"/>
  <c r="H126"/>
  <c r="H125"/>
  <c r="H124"/>
  <c r="H123"/>
  <c r="H122"/>
  <c r="H121"/>
  <c r="H120"/>
  <c r="H109"/>
  <c r="H106"/>
  <c r="H105"/>
  <c r="H104"/>
  <c r="H128"/>
  <c r="H112"/>
  <c r="H111"/>
  <c r="H103"/>
  <c r="H102"/>
  <c r="H94"/>
  <c r="H93"/>
  <c r="H90"/>
  <c r="H89"/>
  <c r="H88"/>
  <c r="H86"/>
  <c r="H85"/>
  <c r="H84"/>
  <c r="H83"/>
  <c r="H101"/>
  <c r="H99"/>
  <c r="H97"/>
  <c r="H96"/>
  <c r="H92"/>
  <c r="H82"/>
  <c r="H80"/>
  <c r="H78"/>
  <c r="H68"/>
  <c r="H67"/>
  <c r="H66"/>
  <c r="H65"/>
  <c r="H64"/>
  <c r="H63"/>
  <c r="H62"/>
  <c r="H61"/>
  <c r="H60"/>
  <c r="H58"/>
  <c r="H57"/>
  <c r="H56"/>
  <c r="H55"/>
  <c r="H54"/>
  <c r="H53"/>
  <c r="H52"/>
  <c r="H51"/>
  <c r="H50"/>
  <c r="H49"/>
  <c r="H48"/>
  <c r="H47"/>
  <c r="H46"/>
  <c r="H45"/>
  <c r="H44"/>
  <c r="H43"/>
  <c r="H42"/>
  <c r="H40"/>
  <c r="H39"/>
  <c r="H38"/>
  <c r="H34"/>
  <c r="H81"/>
  <c r="H79"/>
  <c r="H77"/>
  <c r="H76"/>
  <c r="H75"/>
  <c r="H74"/>
  <c r="H73"/>
  <c r="H72"/>
  <c r="H71"/>
  <c r="H26"/>
  <c r="H25"/>
  <c r="H24"/>
  <c r="H32"/>
  <c r="H30"/>
  <c r="H28"/>
  <c r="H23"/>
  <c r="H22"/>
  <c r="H19"/>
  <c r="G16"/>
  <c r="H33"/>
  <c r="H31"/>
  <c r="H29"/>
  <c r="G17"/>
  <c r="X110"/>
  <c r="W113"/>
  <c r="X113"/>
  <c r="T110"/>
  <c r="S113"/>
  <c r="T113"/>
  <c r="P110"/>
  <c r="O113"/>
  <c r="P113"/>
  <c r="K113"/>
  <c r="H110"/>
  <c r="G113"/>
  <c r="AM110"/>
  <c r="AN110"/>
  <c r="Z112"/>
  <c r="Z111"/>
  <c r="Z128"/>
  <c r="Z127"/>
  <c r="Z126"/>
  <c r="Z125"/>
  <c r="Z124"/>
  <c r="Z123"/>
  <c r="Z122"/>
  <c r="Z121"/>
  <c r="Z120"/>
  <c r="Z109"/>
  <c r="Z106"/>
  <c r="Z104"/>
  <c r="Z101"/>
  <c r="Z99"/>
  <c r="Z96"/>
  <c r="Z105"/>
  <c r="Z103"/>
  <c r="Z102"/>
  <c r="Z97"/>
  <c r="Z94"/>
  <c r="Z93"/>
  <c r="Z92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68"/>
  <c r="Z67"/>
  <c r="Z66"/>
  <c r="Z65"/>
  <c r="Z64"/>
  <c r="Z63"/>
  <c r="Z62"/>
  <c r="Z61"/>
  <c r="Z60"/>
  <c r="Z58"/>
  <c r="Z57"/>
  <c r="Z56"/>
  <c r="Z55"/>
  <c r="Z54"/>
  <c r="Z53"/>
  <c r="Z52"/>
  <c r="Z51"/>
  <c r="Z50"/>
  <c r="Z49"/>
  <c r="Z48"/>
  <c r="Z47"/>
  <c r="Z46"/>
  <c r="Z45"/>
  <c r="Z44"/>
  <c r="Z43"/>
  <c r="Z42"/>
  <c r="Z40"/>
  <c r="Z39"/>
  <c r="Z38"/>
  <c r="Z34"/>
  <c r="Z33"/>
  <c r="Z32"/>
  <c r="Z31"/>
  <c r="Z30"/>
  <c r="Z29"/>
  <c r="Z28"/>
  <c r="Y27"/>
  <c r="Z26"/>
  <c r="Z24"/>
  <c r="Y16"/>
  <c r="Z25"/>
  <c r="Z23"/>
  <c r="Z22"/>
  <c r="Z19"/>
  <c r="Y17"/>
  <c r="R112"/>
  <c r="R111"/>
  <c r="R128"/>
  <c r="R127"/>
  <c r="R126"/>
  <c r="R125"/>
  <c r="R124"/>
  <c r="R123"/>
  <c r="R122"/>
  <c r="R121"/>
  <c r="R120"/>
  <c r="R109"/>
  <c r="R106"/>
  <c r="R104"/>
  <c r="R101"/>
  <c r="R99"/>
  <c r="R96"/>
  <c r="R105"/>
  <c r="R103"/>
  <c r="R102"/>
  <c r="R98"/>
  <c r="R94"/>
  <c r="R93"/>
  <c r="R92"/>
  <c r="R90"/>
  <c r="R89"/>
  <c r="R88"/>
  <c r="R86"/>
  <c r="R85"/>
  <c r="R84"/>
  <c r="R83"/>
  <c r="R82"/>
  <c r="R81"/>
  <c r="R80"/>
  <c r="R79"/>
  <c r="R78"/>
  <c r="R77"/>
  <c r="R76"/>
  <c r="R75"/>
  <c r="R74"/>
  <c r="R73"/>
  <c r="R72"/>
  <c r="R71"/>
  <c r="R68"/>
  <c r="R67"/>
  <c r="R66"/>
  <c r="R65"/>
  <c r="R64"/>
  <c r="R63"/>
  <c r="R62"/>
  <c r="R61"/>
  <c r="R60"/>
  <c r="R58"/>
  <c r="R57"/>
  <c r="R56"/>
  <c r="R55"/>
  <c r="R54"/>
  <c r="R53"/>
  <c r="R52"/>
  <c r="R51"/>
  <c r="R50"/>
  <c r="R49"/>
  <c r="R48"/>
  <c r="R47"/>
  <c r="R46"/>
  <c r="R45"/>
  <c r="R44"/>
  <c r="R43"/>
  <c r="R42"/>
  <c r="R40"/>
  <c r="R39"/>
  <c r="R38"/>
  <c r="R34"/>
  <c r="R33"/>
  <c r="R32"/>
  <c r="R31"/>
  <c r="R30"/>
  <c r="R29"/>
  <c r="R28"/>
  <c r="R26"/>
  <c r="R24"/>
  <c r="Q16"/>
  <c r="R25"/>
  <c r="R23"/>
  <c r="R22"/>
  <c r="R19"/>
  <c r="Q17"/>
  <c r="J112"/>
  <c r="J111"/>
  <c r="J128"/>
  <c r="J127"/>
  <c r="J126"/>
  <c r="J125"/>
  <c r="J124"/>
  <c r="J123"/>
  <c r="J122"/>
  <c r="J121"/>
  <c r="J120"/>
  <c r="J109"/>
  <c r="J106"/>
  <c r="J104"/>
  <c r="J101"/>
  <c r="J99"/>
  <c r="J97"/>
  <c r="J96"/>
  <c r="J92"/>
  <c r="J105"/>
  <c r="J103"/>
  <c r="J102"/>
  <c r="J94"/>
  <c r="J93"/>
  <c r="J90"/>
  <c r="J89"/>
  <c r="J88"/>
  <c r="J86"/>
  <c r="J85"/>
  <c r="J84"/>
  <c r="J83"/>
  <c r="J82"/>
  <c r="J81"/>
  <c r="J80"/>
  <c r="J79"/>
  <c r="J78"/>
  <c r="J77"/>
  <c r="J76"/>
  <c r="J75"/>
  <c r="J74"/>
  <c r="J73"/>
  <c r="J72"/>
  <c r="J71"/>
  <c r="J68"/>
  <c r="J67"/>
  <c r="J66"/>
  <c r="J65"/>
  <c r="J64"/>
  <c r="J63"/>
  <c r="J62"/>
  <c r="J61"/>
  <c r="J60"/>
  <c r="J58"/>
  <c r="J57"/>
  <c r="J56"/>
  <c r="J55"/>
  <c r="J54"/>
  <c r="J53"/>
  <c r="J52"/>
  <c r="J51"/>
  <c r="J50"/>
  <c r="J49"/>
  <c r="J48"/>
  <c r="J47"/>
  <c r="J46"/>
  <c r="J45"/>
  <c r="J44"/>
  <c r="J43"/>
  <c r="J42"/>
  <c r="J40"/>
  <c r="J39"/>
  <c r="J38"/>
  <c r="J34"/>
  <c r="J33"/>
  <c r="J32"/>
  <c r="J31"/>
  <c r="J30"/>
  <c r="J29"/>
  <c r="J28"/>
  <c r="J26"/>
  <c r="J24"/>
  <c r="I16"/>
  <c r="J25"/>
  <c r="J23"/>
  <c r="J22"/>
  <c r="J19"/>
  <c r="I17"/>
  <c r="H9"/>
  <c r="AM9"/>
  <c r="AN9"/>
  <c r="Z110"/>
  <c r="Y113"/>
  <c r="Z113"/>
  <c r="U113"/>
  <c r="R110"/>
  <c r="Q113"/>
  <c r="R113"/>
  <c r="N110"/>
  <c r="M113"/>
  <c r="N113"/>
  <c r="I129"/>
  <c r="J129"/>
  <c r="E129"/>
  <c r="F129"/>
  <c r="J110"/>
  <c r="F113"/>
  <c r="AB11"/>
  <c r="AB10"/>
  <c r="AC134"/>
  <c r="H100"/>
  <c r="AM100"/>
  <c r="AN100"/>
  <c r="AI111"/>
  <c r="AI127"/>
  <c r="AI123"/>
  <c r="AI109"/>
  <c r="AI101"/>
  <c r="AI95"/>
  <c r="AI97"/>
  <c r="AI90"/>
  <c r="AI86"/>
  <c r="AI82"/>
  <c r="AI78"/>
  <c r="AI74"/>
  <c r="AI68"/>
  <c r="AI64"/>
  <c r="AI60"/>
  <c r="AI55"/>
  <c r="AI51"/>
  <c r="AI47"/>
  <c r="AI43"/>
  <c r="AI39"/>
  <c r="AI32"/>
  <c r="AI28"/>
  <c r="AI26"/>
  <c r="AH17"/>
  <c r="T127"/>
  <c r="T126"/>
  <c r="T125"/>
  <c r="T124"/>
  <c r="T123"/>
  <c r="T122"/>
  <c r="T121"/>
  <c r="T120"/>
  <c r="T109"/>
  <c r="T106"/>
  <c r="T105"/>
  <c r="T104"/>
  <c r="T128"/>
  <c r="T112"/>
  <c r="T111"/>
  <c r="T103"/>
  <c r="T102"/>
  <c r="T94"/>
  <c r="T93"/>
  <c r="T92"/>
  <c r="T90"/>
  <c r="T89"/>
  <c r="T88"/>
  <c r="T86"/>
  <c r="T85"/>
  <c r="T84"/>
  <c r="T83"/>
  <c r="T82"/>
  <c r="T101"/>
  <c r="T99"/>
  <c r="T98"/>
  <c r="T97"/>
  <c r="T96"/>
  <c r="T81"/>
  <c r="T79"/>
  <c r="T77"/>
  <c r="T68"/>
  <c r="T67"/>
  <c r="T66"/>
  <c r="T65"/>
  <c r="T64"/>
  <c r="T63"/>
  <c r="T62"/>
  <c r="T61"/>
  <c r="T60"/>
  <c r="T58"/>
  <c r="T57"/>
  <c r="T56"/>
  <c r="T55"/>
  <c r="T54"/>
  <c r="T53"/>
  <c r="T52"/>
  <c r="T51"/>
  <c r="T50"/>
  <c r="T49"/>
  <c r="T48"/>
  <c r="T47"/>
  <c r="T46"/>
  <c r="T45"/>
  <c r="T44"/>
  <c r="T43"/>
  <c r="T42"/>
  <c r="T40"/>
  <c r="T39"/>
  <c r="T38"/>
  <c r="T34"/>
  <c r="T80"/>
  <c r="T78"/>
  <c r="T76"/>
  <c r="T75"/>
  <c r="T74"/>
  <c r="T73"/>
  <c r="T72"/>
  <c r="T71"/>
  <c r="T26"/>
  <c r="T25"/>
  <c r="T24"/>
  <c r="T33"/>
  <c r="T31"/>
  <c r="T29"/>
  <c r="T23"/>
  <c r="T22"/>
  <c r="T19"/>
  <c r="S16"/>
  <c r="T32"/>
  <c r="T30"/>
  <c r="T28"/>
  <c r="S17"/>
  <c r="L127"/>
  <c r="L126"/>
  <c r="L125"/>
  <c r="L124"/>
  <c r="L123"/>
  <c r="L122"/>
  <c r="L121"/>
  <c r="L120"/>
  <c r="L109"/>
  <c r="L106"/>
  <c r="L105"/>
  <c r="L104"/>
  <c r="L128"/>
  <c r="L112"/>
  <c r="L111"/>
  <c r="L103"/>
  <c r="L102"/>
  <c r="L94"/>
  <c r="L93"/>
  <c r="L90"/>
  <c r="L89"/>
  <c r="L88"/>
  <c r="L86"/>
  <c r="L85"/>
  <c r="L84"/>
  <c r="L83"/>
  <c r="L82"/>
  <c r="L101"/>
  <c r="L99"/>
  <c r="L96"/>
  <c r="L92"/>
  <c r="L81"/>
  <c r="L79"/>
  <c r="L77"/>
  <c r="L68"/>
  <c r="L67"/>
  <c r="L66"/>
  <c r="L65"/>
  <c r="L64"/>
  <c r="L63"/>
  <c r="L62"/>
  <c r="L61"/>
  <c r="L60"/>
  <c r="L58"/>
  <c r="L57"/>
  <c r="L56"/>
  <c r="L55"/>
  <c r="L54"/>
  <c r="L53"/>
  <c r="L52"/>
  <c r="L51"/>
  <c r="L50"/>
  <c r="L49"/>
  <c r="L48"/>
  <c r="L47"/>
  <c r="L46"/>
  <c r="L45"/>
  <c r="L44"/>
  <c r="L43"/>
  <c r="L42"/>
  <c r="L40"/>
  <c r="L39"/>
  <c r="L38"/>
  <c r="L34"/>
  <c r="L80"/>
  <c r="L78"/>
  <c r="L76"/>
  <c r="L75"/>
  <c r="L74"/>
  <c r="L73"/>
  <c r="L72"/>
  <c r="L71"/>
  <c r="L26"/>
  <c r="L25"/>
  <c r="L24"/>
  <c r="L33"/>
  <c r="L31"/>
  <c r="L29"/>
  <c r="L23"/>
  <c r="L22"/>
  <c r="L19"/>
  <c r="K16"/>
  <c r="L32"/>
  <c r="L30"/>
  <c r="L28"/>
  <c r="K17"/>
  <c r="AB59"/>
  <c r="AB8"/>
  <c r="N112"/>
  <c r="N111"/>
  <c r="N128"/>
  <c r="N127"/>
  <c r="N126"/>
  <c r="N125"/>
  <c r="N124"/>
  <c r="N123"/>
  <c r="N122"/>
  <c r="N121"/>
  <c r="N120"/>
  <c r="N109"/>
  <c r="N105"/>
  <c r="N101"/>
  <c r="N99"/>
  <c r="N96"/>
  <c r="N106"/>
  <c r="N104"/>
  <c r="N103"/>
  <c r="N102"/>
  <c r="N97"/>
  <c r="N94"/>
  <c r="N93"/>
  <c r="N92"/>
  <c r="N90"/>
  <c r="N89"/>
  <c r="N88"/>
  <c r="N86"/>
  <c r="N85"/>
  <c r="N84"/>
  <c r="N83"/>
  <c r="N82"/>
  <c r="N81"/>
  <c r="N80"/>
  <c r="N79"/>
  <c r="N78"/>
  <c r="N77"/>
  <c r="N76"/>
  <c r="N75"/>
  <c r="N74"/>
  <c r="N73"/>
  <c r="N72"/>
  <c r="N71"/>
  <c r="N68"/>
  <c r="N67"/>
  <c r="N66"/>
  <c r="N65"/>
  <c r="N64"/>
  <c r="N63"/>
  <c r="N62"/>
  <c r="N61"/>
  <c r="N60"/>
  <c r="N58"/>
  <c r="N57"/>
  <c r="N56"/>
  <c r="N55"/>
  <c r="N54"/>
  <c r="N53"/>
  <c r="N52"/>
  <c r="N51"/>
  <c r="N50"/>
  <c r="N49"/>
  <c r="N48"/>
  <c r="N47"/>
  <c r="N46"/>
  <c r="N45"/>
  <c r="N44"/>
  <c r="N43"/>
  <c r="N42"/>
  <c r="N40"/>
  <c r="N39"/>
  <c r="N38"/>
  <c r="N34"/>
  <c r="N33"/>
  <c r="N32"/>
  <c r="N31"/>
  <c r="N30"/>
  <c r="N29"/>
  <c r="N28"/>
  <c r="N25"/>
  <c r="M16"/>
  <c r="N26"/>
  <c r="N24"/>
  <c r="N23"/>
  <c r="N22"/>
  <c r="N19"/>
  <c r="M17"/>
  <c r="F112"/>
  <c r="F111"/>
  <c r="F128"/>
  <c r="F127"/>
  <c r="F126"/>
  <c r="F125"/>
  <c r="F124"/>
  <c r="F123"/>
  <c r="F122"/>
  <c r="F121"/>
  <c r="F120"/>
  <c r="F109"/>
  <c r="F105"/>
  <c r="F101"/>
  <c r="F99"/>
  <c r="F96"/>
  <c r="F92"/>
  <c r="F106"/>
  <c r="F104"/>
  <c r="F103"/>
  <c r="F102"/>
  <c r="F97"/>
  <c r="F94"/>
  <c r="F93"/>
  <c r="F90"/>
  <c r="F89"/>
  <c r="F88"/>
  <c r="F86"/>
  <c r="F85"/>
  <c r="F84"/>
  <c r="F83"/>
  <c r="F82"/>
  <c r="F81"/>
  <c r="F80"/>
  <c r="F79"/>
  <c r="F78"/>
  <c r="F77"/>
  <c r="F76"/>
  <c r="F75"/>
  <c r="F74"/>
  <c r="F73"/>
  <c r="F72"/>
  <c r="F71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0"/>
  <c r="F39"/>
  <c r="F38"/>
  <c r="F34"/>
  <c r="F33"/>
  <c r="F32"/>
  <c r="F31"/>
  <c r="F30"/>
  <c r="F29"/>
  <c r="F28"/>
  <c r="F25"/>
  <c r="E16"/>
  <c r="F26"/>
  <c r="F24"/>
  <c r="F23"/>
  <c r="F22"/>
  <c r="F19"/>
  <c r="E17"/>
  <c r="F9"/>
  <c r="AA9"/>
  <c r="W129"/>
  <c r="X129"/>
  <c r="O129"/>
  <c r="P129"/>
  <c r="G129"/>
  <c r="AA100"/>
  <c r="AJ100"/>
  <c r="AC129"/>
  <c r="X70"/>
  <c r="P70"/>
  <c r="H70"/>
  <c r="Z41"/>
  <c r="R41"/>
  <c r="J41"/>
  <c r="AC12"/>
  <c r="U12"/>
  <c r="J113"/>
  <c r="AA110"/>
  <c r="AJ110"/>
  <c r="F110"/>
  <c r="AB7"/>
  <c r="AD71" i="10"/>
  <c r="AJ116" i="22"/>
  <c r="AK116"/>
  <c r="Q129" i="19"/>
  <c r="R129"/>
  <c r="R97"/>
  <c r="R87"/>
  <c r="R91"/>
  <c r="R132"/>
  <c r="AM145" i="20"/>
  <c r="AN145"/>
  <c r="AJ130"/>
  <c r="J151"/>
  <c r="I159"/>
  <c r="Q159"/>
  <c r="F145"/>
  <c r="M159"/>
  <c r="L145"/>
  <c r="K151"/>
  <c r="AL138" i="22"/>
  <c r="AH134" i="20"/>
  <c r="AI130"/>
  <c r="AL145"/>
  <c r="D145"/>
  <c r="H151"/>
  <c r="AB134"/>
  <c r="AA145"/>
  <c r="AC145"/>
  <c r="AK134"/>
  <c r="AD134"/>
  <c r="AD134" i="19"/>
  <c r="Z70"/>
  <c r="Z98"/>
  <c r="Z132"/>
  <c r="Z91"/>
  <c r="Z134"/>
  <c r="Z95"/>
  <c r="N98"/>
  <c r="N70"/>
  <c r="N134"/>
  <c r="N41"/>
  <c r="N87"/>
  <c r="N132"/>
  <c r="N91"/>
  <c r="N95"/>
  <c r="AI129"/>
  <c r="AI70"/>
  <c r="AI113"/>
  <c r="AI100"/>
  <c r="AI128"/>
  <c r="AI24"/>
  <c r="AI38"/>
  <c r="AI42"/>
  <c r="AI54"/>
  <c r="AI67"/>
  <c r="AI77"/>
  <c r="AI89"/>
  <c r="AI99"/>
  <c r="AI122"/>
  <c r="AI22"/>
  <c r="AH16"/>
  <c r="AI16"/>
  <c r="AI29"/>
  <c r="AI33"/>
  <c r="AI40"/>
  <c r="AI44"/>
  <c r="AI48"/>
  <c r="AI52"/>
  <c r="AI56"/>
  <c r="AI61"/>
  <c r="AI65"/>
  <c r="AI71"/>
  <c r="AI75"/>
  <c r="AI79"/>
  <c r="AI83"/>
  <c r="AI87"/>
  <c r="AI92"/>
  <c r="AI102"/>
  <c r="AI96"/>
  <c r="AI103"/>
  <c r="AI120"/>
  <c r="AI124"/>
  <c r="AI132"/>
  <c r="AI112"/>
  <c r="Y129"/>
  <c r="Z129"/>
  <c r="L113"/>
  <c r="AB9"/>
  <c r="AJ9"/>
  <c r="L70"/>
  <c r="L87"/>
  <c r="L91"/>
  <c r="L132"/>
  <c r="L95"/>
  <c r="L97"/>
  <c r="L41"/>
  <c r="L98"/>
  <c r="L134"/>
  <c r="AI31"/>
  <c r="AI50"/>
  <c r="AI63"/>
  <c r="AI85"/>
  <c r="AI91"/>
  <c r="AI106"/>
  <c r="AI110"/>
  <c r="J70"/>
  <c r="J95"/>
  <c r="J134"/>
  <c r="J87"/>
  <c r="J91"/>
  <c r="J132"/>
  <c r="J98"/>
  <c r="AI25"/>
  <c r="AI46"/>
  <c r="AI58"/>
  <c r="AI73"/>
  <c r="AI81"/>
  <c r="AI94"/>
  <c r="AI126"/>
  <c r="AI23"/>
  <c r="AI19"/>
  <c r="AI30"/>
  <c r="AI34"/>
  <c r="AI41"/>
  <c r="AI45"/>
  <c r="AI49"/>
  <c r="AI53"/>
  <c r="AI57"/>
  <c r="AI62"/>
  <c r="AI66"/>
  <c r="AI72"/>
  <c r="AI76"/>
  <c r="AI80"/>
  <c r="AI84"/>
  <c r="AI88"/>
  <c r="AI93"/>
  <c r="AI104"/>
  <c r="AI98"/>
  <c r="AI105"/>
  <c r="AI121"/>
  <c r="AI125"/>
  <c r="AI134"/>
  <c r="L110"/>
  <c r="J100"/>
  <c r="AC162" i="10"/>
  <c r="AJ134" i="19"/>
  <c r="AD129"/>
  <c r="V112"/>
  <c r="V111"/>
  <c r="V128"/>
  <c r="V127"/>
  <c r="V126"/>
  <c r="V125"/>
  <c r="V124"/>
  <c r="V123"/>
  <c r="V122"/>
  <c r="V121"/>
  <c r="V120"/>
  <c r="V109"/>
  <c r="V106"/>
  <c r="V105"/>
  <c r="V101"/>
  <c r="V99"/>
  <c r="V98"/>
  <c r="V96"/>
  <c r="V104"/>
  <c r="V103"/>
  <c r="V102"/>
  <c r="V97"/>
  <c r="V94"/>
  <c r="V93"/>
  <c r="V92"/>
  <c r="V90"/>
  <c r="V89"/>
  <c r="V88"/>
  <c r="V86"/>
  <c r="V85"/>
  <c r="V84"/>
  <c r="V83"/>
  <c r="V82"/>
  <c r="V81"/>
  <c r="V80"/>
  <c r="V79"/>
  <c r="V78"/>
  <c r="V77"/>
  <c r="V76"/>
  <c r="V75"/>
  <c r="V74"/>
  <c r="V73"/>
  <c r="V72"/>
  <c r="V71"/>
  <c r="V68"/>
  <c r="V67"/>
  <c r="V66"/>
  <c r="V65"/>
  <c r="V64"/>
  <c r="V63"/>
  <c r="V62"/>
  <c r="V61"/>
  <c r="V60"/>
  <c r="V58"/>
  <c r="V57"/>
  <c r="V56"/>
  <c r="V55"/>
  <c r="V54"/>
  <c r="V53"/>
  <c r="V52"/>
  <c r="V51"/>
  <c r="V50"/>
  <c r="V49"/>
  <c r="V48"/>
  <c r="V47"/>
  <c r="V46"/>
  <c r="V45"/>
  <c r="V44"/>
  <c r="V43"/>
  <c r="V42"/>
  <c r="V40"/>
  <c r="V39"/>
  <c r="V38"/>
  <c r="V34"/>
  <c r="V33"/>
  <c r="V32"/>
  <c r="V31"/>
  <c r="V30"/>
  <c r="V29"/>
  <c r="V28"/>
  <c r="V25"/>
  <c r="U16"/>
  <c r="AM16"/>
  <c r="AN16"/>
  <c r="V26"/>
  <c r="V24"/>
  <c r="V23"/>
  <c r="V22"/>
  <c r="V19"/>
  <c r="U17"/>
  <c r="AA17"/>
  <c r="V91"/>
  <c r="V95"/>
  <c r="V41"/>
  <c r="V70"/>
  <c r="V87"/>
  <c r="V132"/>
  <c r="V134"/>
  <c r="H129"/>
  <c r="E21"/>
  <c r="F17"/>
  <c r="E27"/>
  <c r="F16"/>
  <c r="M21"/>
  <c r="N17"/>
  <c r="M27"/>
  <c r="N16"/>
  <c r="K21"/>
  <c r="L17"/>
  <c r="K27"/>
  <c r="L16"/>
  <c r="S21"/>
  <c r="T17"/>
  <c r="S27"/>
  <c r="T16"/>
  <c r="AH21"/>
  <c r="AI21"/>
  <c r="AI17"/>
  <c r="I21"/>
  <c r="J17"/>
  <c r="Q27"/>
  <c r="R16"/>
  <c r="Y21"/>
  <c r="Z17"/>
  <c r="Y35"/>
  <c r="Z35"/>
  <c r="Z27"/>
  <c r="H113"/>
  <c r="AM113"/>
  <c r="AN113"/>
  <c r="O21"/>
  <c r="P17"/>
  <c r="O27"/>
  <c r="P16"/>
  <c r="W21"/>
  <c r="X17"/>
  <c r="C115"/>
  <c r="D37"/>
  <c r="AD126"/>
  <c r="AD125"/>
  <c r="AD124"/>
  <c r="AD123"/>
  <c r="AD122"/>
  <c r="AD121"/>
  <c r="AD120"/>
  <c r="AD109"/>
  <c r="AD106"/>
  <c r="AD105"/>
  <c r="AD104"/>
  <c r="AD103"/>
  <c r="AD112"/>
  <c r="AD111"/>
  <c r="AD110"/>
  <c r="AD102"/>
  <c r="AD97"/>
  <c r="AD94"/>
  <c r="AD93"/>
  <c r="AD92"/>
  <c r="AD90"/>
  <c r="AD89"/>
  <c r="AD88"/>
  <c r="AD86"/>
  <c r="AD85"/>
  <c r="AD84"/>
  <c r="AD83"/>
  <c r="AD82"/>
  <c r="AD101"/>
  <c r="AD99"/>
  <c r="AD98"/>
  <c r="AD96"/>
  <c r="AD95"/>
  <c r="AD91"/>
  <c r="AD87"/>
  <c r="AD80"/>
  <c r="AD78"/>
  <c r="AD76"/>
  <c r="AD68"/>
  <c r="AD67"/>
  <c r="AD66"/>
  <c r="AD65"/>
  <c r="AD64"/>
  <c r="AD63"/>
  <c r="AD62"/>
  <c r="AD61"/>
  <c r="AD60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4"/>
  <c r="AD81"/>
  <c r="AD79"/>
  <c r="AD77"/>
  <c r="AD75"/>
  <c r="AD74"/>
  <c r="AD73"/>
  <c r="AD72"/>
  <c r="AD71"/>
  <c r="AD26"/>
  <c r="AD25"/>
  <c r="AD24"/>
  <c r="AD32"/>
  <c r="AD30"/>
  <c r="AD28"/>
  <c r="AD23"/>
  <c r="AD22"/>
  <c r="AC16"/>
  <c r="AD33"/>
  <c r="AD31"/>
  <c r="AD29"/>
  <c r="AD19"/>
  <c r="AC17"/>
  <c r="AD113"/>
  <c r="AD70"/>
  <c r="AD100"/>
  <c r="AD127"/>
  <c r="I27"/>
  <c r="J16"/>
  <c r="Q21"/>
  <c r="R17"/>
  <c r="Z16"/>
  <c r="G21"/>
  <c r="H17"/>
  <c r="AM17"/>
  <c r="AN17"/>
  <c r="G27"/>
  <c r="H16"/>
  <c r="W35"/>
  <c r="X35"/>
  <c r="X27"/>
  <c r="X16"/>
  <c r="AA113"/>
  <c r="AA12"/>
  <c r="AJ12"/>
  <c r="V100"/>
  <c r="V113"/>
  <c r="AM12"/>
  <c r="AN12"/>
  <c r="K129"/>
  <c r="L129"/>
  <c r="S129"/>
  <c r="T129"/>
  <c r="AD128"/>
  <c r="M129"/>
  <c r="N129"/>
  <c r="U129"/>
  <c r="V129"/>
  <c r="V110"/>
  <c r="AD132"/>
  <c r="Q168" i="20"/>
  <c r="AM138" i="22"/>
  <c r="AN138"/>
  <c r="M168" i="20"/>
  <c r="I168"/>
  <c r="I171"/>
  <c r="AJ17" i="19"/>
  <c r="AD145" i="20"/>
  <c r="AK145"/>
  <c r="AB145"/>
  <c r="AA151"/>
  <c r="AC151"/>
  <c r="F151"/>
  <c r="Y159"/>
  <c r="U159"/>
  <c r="D151"/>
  <c r="AL151"/>
  <c r="O159"/>
  <c r="W159"/>
  <c r="K159"/>
  <c r="L151"/>
  <c r="S159"/>
  <c r="AI134"/>
  <c r="AH145"/>
  <c r="AJ134"/>
  <c r="AI97" i="10"/>
  <c r="AH97"/>
  <c r="AB113" i="19"/>
  <c r="AJ113"/>
  <c r="AI102" i="10"/>
  <c r="AH102"/>
  <c r="AI104"/>
  <c r="AH104"/>
  <c r="AI105"/>
  <c r="AH105"/>
  <c r="AI117"/>
  <c r="AH117"/>
  <c r="AC117"/>
  <c r="AI126"/>
  <c r="AH126"/>
  <c r="AC126"/>
  <c r="H21" i="19"/>
  <c r="R21"/>
  <c r="I35"/>
  <c r="J35"/>
  <c r="J27"/>
  <c r="AC21"/>
  <c r="AD21"/>
  <c r="AD17"/>
  <c r="C119"/>
  <c r="D115"/>
  <c r="W36"/>
  <c r="X21"/>
  <c r="O35"/>
  <c r="P35"/>
  <c r="P27"/>
  <c r="J21"/>
  <c r="S35"/>
  <c r="T35"/>
  <c r="T27"/>
  <c r="L21"/>
  <c r="M35"/>
  <c r="N35"/>
  <c r="N27"/>
  <c r="AA129"/>
  <c r="AB127"/>
  <c r="AB126"/>
  <c r="AB125"/>
  <c r="AB124"/>
  <c r="AB123"/>
  <c r="AB122"/>
  <c r="AB121"/>
  <c r="AB120"/>
  <c r="AB109"/>
  <c r="AB106"/>
  <c r="AB104"/>
  <c r="AB105"/>
  <c r="AB103"/>
  <c r="AB94"/>
  <c r="AB93"/>
  <c r="AB90"/>
  <c r="AB89"/>
  <c r="AB88"/>
  <c r="AB68"/>
  <c r="AB67"/>
  <c r="AB66"/>
  <c r="AB65"/>
  <c r="AB64"/>
  <c r="AB63"/>
  <c r="AB62"/>
  <c r="AB61"/>
  <c r="AB60"/>
  <c r="AB58"/>
  <c r="AB57"/>
  <c r="AB56"/>
  <c r="AB55"/>
  <c r="AB54"/>
  <c r="AB53"/>
  <c r="AB26"/>
  <c r="AB24"/>
  <c r="AB19"/>
  <c r="AA16"/>
  <c r="AJ16"/>
  <c r="AB25"/>
  <c r="AB23"/>
  <c r="AB22"/>
  <c r="AB32"/>
  <c r="AB73"/>
  <c r="AB75"/>
  <c r="AB29"/>
  <c r="AB31"/>
  <c r="AB33"/>
  <c r="AB40"/>
  <c r="AB70"/>
  <c r="AB44"/>
  <c r="AB46"/>
  <c r="AB48"/>
  <c r="AB50"/>
  <c r="AB52"/>
  <c r="AB76"/>
  <c r="AB80"/>
  <c r="AB83"/>
  <c r="AB85"/>
  <c r="AB97"/>
  <c r="AB77"/>
  <c r="AB81"/>
  <c r="AB101"/>
  <c r="AB111"/>
  <c r="AB28"/>
  <c r="AB30"/>
  <c r="AB34"/>
  <c r="AB72"/>
  <c r="AB74"/>
  <c r="AB41"/>
  <c r="AB39"/>
  <c r="AB43"/>
  <c r="AB45"/>
  <c r="AB47"/>
  <c r="AB49"/>
  <c r="AB51"/>
  <c r="AB38"/>
  <c r="AB42"/>
  <c r="AB87"/>
  <c r="AB78"/>
  <c r="AB82"/>
  <c r="AB84"/>
  <c r="AB86"/>
  <c r="AB96"/>
  <c r="AB99"/>
  <c r="AB71"/>
  <c r="AB79"/>
  <c r="AB112"/>
  <c r="AB128"/>
  <c r="AB92"/>
  <c r="AB98"/>
  <c r="AB91"/>
  <c r="AB134"/>
  <c r="AB102"/>
  <c r="AB132"/>
  <c r="AB95"/>
  <c r="G35"/>
  <c r="H27"/>
  <c r="AD16"/>
  <c r="O36"/>
  <c r="P21"/>
  <c r="Y36"/>
  <c r="Z21"/>
  <c r="Q35"/>
  <c r="R35"/>
  <c r="R27"/>
  <c r="T21"/>
  <c r="K35"/>
  <c r="L35"/>
  <c r="L27"/>
  <c r="N21"/>
  <c r="E35"/>
  <c r="F35"/>
  <c r="F27"/>
  <c r="AA21"/>
  <c r="AJ21"/>
  <c r="AB17"/>
  <c r="F21"/>
  <c r="U21"/>
  <c r="V17"/>
  <c r="U27"/>
  <c r="AM27"/>
  <c r="AN27"/>
  <c r="V16"/>
  <c r="AB110"/>
  <c r="AB100"/>
  <c r="AM129"/>
  <c r="AN129"/>
  <c r="S168" i="20"/>
  <c r="O168"/>
  <c r="AJ138" i="22"/>
  <c r="AK138"/>
  <c r="K168" i="20"/>
  <c r="K171"/>
  <c r="M171"/>
  <c r="Y168"/>
  <c r="W168"/>
  <c r="U168"/>
  <c r="I21" i="10"/>
  <c r="J128"/>
  <c r="J47"/>
  <c r="J60"/>
  <c r="I12" i="22"/>
  <c r="O171" i="20"/>
  <c r="Q171"/>
  <c r="S171"/>
  <c r="U171"/>
  <c r="W171"/>
  <c r="Y171"/>
  <c r="AJ145"/>
  <c r="AK151"/>
  <c r="AA152"/>
  <c r="AA159"/>
  <c r="AA168"/>
  <c r="AC168"/>
  <c r="AB151"/>
  <c r="AH151"/>
  <c r="AI151"/>
  <c r="AI145"/>
  <c r="G153"/>
  <c r="J25" i="10"/>
  <c r="AI9"/>
  <c r="AB129" i="19"/>
  <c r="AJ129"/>
  <c r="M36"/>
  <c r="M37"/>
  <c r="S36"/>
  <c r="S37"/>
  <c r="I36"/>
  <c r="I37"/>
  <c r="AA129" i="10"/>
  <c r="AA9"/>
  <c r="V21" i="19"/>
  <c r="AB21"/>
  <c r="H35"/>
  <c r="AB16"/>
  <c r="E36"/>
  <c r="G36"/>
  <c r="U35"/>
  <c r="V35"/>
  <c r="V27"/>
  <c r="N36"/>
  <c r="Z36"/>
  <c r="Y37"/>
  <c r="P36"/>
  <c r="O37"/>
  <c r="J36"/>
  <c r="X36"/>
  <c r="W37"/>
  <c r="C130"/>
  <c r="D119"/>
  <c r="AA27"/>
  <c r="K36"/>
  <c r="Q36"/>
  <c r="AM21"/>
  <c r="AN21"/>
  <c r="J150" i="10"/>
  <c r="AC129"/>
  <c r="AC9"/>
  <c r="AH9"/>
  <c r="J17"/>
  <c r="I153" i="20"/>
  <c r="I17" i="22"/>
  <c r="AJ151" i="20"/>
  <c r="AC159"/>
  <c r="AC152"/>
  <c r="AD151"/>
  <c r="T36" i="19"/>
  <c r="AA12" i="10"/>
  <c r="R36" i="19"/>
  <c r="Q37"/>
  <c r="C136"/>
  <c r="D130"/>
  <c r="F36"/>
  <c r="E37"/>
  <c r="AM35"/>
  <c r="AN35"/>
  <c r="U36"/>
  <c r="AM36"/>
  <c r="AN36"/>
  <c r="AB27"/>
  <c r="AC27"/>
  <c r="AH27"/>
  <c r="AA35"/>
  <c r="L36"/>
  <c r="K37"/>
  <c r="W115"/>
  <c r="X37"/>
  <c r="I115"/>
  <c r="J37"/>
  <c r="O115"/>
  <c r="P37"/>
  <c r="Y115"/>
  <c r="Z37"/>
  <c r="S115"/>
  <c r="T37"/>
  <c r="M115"/>
  <c r="N37"/>
  <c r="H36"/>
  <c r="G37"/>
  <c r="AB118" i="10"/>
  <c r="AB74"/>
  <c r="AB105"/>
  <c r="AB100"/>
  <c r="AB96"/>
  <c r="AB111"/>
  <c r="AB102"/>
  <c r="AB101"/>
  <c r="AB97"/>
  <c r="AB112"/>
  <c r="AB107"/>
  <c r="AB98"/>
  <c r="AB114"/>
  <c r="AB94"/>
  <c r="AB113"/>
  <c r="AB108"/>
  <c r="AB103"/>
  <c r="AB110"/>
  <c r="AB95"/>
  <c r="AB109"/>
  <c r="AB104"/>
  <c r="AB99"/>
  <c r="AB106"/>
  <c r="AB115"/>
  <c r="K153" i="20"/>
  <c r="AC12" i="10"/>
  <c r="AJ27" i="19"/>
  <c r="AA16" i="10"/>
  <c r="M119" i="19"/>
  <c r="N115"/>
  <c r="O119"/>
  <c r="P115"/>
  <c r="W119"/>
  <c r="X115"/>
  <c r="AH35"/>
  <c r="AI27"/>
  <c r="C138"/>
  <c r="D136"/>
  <c r="G115"/>
  <c r="H37"/>
  <c r="S119"/>
  <c r="T115"/>
  <c r="Y119"/>
  <c r="Z115"/>
  <c r="I119"/>
  <c r="J115"/>
  <c r="K115"/>
  <c r="L37"/>
  <c r="AB35"/>
  <c r="AA36"/>
  <c r="AC35"/>
  <c r="AJ35"/>
  <c r="AD27"/>
  <c r="V36"/>
  <c r="U37"/>
  <c r="E115"/>
  <c r="F37"/>
  <c r="Q115"/>
  <c r="R37"/>
  <c r="J141" i="10"/>
  <c r="AD74"/>
  <c r="AD68"/>
  <c r="AD66"/>
  <c r="AD67"/>
  <c r="AD118"/>
  <c r="AD97"/>
  <c r="AD95"/>
  <c r="AD103"/>
  <c r="AD104"/>
  <c r="AD109"/>
  <c r="AD114"/>
  <c r="AD98"/>
  <c r="AD107"/>
  <c r="AD108"/>
  <c r="AD113"/>
  <c r="AD94"/>
  <c r="AD102"/>
  <c r="AD111"/>
  <c r="AD112"/>
  <c r="AD115"/>
  <c r="AD101"/>
  <c r="AD106"/>
  <c r="AD99"/>
  <c r="AD100"/>
  <c r="AD105"/>
  <c r="AD110"/>
  <c r="AD96"/>
  <c r="M153" i="20"/>
  <c r="AC16" i="10"/>
  <c r="AD72"/>
  <c r="AB72"/>
  <c r="N17"/>
  <c r="M12" i="22"/>
  <c r="G119" i="19"/>
  <c r="H115"/>
  <c r="AH36"/>
  <c r="AI35"/>
  <c r="W130"/>
  <c r="X119"/>
  <c r="O130"/>
  <c r="P119"/>
  <c r="M130"/>
  <c r="N119"/>
  <c r="U115"/>
  <c r="V37"/>
  <c r="AB36"/>
  <c r="AA37"/>
  <c r="Q119"/>
  <c r="R115"/>
  <c r="E119"/>
  <c r="F115"/>
  <c r="AC36"/>
  <c r="AJ36"/>
  <c r="AD35"/>
  <c r="K119"/>
  <c r="L115"/>
  <c r="I130"/>
  <c r="J119"/>
  <c r="Y130"/>
  <c r="Z119"/>
  <c r="S130"/>
  <c r="T119"/>
  <c r="AM37"/>
  <c r="AN37"/>
  <c r="N141" i="10"/>
  <c r="N150"/>
  <c r="P11"/>
  <c r="P10"/>
  <c r="P7"/>
  <c r="P6"/>
  <c r="L11"/>
  <c r="L10"/>
  <c r="L8"/>
  <c r="L7"/>
  <c r="L6"/>
  <c r="H11"/>
  <c r="H10"/>
  <c r="H8"/>
  <c r="H7"/>
  <c r="H6"/>
  <c r="F11"/>
  <c r="F10"/>
  <c r="F8"/>
  <c r="F7"/>
  <c r="F6"/>
  <c r="D7"/>
  <c r="D8"/>
  <c r="D10"/>
  <c r="D11"/>
  <c r="D6"/>
  <c r="O153" i="20"/>
  <c r="F75" i="10"/>
  <c r="F73"/>
  <c r="F71"/>
  <c r="F69"/>
  <c r="F67"/>
  <c r="F72"/>
  <c r="F70"/>
  <c r="F68"/>
  <c r="F66"/>
  <c r="K21"/>
  <c r="G21"/>
  <c r="E21"/>
  <c r="C21"/>
  <c r="F55"/>
  <c r="D73"/>
  <c r="D71"/>
  <c r="D75"/>
  <c r="D72"/>
  <c r="D70"/>
  <c r="D69"/>
  <c r="D52"/>
  <c r="D47"/>
  <c r="L47"/>
  <c r="F47"/>
  <c r="H47"/>
  <c r="H17"/>
  <c r="M17" i="22"/>
  <c r="H59" i="10"/>
  <c r="E12" i="22"/>
  <c r="K12"/>
  <c r="C12"/>
  <c r="G12"/>
  <c r="D68" i="10"/>
  <c r="D148"/>
  <c r="D150"/>
  <c r="S136" i="19"/>
  <c r="T130"/>
  <c r="Y136"/>
  <c r="Z130"/>
  <c r="I136"/>
  <c r="J130"/>
  <c r="K130"/>
  <c r="L119"/>
  <c r="AD36"/>
  <c r="AC37"/>
  <c r="E130"/>
  <c r="F119"/>
  <c r="Q130"/>
  <c r="R119"/>
  <c r="U119"/>
  <c r="V115"/>
  <c r="G130"/>
  <c r="H119"/>
  <c r="AM115"/>
  <c r="AN115"/>
  <c r="AA115"/>
  <c r="AB37"/>
  <c r="M136"/>
  <c r="N130"/>
  <c r="O136"/>
  <c r="P130"/>
  <c r="W136"/>
  <c r="X130"/>
  <c r="AI36"/>
  <c r="AH37"/>
  <c r="L141" i="10"/>
  <c r="L150"/>
  <c r="H141"/>
  <c r="H150"/>
  <c r="F150"/>
  <c r="F141"/>
  <c r="D141"/>
  <c r="AJ6"/>
  <c r="AJ7"/>
  <c r="AJ11"/>
  <c r="AJ13"/>
  <c r="AJ14"/>
  <c r="AJ18"/>
  <c r="AJ19"/>
  <c r="AJ20"/>
  <c r="AJ22"/>
  <c r="AJ23"/>
  <c r="AJ24"/>
  <c r="AJ25"/>
  <c r="AJ26"/>
  <c r="AJ28"/>
  <c r="AJ29"/>
  <c r="AJ30"/>
  <c r="AJ31"/>
  <c r="AJ32"/>
  <c r="AJ33"/>
  <c r="AJ34"/>
  <c r="AJ38"/>
  <c r="AJ40"/>
  <c r="AJ43"/>
  <c r="AJ44"/>
  <c r="AJ45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7"/>
  <c r="AJ78"/>
  <c r="AJ79"/>
  <c r="AJ80"/>
  <c r="AJ81"/>
  <c r="AJ82"/>
  <c r="AJ83"/>
  <c r="AJ84"/>
  <c r="AJ85"/>
  <c r="AJ86"/>
  <c r="AJ87"/>
  <c r="AJ88"/>
  <c r="AJ89"/>
  <c r="AJ91"/>
  <c r="AJ92"/>
  <c r="AJ94"/>
  <c r="AJ95"/>
  <c r="AJ99"/>
  <c r="AJ105"/>
  <c r="AJ116"/>
  <c r="AJ117"/>
  <c r="AJ119"/>
  <c r="AJ120"/>
  <c r="AJ121"/>
  <c r="AJ122"/>
  <c r="AJ123"/>
  <c r="AJ124"/>
  <c r="AJ125"/>
  <c r="AJ127"/>
  <c r="AJ128"/>
  <c r="AJ130"/>
  <c r="AJ132"/>
  <c r="AJ133"/>
  <c r="AJ134"/>
  <c r="AJ136"/>
  <c r="AJ137"/>
  <c r="AJ138"/>
  <c r="AJ139"/>
  <c r="AJ140"/>
  <c r="AJ142"/>
  <c r="AJ143"/>
  <c r="AJ147"/>
  <c r="L17"/>
  <c r="D17"/>
  <c r="C17" i="22"/>
  <c r="E17"/>
  <c r="F17" i="10"/>
  <c r="Q153" i="20"/>
  <c r="K17" i="22"/>
  <c r="G17"/>
  <c r="AJ37" i="19"/>
  <c r="X136"/>
  <c r="P136"/>
  <c r="N136"/>
  <c r="AA119"/>
  <c r="AB115"/>
  <c r="G136"/>
  <c r="H130"/>
  <c r="U130"/>
  <c r="V119"/>
  <c r="Q136"/>
  <c r="R130"/>
  <c r="E136"/>
  <c r="F130"/>
  <c r="K136"/>
  <c r="L130"/>
  <c r="J136"/>
  <c r="Z136"/>
  <c r="T136"/>
  <c r="AH115"/>
  <c r="AI37"/>
  <c r="AC115"/>
  <c r="AD37"/>
  <c r="AM119"/>
  <c r="AN119"/>
  <c r="S153" i="20"/>
  <c r="AJ115" i="19"/>
  <c r="H136"/>
  <c r="AA130"/>
  <c r="AB119"/>
  <c r="AC119"/>
  <c r="AD115"/>
  <c r="AH119"/>
  <c r="AI115"/>
  <c r="L136"/>
  <c r="E138"/>
  <c r="G138"/>
  <c r="I138"/>
  <c r="K138"/>
  <c r="M138"/>
  <c r="O138"/>
  <c r="Q138"/>
  <c r="S138"/>
  <c r="F136"/>
  <c r="R136"/>
  <c r="U136"/>
  <c r="V130"/>
  <c r="AM130"/>
  <c r="AN130"/>
  <c r="U153" i="20"/>
  <c r="AJ119" i="19"/>
  <c r="U138"/>
  <c r="W138"/>
  <c r="Y138"/>
  <c r="V136"/>
  <c r="AC130"/>
  <c r="AD119"/>
  <c r="AH130"/>
  <c r="AI119"/>
  <c r="AA136"/>
  <c r="AB130"/>
  <c r="W153" i="20"/>
  <c r="AL140" i="22"/>
  <c r="AM138" i="19"/>
  <c r="AN138"/>
  <c r="AJ130"/>
  <c r="AH136"/>
  <c r="AI136"/>
  <c r="AI130"/>
  <c r="AB136"/>
  <c r="AC136"/>
  <c r="AD130"/>
  <c r="Y144" i="10"/>
  <c r="Y6" i="27" s="1"/>
  <c r="W144" i="10"/>
  <c r="W144" i="22" s="1"/>
  <c r="W166" s="1"/>
  <c r="U144" i="10"/>
  <c r="U144" i="22" s="1"/>
  <c r="U166" s="1"/>
  <c r="S144" i="10"/>
  <c r="S144" i="22" s="1"/>
  <c r="S166" s="1"/>
  <c r="Q144" i="10"/>
  <c r="Q6" i="27" s="1"/>
  <c r="O144" i="10"/>
  <c r="O6" i="27" s="1"/>
  <c r="M144" i="10"/>
  <c r="M6" i="27" s="1"/>
  <c r="I144" i="10"/>
  <c r="I6" i="27" s="1"/>
  <c r="G144" i="10"/>
  <c r="G144" i="22" s="1"/>
  <c r="E144" i="10"/>
  <c r="E144" i="22" s="1"/>
  <c r="U6" i="27"/>
  <c r="O144" i="22"/>
  <c r="O166" s="1"/>
  <c r="I166" i="10"/>
  <c r="AM153" i="20"/>
  <c r="AN153"/>
  <c r="AM140" i="22"/>
  <c r="AN140"/>
  <c r="S166" i="10"/>
  <c r="AD136" i="19"/>
  <c r="AJ136"/>
  <c r="AJ140" i="22"/>
  <c r="AK140"/>
  <c r="AJ90" i="10"/>
  <c r="Y41"/>
  <c r="Y41" i="22"/>
  <c r="E129" i="10"/>
  <c r="E129" i="22"/>
  <c r="Y93" i="10"/>
  <c r="W93"/>
  <c r="W93" i="22" s="1"/>
  <c r="U93" i="10"/>
  <c r="U93" i="22" s="1"/>
  <c r="S93" i="10"/>
  <c r="S7" i="27" s="1"/>
  <c r="Q93" i="10"/>
  <c r="O93"/>
  <c r="O93" i="22" s="1"/>
  <c r="M93" i="10"/>
  <c r="M7" i="27" s="1"/>
  <c r="K93" i="10"/>
  <c r="K7" i="27" s="1"/>
  <c r="I93" i="10"/>
  <c r="E93"/>
  <c r="E93" i="22" s="1"/>
  <c r="U41" i="10"/>
  <c r="U41" i="22"/>
  <c r="S41" i="10"/>
  <c r="S41" i="22"/>
  <c r="Q41" i="10"/>
  <c r="O41"/>
  <c r="O41" i="22"/>
  <c r="M41" i="10"/>
  <c r="M41" i="22"/>
  <c r="K41" i="10"/>
  <c r="K41" i="22"/>
  <c r="I41" i="10"/>
  <c r="I41" i="22"/>
  <c r="G41" i="10"/>
  <c r="G41" i="22"/>
  <c r="E41" i="10"/>
  <c r="E41" i="22"/>
  <c r="C41" i="10"/>
  <c r="C41" i="22"/>
  <c r="E21"/>
  <c r="C21"/>
  <c r="Y15" i="10"/>
  <c r="W15"/>
  <c r="W15" i="22"/>
  <c r="U15" i="10"/>
  <c r="U15" i="22"/>
  <c r="S15" i="10"/>
  <c r="S15" i="22"/>
  <c r="Q15" i="10"/>
  <c r="O15"/>
  <c r="O15" i="22"/>
  <c r="M15" i="10"/>
  <c r="M15" i="22"/>
  <c r="K15" i="10"/>
  <c r="K15" i="22"/>
  <c r="I15" i="10"/>
  <c r="I15" i="22"/>
  <c r="G15" i="10"/>
  <c r="G15" i="22"/>
  <c r="E15" i="10"/>
  <c r="E15" i="22"/>
  <c r="C15" i="10"/>
  <c r="Q41" i="22"/>
  <c r="AQ41" i="10"/>
  <c r="C15" i="22"/>
  <c r="C16" i="10"/>
  <c r="C2" i="27"/>
  <c r="Q15" i="22"/>
  <c r="AQ15" i="10"/>
  <c r="Y15" i="22"/>
  <c r="Y16" i="10"/>
  <c r="Y2" i="27"/>
  <c r="Y93" i="22"/>
  <c r="Y7" i="27"/>
  <c r="W7"/>
  <c r="E7"/>
  <c r="S93" i="22"/>
  <c r="Q93"/>
  <c r="Q7" i="27"/>
  <c r="K93" i="22"/>
  <c r="I93"/>
  <c r="I7" i="27"/>
  <c r="AQ93" i="10"/>
  <c r="AI15"/>
  <c r="AH15"/>
  <c r="AJ96"/>
  <c r="AJ104"/>
  <c r="T8"/>
  <c r="R8"/>
  <c r="AJ97"/>
  <c r="AJ103"/>
  <c r="AJ101"/>
  <c r="AJ15"/>
  <c r="W41"/>
  <c r="AJ39"/>
  <c r="P8"/>
  <c r="AJ8"/>
  <c r="T10"/>
  <c r="T6"/>
  <c r="T11"/>
  <c r="T7"/>
  <c r="V8"/>
  <c r="AJ102"/>
  <c r="V10"/>
  <c r="V6"/>
  <c r="V11"/>
  <c r="V7"/>
  <c r="AJ98"/>
  <c r="AJ107"/>
  <c r="X8"/>
  <c r="AJ9"/>
  <c r="W129"/>
  <c r="W129" i="22"/>
  <c r="X10" i="10"/>
  <c r="X6"/>
  <c r="X11"/>
  <c r="X7"/>
  <c r="R10"/>
  <c r="R6"/>
  <c r="R11"/>
  <c r="R7"/>
  <c r="Z6"/>
  <c r="Z11"/>
  <c r="Z7"/>
  <c r="Z8"/>
  <c r="Z10"/>
  <c r="F24"/>
  <c r="F144"/>
  <c r="D39"/>
  <c r="D144"/>
  <c r="H33"/>
  <c r="H144"/>
  <c r="G93"/>
  <c r="G16"/>
  <c r="G2" i="27"/>
  <c r="F29" i="10"/>
  <c r="E16"/>
  <c r="E2" i="27"/>
  <c r="F25" i="10"/>
  <c r="F23"/>
  <c r="L137"/>
  <c r="L127"/>
  <c r="L116"/>
  <c r="L140"/>
  <c r="L138"/>
  <c r="L125"/>
  <c r="L121"/>
  <c r="L89"/>
  <c r="L87"/>
  <c r="L85"/>
  <c r="L82"/>
  <c r="L62"/>
  <c r="L92"/>
  <c r="L83"/>
  <c r="L79"/>
  <c r="L77"/>
  <c r="L63"/>
  <c r="L60"/>
  <c r="L57"/>
  <c r="L53"/>
  <c r="L51"/>
  <c r="L49"/>
  <c r="L90"/>
  <c r="L88"/>
  <c r="L86"/>
  <c r="L84"/>
  <c r="L80"/>
  <c r="L64"/>
  <c r="L61"/>
  <c r="L58"/>
  <c r="L91"/>
  <c r="L81"/>
  <c r="L78"/>
  <c r="L54"/>
  <c r="L52"/>
  <c r="L50"/>
  <c r="L48"/>
  <c r="L39"/>
  <c r="L38"/>
  <c r="L34"/>
  <c r="L32"/>
  <c r="L31"/>
  <c r="L30"/>
  <c r="L29"/>
  <c r="L28"/>
  <c r="L44"/>
  <c r="L40"/>
  <c r="L33"/>
  <c r="L24"/>
  <c r="L23"/>
  <c r="L22"/>
  <c r="L19"/>
  <c r="L26"/>
  <c r="K16"/>
  <c r="K2" i="27"/>
  <c r="L25" i="10"/>
  <c r="G129"/>
  <c r="G129" i="22"/>
  <c r="P59" i="10"/>
  <c r="T59"/>
  <c r="X59"/>
  <c r="F143"/>
  <c r="F140"/>
  <c r="F138"/>
  <c r="F136"/>
  <c r="F128"/>
  <c r="F125"/>
  <c r="F121"/>
  <c r="F117"/>
  <c r="F142"/>
  <c r="F139"/>
  <c r="F137"/>
  <c r="F127"/>
  <c r="F126"/>
  <c r="F122"/>
  <c r="F120"/>
  <c r="F119"/>
  <c r="F116"/>
  <c r="F90"/>
  <c r="F88"/>
  <c r="F86"/>
  <c r="F84"/>
  <c r="F80"/>
  <c r="F64"/>
  <c r="F61"/>
  <c r="F58"/>
  <c r="F91"/>
  <c r="F81"/>
  <c r="F78"/>
  <c r="F54"/>
  <c r="F52"/>
  <c r="F50"/>
  <c r="F48"/>
  <c r="F89"/>
  <c r="F87"/>
  <c r="F85"/>
  <c r="F82"/>
  <c r="F65"/>
  <c r="F62"/>
  <c r="F59"/>
  <c r="F92"/>
  <c r="F83"/>
  <c r="F79"/>
  <c r="F77"/>
  <c r="F63"/>
  <c r="F60"/>
  <c r="F57"/>
  <c r="F53"/>
  <c r="F51"/>
  <c r="F49"/>
  <c r="F39"/>
  <c r="F33"/>
  <c r="F26"/>
  <c r="L41"/>
  <c r="F19"/>
  <c r="F21"/>
  <c r="F22"/>
  <c r="D23"/>
  <c r="D24"/>
  <c r="D25"/>
  <c r="H25"/>
  <c r="H26"/>
  <c r="D30"/>
  <c r="F32"/>
  <c r="D33"/>
  <c r="F34"/>
  <c r="F40"/>
  <c r="F42"/>
  <c r="F44"/>
  <c r="F45"/>
  <c r="D93"/>
  <c r="R59"/>
  <c r="F28"/>
  <c r="D29"/>
  <c r="F31"/>
  <c r="Z59"/>
  <c r="D142"/>
  <c r="D139"/>
  <c r="D137"/>
  <c r="D127"/>
  <c r="D126"/>
  <c r="D129"/>
  <c r="D122"/>
  <c r="D120"/>
  <c r="D119"/>
  <c r="D116"/>
  <c r="D143"/>
  <c r="D140"/>
  <c r="D138"/>
  <c r="D136"/>
  <c r="D128"/>
  <c r="D125"/>
  <c r="D121"/>
  <c r="D117"/>
  <c r="D89"/>
  <c r="D87"/>
  <c r="D85"/>
  <c r="D82"/>
  <c r="D65"/>
  <c r="D62"/>
  <c r="D59"/>
  <c r="D92"/>
  <c r="D83"/>
  <c r="D79"/>
  <c r="D77"/>
  <c r="D63"/>
  <c r="D60"/>
  <c r="D57"/>
  <c r="D55"/>
  <c r="D53"/>
  <c r="D51"/>
  <c r="D49"/>
  <c r="D90"/>
  <c r="D88"/>
  <c r="D86"/>
  <c r="D84"/>
  <c r="D80"/>
  <c r="D66"/>
  <c r="D64"/>
  <c r="D61"/>
  <c r="D58"/>
  <c r="D91"/>
  <c r="D81"/>
  <c r="D78"/>
  <c r="D67"/>
  <c r="D54"/>
  <c r="D50"/>
  <c r="D48"/>
  <c r="D46"/>
  <c r="D38"/>
  <c r="D34"/>
  <c r="D28"/>
  <c r="H142"/>
  <c r="H139"/>
  <c r="H137"/>
  <c r="H127"/>
  <c r="H122"/>
  <c r="H120"/>
  <c r="H116"/>
  <c r="H143"/>
  <c r="H140"/>
  <c r="H138"/>
  <c r="H136"/>
  <c r="H128"/>
  <c r="H125"/>
  <c r="H119"/>
  <c r="H121"/>
  <c r="H117"/>
  <c r="H89"/>
  <c r="H87"/>
  <c r="H85"/>
  <c r="H82"/>
  <c r="H62"/>
  <c r="H92"/>
  <c r="H83"/>
  <c r="H79"/>
  <c r="H77"/>
  <c r="H63"/>
  <c r="H60"/>
  <c r="H57"/>
  <c r="H55"/>
  <c r="H53"/>
  <c r="H51"/>
  <c r="H49"/>
  <c r="H90"/>
  <c r="H88"/>
  <c r="H86"/>
  <c r="H84"/>
  <c r="H80"/>
  <c r="H64"/>
  <c r="H61"/>
  <c r="H58"/>
  <c r="H91"/>
  <c r="H81"/>
  <c r="H78"/>
  <c r="H54"/>
  <c r="H52"/>
  <c r="H50"/>
  <c r="H48"/>
  <c r="H38"/>
  <c r="H34"/>
  <c r="H32"/>
  <c r="H31"/>
  <c r="H30"/>
  <c r="H29"/>
  <c r="H28"/>
  <c r="C145"/>
  <c r="C145" i="22" s="1"/>
  <c r="D41" i="10"/>
  <c r="D19"/>
  <c r="H19"/>
  <c r="D22"/>
  <c r="H22"/>
  <c r="H23"/>
  <c r="H24"/>
  <c r="F30"/>
  <c r="D32"/>
  <c r="F38"/>
  <c r="H39"/>
  <c r="D40"/>
  <c r="H40"/>
  <c r="F41"/>
  <c r="D42"/>
  <c r="H42"/>
  <c r="D44"/>
  <c r="H44"/>
  <c r="D45"/>
  <c r="H45"/>
  <c r="L93"/>
  <c r="V59"/>
  <c r="D21"/>
  <c r="D26"/>
  <c r="D31"/>
  <c r="H41"/>
  <c r="F93"/>
  <c r="L119"/>
  <c r="Q129"/>
  <c r="Q129" i="22"/>
  <c r="U129" i="10"/>
  <c r="U129" i="22"/>
  <c r="O129" i="10"/>
  <c r="O129" i="22"/>
  <c r="F129" i="10"/>
  <c r="K129"/>
  <c r="K129" i="22"/>
  <c r="AM15"/>
  <c r="AN15"/>
  <c r="AL15"/>
  <c r="AA15"/>
  <c r="AC15"/>
  <c r="AJ15"/>
  <c r="G93"/>
  <c r="G7" i="27"/>
  <c r="K27" i="22"/>
  <c r="E27"/>
  <c r="AQ17" i="10"/>
  <c r="P17"/>
  <c r="Z90"/>
  <c r="Z17"/>
  <c r="X17"/>
  <c r="V17"/>
  <c r="T17"/>
  <c r="AQ12"/>
  <c r="AQ129"/>
  <c r="AL115" i="22"/>
  <c r="AQ115" i="10"/>
  <c r="R91"/>
  <c r="C16" i="22"/>
  <c r="T62" i="10"/>
  <c r="Z46"/>
  <c r="K16" i="22"/>
  <c r="Y12"/>
  <c r="W12"/>
  <c r="U12"/>
  <c r="AI41" i="10"/>
  <c r="AH41"/>
  <c r="W41" i="22"/>
  <c r="E16"/>
  <c r="G27"/>
  <c r="G16"/>
  <c r="Q12"/>
  <c r="S12"/>
  <c r="O12"/>
  <c r="AI93" i="10"/>
  <c r="AH93" s="1"/>
  <c r="X83"/>
  <c r="P79"/>
  <c r="X38"/>
  <c r="P39"/>
  <c r="T54"/>
  <c r="P142"/>
  <c r="T93"/>
  <c r="P45"/>
  <c r="P34"/>
  <c r="AI115"/>
  <c r="AH115"/>
  <c r="AI12"/>
  <c r="AH12"/>
  <c r="P40"/>
  <c r="P24"/>
  <c r="P22"/>
  <c r="P31"/>
  <c r="P54"/>
  <c r="P57"/>
  <c r="P122"/>
  <c r="P29"/>
  <c r="P50"/>
  <c r="P49"/>
  <c r="P87"/>
  <c r="P93"/>
  <c r="P33"/>
  <c r="P23"/>
  <c r="P25"/>
  <c r="P81"/>
  <c r="P88"/>
  <c r="P136"/>
  <c r="P137"/>
  <c r="Z150"/>
  <c r="X150"/>
  <c r="W17" i="22"/>
  <c r="V150" i="10"/>
  <c r="R150"/>
  <c r="P61"/>
  <c r="P84"/>
  <c r="P53"/>
  <c r="P63"/>
  <c r="P92"/>
  <c r="P82"/>
  <c r="P117"/>
  <c r="P125"/>
  <c r="P140"/>
  <c r="P116"/>
  <c r="P150"/>
  <c r="Z141"/>
  <c r="V141"/>
  <c r="X121"/>
  <c r="X144"/>
  <c r="X141"/>
  <c r="T141"/>
  <c r="T55"/>
  <c r="T83"/>
  <c r="R144"/>
  <c r="R141"/>
  <c r="P41"/>
  <c r="P141"/>
  <c r="H16"/>
  <c r="R33"/>
  <c r="T30"/>
  <c r="P44"/>
  <c r="P26"/>
  <c r="P19"/>
  <c r="P28"/>
  <c r="P30"/>
  <c r="P32"/>
  <c r="P38"/>
  <c r="P48"/>
  <c r="P52"/>
  <c r="P78"/>
  <c r="P91"/>
  <c r="P58"/>
  <c r="P64"/>
  <c r="P80"/>
  <c r="P86"/>
  <c r="P90"/>
  <c r="P55"/>
  <c r="P60"/>
  <c r="P77"/>
  <c r="P83"/>
  <c r="P62"/>
  <c r="P85"/>
  <c r="P89"/>
  <c r="P121"/>
  <c r="P119"/>
  <c r="P128"/>
  <c r="P138"/>
  <c r="P143"/>
  <c r="P120"/>
  <c r="P127"/>
  <c r="P139"/>
  <c r="O16"/>
  <c r="T80"/>
  <c r="X45"/>
  <c r="X78"/>
  <c r="X87"/>
  <c r="X44"/>
  <c r="X51"/>
  <c r="X52"/>
  <c r="X88"/>
  <c r="X128"/>
  <c r="R64"/>
  <c r="X22"/>
  <c r="X19"/>
  <c r="X30"/>
  <c r="X60"/>
  <c r="X122"/>
  <c r="R23"/>
  <c r="R82"/>
  <c r="T22"/>
  <c r="T77"/>
  <c r="R31"/>
  <c r="R137"/>
  <c r="X29"/>
  <c r="X86"/>
  <c r="X57"/>
  <c r="X85"/>
  <c r="X117"/>
  <c r="X120"/>
  <c r="X142"/>
  <c r="X93"/>
  <c r="X24"/>
  <c r="T41"/>
  <c r="X28"/>
  <c r="X32"/>
  <c r="X48"/>
  <c r="X91"/>
  <c r="X61"/>
  <c r="X84"/>
  <c r="X55"/>
  <c r="X77"/>
  <c r="X82"/>
  <c r="X119"/>
  <c r="X140"/>
  <c r="X116"/>
  <c r="X139"/>
  <c r="S16"/>
  <c r="T44"/>
  <c r="T38"/>
  <c r="T61"/>
  <c r="T51"/>
  <c r="T136"/>
  <c r="T142"/>
  <c r="R32"/>
  <c r="R29"/>
  <c r="R60"/>
  <c r="R52"/>
  <c r="R138"/>
  <c r="X39"/>
  <c r="X40"/>
  <c r="X50"/>
  <c r="X49"/>
  <c r="X79"/>
  <c r="X125"/>
  <c r="T119"/>
  <c r="X23"/>
  <c r="X25"/>
  <c r="X31"/>
  <c r="X54"/>
  <c r="X81"/>
  <c r="X58"/>
  <c r="X80"/>
  <c r="X90"/>
  <c r="X53"/>
  <c r="X63"/>
  <c r="X92"/>
  <c r="X62"/>
  <c r="X89"/>
  <c r="X136"/>
  <c r="X127"/>
  <c r="T31"/>
  <c r="T81"/>
  <c r="T122"/>
  <c r="R28"/>
  <c r="R39"/>
  <c r="R53"/>
  <c r="R80"/>
  <c r="R125"/>
  <c r="R65"/>
  <c r="T65"/>
  <c r="X34"/>
  <c r="X64"/>
  <c r="X143"/>
  <c r="T26"/>
  <c r="T50"/>
  <c r="T57"/>
  <c r="T87"/>
  <c r="T138"/>
  <c r="Q16"/>
  <c r="R45"/>
  <c r="R41"/>
  <c r="R63"/>
  <c r="R116"/>
  <c r="T23"/>
  <c r="T28"/>
  <c r="T39"/>
  <c r="T91"/>
  <c r="T90"/>
  <c r="T63"/>
  <c r="T121"/>
  <c r="T116"/>
  <c r="R19"/>
  <c r="R44"/>
  <c r="R25"/>
  <c r="R62"/>
  <c r="R81"/>
  <c r="R84"/>
  <c r="P65"/>
  <c r="X33"/>
  <c r="T24"/>
  <c r="T25"/>
  <c r="T32"/>
  <c r="T52"/>
  <c r="T88"/>
  <c r="T53"/>
  <c r="T79"/>
  <c r="T85"/>
  <c r="T117"/>
  <c r="T140"/>
  <c r="T137"/>
  <c r="R22"/>
  <c r="R40"/>
  <c r="R30"/>
  <c r="R34"/>
  <c r="R49"/>
  <c r="R92"/>
  <c r="R50"/>
  <c r="R140"/>
  <c r="S129"/>
  <c r="S129" i="22"/>
  <c r="X41" i="10"/>
  <c r="X26"/>
  <c r="R24"/>
  <c r="R38"/>
  <c r="R26"/>
  <c r="R51"/>
  <c r="R83"/>
  <c r="R89"/>
  <c r="R78"/>
  <c r="R61"/>
  <c r="R90"/>
  <c r="R127"/>
  <c r="R121"/>
  <c r="W16"/>
  <c r="T78"/>
  <c r="T58"/>
  <c r="T84"/>
  <c r="T49"/>
  <c r="T60"/>
  <c r="T82"/>
  <c r="T125"/>
  <c r="T127"/>
  <c r="T42"/>
  <c r="T33"/>
  <c r="T19"/>
  <c r="T40"/>
  <c r="T45"/>
  <c r="T29"/>
  <c r="T34"/>
  <c r="T48"/>
  <c r="T64"/>
  <c r="T86"/>
  <c r="T92"/>
  <c r="T89"/>
  <c r="T128"/>
  <c r="T143"/>
  <c r="T120"/>
  <c r="T139"/>
  <c r="P144"/>
  <c r="X42"/>
  <c r="T144"/>
  <c r="R55"/>
  <c r="R77"/>
  <c r="R85"/>
  <c r="R54"/>
  <c r="R86"/>
  <c r="R120"/>
  <c r="R139"/>
  <c r="R117"/>
  <c r="R128"/>
  <c r="R143"/>
  <c r="R42"/>
  <c r="X137"/>
  <c r="R57"/>
  <c r="R79"/>
  <c r="R87"/>
  <c r="R48"/>
  <c r="R93"/>
  <c r="R58"/>
  <c r="R88"/>
  <c r="R122"/>
  <c r="R142"/>
  <c r="R119"/>
  <c r="R136"/>
  <c r="X65"/>
  <c r="P42"/>
  <c r="X138"/>
  <c r="N10"/>
  <c r="N6"/>
  <c r="N11"/>
  <c r="N7"/>
  <c r="N8"/>
  <c r="AJ5"/>
  <c r="AJ93"/>
  <c r="AJ41"/>
  <c r="F16"/>
  <c r="AJ115"/>
  <c r="L144"/>
  <c r="L128"/>
  <c r="L143"/>
  <c r="L120"/>
  <c r="L139"/>
  <c r="L117"/>
  <c r="L136"/>
  <c r="L122"/>
  <c r="L142"/>
  <c r="L55"/>
  <c r="L65"/>
  <c r="J144"/>
  <c r="V144"/>
  <c r="V65"/>
  <c r="V42"/>
  <c r="Z144"/>
  <c r="Z42"/>
  <c r="Z65"/>
  <c r="H93"/>
  <c r="Y129"/>
  <c r="Y129" i="22"/>
  <c r="V119" i="10"/>
  <c r="I129"/>
  <c r="I129" i="22"/>
  <c r="V93" i="10"/>
  <c r="G21" i="22"/>
  <c r="H129" i="10"/>
  <c r="V129"/>
  <c r="X129"/>
  <c r="L129"/>
  <c r="P129"/>
  <c r="J126"/>
  <c r="N81"/>
  <c r="T126"/>
  <c r="L126"/>
  <c r="H27"/>
  <c r="V143"/>
  <c r="V140"/>
  <c r="V138"/>
  <c r="V136"/>
  <c r="V128"/>
  <c r="V125"/>
  <c r="V121"/>
  <c r="V117"/>
  <c r="V142"/>
  <c r="V139"/>
  <c r="V137"/>
  <c r="V127"/>
  <c r="V122"/>
  <c r="V120"/>
  <c r="V116"/>
  <c r="V90"/>
  <c r="V88"/>
  <c r="V86"/>
  <c r="V84"/>
  <c r="V80"/>
  <c r="V64"/>
  <c r="V61"/>
  <c r="V58"/>
  <c r="V91"/>
  <c r="V81"/>
  <c r="V78"/>
  <c r="V54"/>
  <c r="V52"/>
  <c r="V50"/>
  <c r="V48"/>
  <c r="V89"/>
  <c r="V87"/>
  <c r="V85"/>
  <c r="V82"/>
  <c r="V62"/>
  <c r="V92"/>
  <c r="V83"/>
  <c r="V79"/>
  <c r="V77"/>
  <c r="V63"/>
  <c r="V60"/>
  <c r="V57"/>
  <c r="V55"/>
  <c r="V53"/>
  <c r="V51"/>
  <c r="V49"/>
  <c r="V33"/>
  <c r="V26"/>
  <c r="V30"/>
  <c r="V41"/>
  <c r="V38"/>
  <c r="V31"/>
  <c r="U16"/>
  <c r="V39"/>
  <c r="V32"/>
  <c r="V28"/>
  <c r="V45"/>
  <c r="V44"/>
  <c r="V40"/>
  <c r="V34"/>
  <c r="V29"/>
  <c r="V25"/>
  <c r="V24"/>
  <c r="V23"/>
  <c r="V22"/>
  <c r="V19"/>
  <c r="K21" i="22"/>
  <c r="D145" i="10"/>
  <c r="Z126"/>
  <c r="Z143"/>
  <c r="Z140"/>
  <c r="Z138"/>
  <c r="Z136"/>
  <c r="Z128"/>
  <c r="Z125"/>
  <c r="Z121"/>
  <c r="Z119"/>
  <c r="Z117"/>
  <c r="Z142"/>
  <c r="Z139"/>
  <c r="Z137"/>
  <c r="Z127"/>
  <c r="Z122"/>
  <c r="Z120"/>
  <c r="Z116"/>
  <c r="Z88"/>
  <c r="Z86"/>
  <c r="Z84"/>
  <c r="Z80"/>
  <c r="Z64"/>
  <c r="Z61"/>
  <c r="Z58"/>
  <c r="Z93"/>
  <c r="Z91"/>
  <c r="Z81"/>
  <c r="Z78"/>
  <c r="Z54"/>
  <c r="Z52"/>
  <c r="Z50"/>
  <c r="Z48"/>
  <c r="Z89"/>
  <c r="Z87"/>
  <c r="Z85"/>
  <c r="Z82"/>
  <c r="Z62"/>
  <c r="Z92"/>
  <c r="Z83"/>
  <c r="Z79"/>
  <c r="Z77"/>
  <c r="Z63"/>
  <c r="Z60"/>
  <c r="Z57"/>
  <c r="Z55"/>
  <c r="Z53"/>
  <c r="Z51"/>
  <c r="Z49"/>
  <c r="Z33"/>
  <c r="Z26"/>
  <c r="Z41"/>
  <c r="Z38"/>
  <c r="Z31"/>
  <c r="Z32"/>
  <c r="Z28"/>
  <c r="Z39"/>
  <c r="Z34"/>
  <c r="Z29"/>
  <c r="Z25"/>
  <c r="Z45"/>
  <c r="Z44"/>
  <c r="Z40"/>
  <c r="Z30"/>
  <c r="Z24"/>
  <c r="Z23"/>
  <c r="Z22"/>
  <c r="Z19"/>
  <c r="X126"/>
  <c r="P126"/>
  <c r="H126"/>
  <c r="L16"/>
  <c r="R129"/>
  <c r="V126"/>
  <c r="D16"/>
  <c r="R126"/>
  <c r="J143"/>
  <c r="J140"/>
  <c r="J138"/>
  <c r="J136"/>
  <c r="J125"/>
  <c r="J121"/>
  <c r="J119"/>
  <c r="J117"/>
  <c r="J142"/>
  <c r="J139"/>
  <c r="J137"/>
  <c r="J127"/>
  <c r="J122"/>
  <c r="J120"/>
  <c r="J116"/>
  <c r="J90"/>
  <c r="J88"/>
  <c r="J86"/>
  <c r="J84"/>
  <c r="J80"/>
  <c r="J64"/>
  <c r="J61"/>
  <c r="J58"/>
  <c r="J93"/>
  <c r="J91"/>
  <c r="J81"/>
  <c r="J78"/>
  <c r="J54"/>
  <c r="J52"/>
  <c r="J50"/>
  <c r="J48"/>
  <c r="J89"/>
  <c r="J87"/>
  <c r="J85"/>
  <c r="J82"/>
  <c r="J65"/>
  <c r="J62"/>
  <c r="J92"/>
  <c r="J83"/>
  <c r="J79"/>
  <c r="J77"/>
  <c r="J63"/>
  <c r="J57"/>
  <c r="J55"/>
  <c r="J53"/>
  <c r="J51"/>
  <c r="J49"/>
  <c r="J33"/>
  <c r="J26"/>
  <c r="J38"/>
  <c r="J31"/>
  <c r="J32"/>
  <c r="J28"/>
  <c r="J39"/>
  <c r="J34"/>
  <c r="J29"/>
  <c r="J45"/>
  <c r="J44"/>
  <c r="J42"/>
  <c r="J40"/>
  <c r="J30"/>
  <c r="J24"/>
  <c r="J23"/>
  <c r="J22"/>
  <c r="J19"/>
  <c r="I16"/>
  <c r="I2" i="27"/>
  <c r="J41" i="10"/>
  <c r="AK15" i="22"/>
  <c r="X27" i="10"/>
  <c r="W2" i="27"/>
  <c r="U2"/>
  <c r="U27" i="22"/>
  <c r="S2" i="27"/>
  <c r="R46" i="10"/>
  <c r="Q2" i="27"/>
  <c r="AQ27" i="10"/>
  <c r="O2" i="27"/>
  <c r="Q46" i="22"/>
  <c r="Q76" i="10"/>
  <c r="AQ46"/>
  <c r="K46" i="22"/>
  <c r="K76" i="10"/>
  <c r="K76" i="22"/>
  <c r="L46" i="10"/>
  <c r="J27"/>
  <c r="G46" i="22"/>
  <c r="G76" i="10"/>
  <c r="H46"/>
  <c r="E46" i="22"/>
  <c r="E76" i="10"/>
  <c r="F46"/>
  <c r="AQ16"/>
  <c r="AA17"/>
  <c r="AB73" s="1"/>
  <c r="R17"/>
  <c r="AM115" i="22"/>
  <c r="AN115"/>
  <c r="Q17"/>
  <c r="S16"/>
  <c r="S27"/>
  <c r="O16"/>
  <c r="S17"/>
  <c r="AA17" s="1"/>
  <c r="U17"/>
  <c r="Y17"/>
  <c r="O17"/>
  <c r="K35" i="10"/>
  <c r="K35" i="22"/>
  <c r="L27" i="10"/>
  <c r="G35"/>
  <c r="G35" i="22"/>
  <c r="W16"/>
  <c r="D27" i="10"/>
  <c r="C27" i="22"/>
  <c r="AL12"/>
  <c r="AM12"/>
  <c r="AN12"/>
  <c r="AA12"/>
  <c r="I27"/>
  <c r="I16"/>
  <c r="Y27"/>
  <c r="Y16"/>
  <c r="U16"/>
  <c r="T129" i="10"/>
  <c r="Q27" i="22"/>
  <c r="Q16"/>
  <c r="AL41"/>
  <c r="AM41"/>
  <c r="AN41"/>
  <c r="AA41"/>
  <c r="C35" i="10"/>
  <c r="S21"/>
  <c r="S21" i="22" s="1"/>
  <c r="O21" i="10"/>
  <c r="E35"/>
  <c r="F27"/>
  <c r="P16"/>
  <c r="T16"/>
  <c r="AI17"/>
  <c r="J129"/>
  <c r="R16"/>
  <c r="AB11"/>
  <c r="AD10"/>
  <c r="AB10"/>
  <c r="AJ12"/>
  <c r="N42"/>
  <c r="N127"/>
  <c r="AB8"/>
  <c r="AB9"/>
  <c r="AB7"/>
  <c r="AB6"/>
  <c r="AB59"/>
  <c r="N45"/>
  <c r="N26"/>
  <c r="N78"/>
  <c r="N140"/>
  <c r="N41"/>
  <c r="N57"/>
  <c r="N58"/>
  <c r="N30"/>
  <c r="N82"/>
  <c r="N40"/>
  <c r="N49"/>
  <c r="N89"/>
  <c r="N90"/>
  <c r="N138"/>
  <c r="Q21"/>
  <c r="Q21" i="22" s="1"/>
  <c r="N23" i="10"/>
  <c r="N32"/>
  <c r="N79"/>
  <c r="N80"/>
  <c r="N142"/>
  <c r="N144"/>
  <c r="X16"/>
  <c r="N24"/>
  <c r="N29"/>
  <c r="N55"/>
  <c r="N52"/>
  <c r="N125"/>
  <c r="W21"/>
  <c r="W21" i="22" s="1"/>
  <c r="N39" i="10"/>
  <c r="N25"/>
  <c r="N77"/>
  <c r="N50"/>
  <c r="N88"/>
  <c r="N122"/>
  <c r="N121"/>
  <c r="L42"/>
  <c r="AJ126"/>
  <c r="M129"/>
  <c r="M129" i="22"/>
  <c r="AA129"/>
  <c r="AC129"/>
  <c r="N126" i="10"/>
  <c r="N38"/>
  <c r="N44"/>
  <c r="N28"/>
  <c r="N53"/>
  <c r="N63"/>
  <c r="N62"/>
  <c r="N48"/>
  <c r="N93"/>
  <c r="N19"/>
  <c r="N31"/>
  <c r="M16"/>
  <c r="M2" i="27"/>
  <c r="N34" i="10"/>
  <c r="N51"/>
  <c r="N60"/>
  <c r="N83"/>
  <c r="N85"/>
  <c r="N54"/>
  <c r="N91"/>
  <c r="N61"/>
  <c r="N84"/>
  <c r="N116"/>
  <c r="N137"/>
  <c r="N128"/>
  <c r="N143"/>
  <c r="N65"/>
  <c r="N119"/>
  <c r="N22"/>
  <c r="N33"/>
  <c r="N92"/>
  <c r="N87"/>
  <c r="N64"/>
  <c r="N86"/>
  <c r="N120"/>
  <c r="N139"/>
  <c r="N117"/>
  <c r="N136"/>
  <c r="H21"/>
  <c r="Z129"/>
  <c r="Y35"/>
  <c r="Y35" i="22"/>
  <c r="J16" i="10"/>
  <c r="I35"/>
  <c r="I35" i="22"/>
  <c r="Z16" i="10"/>
  <c r="Y21"/>
  <c r="Y21" i="22" s="1"/>
  <c r="U21" i="10"/>
  <c r="U21" i="22"/>
  <c r="V16" i="10"/>
  <c r="V27"/>
  <c r="I21" i="22"/>
  <c r="L21" i="10"/>
  <c r="W27" i="22"/>
  <c r="U35" i="10"/>
  <c r="U35" i="22"/>
  <c r="AA2" i="27"/>
  <c r="W35" i="10"/>
  <c r="X35"/>
  <c r="W46" i="22"/>
  <c r="W76" i="10"/>
  <c r="W76" i="22"/>
  <c r="X46" i="10"/>
  <c r="U46" i="22"/>
  <c r="U76" i="10"/>
  <c r="U76" i="22"/>
  <c r="V46" i="10"/>
  <c r="S46" i="22"/>
  <c r="S76" i="10"/>
  <c r="S76" i="22"/>
  <c r="T46" i="10"/>
  <c r="Q76" i="22"/>
  <c r="AQ76" i="10"/>
  <c r="O46" i="22"/>
  <c r="O76" i="10"/>
  <c r="O76" i="22"/>
  <c r="P46" i="10"/>
  <c r="I46" i="22"/>
  <c r="I76" i="10"/>
  <c r="I76" i="22"/>
  <c r="J46" i="10"/>
  <c r="G76" i="22"/>
  <c r="H76" i="10"/>
  <c r="G145"/>
  <c r="G4" i="27" s="1"/>
  <c r="G5" s="1"/>
  <c r="E76" i="22"/>
  <c r="E145" i="10"/>
  <c r="E4" i="27" s="1"/>
  <c r="F76" i="10"/>
  <c r="AC17"/>
  <c r="AD73" s="1"/>
  <c r="AK115" i="22"/>
  <c r="AQ21" i="10"/>
  <c r="AJ115" i="22"/>
  <c r="R27" i="10"/>
  <c r="Q35"/>
  <c r="K36"/>
  <c r="L35"/>
  <c r="H35"/>
  <c r="G36"/>
  <c r="F35"/>
  <c r="E35" i="22"/>
  <c r="C36" i="10"/>
  <c r="C35" i="22"/>
  <c r="AC41"/>
  <c r="AJ41"/>
  <c r="AK41"/>
  <c r="AC12"/>
  <c r="AJ12"/>
  <c r="AK12"/>
  <c r="M27"/>
  <c r="M16"/>
  <c r="AM16"/>
  <c r="AN16"/>
  <c r="AJ129" i="10"/>
  <c r="O35"/>
  <c r="O36"/>
  <c r="O27" i="22"/>
  <c r="P21" i="10"/>
  <c r="O21" i="22"/>
  <c r="Y145" i="10"/>
  <c r="Q145"/>
  <c r="Q4" i="27" s="1"/>
  <c r="D35" i="10"/>
  <c r="E36"/>
  <c r="E3" i="27" s="1"/>
  <c r="P27" i="10"/>
  <c r="S35"/>
  <c r="AM17" i="22"/>
  <c r="AN17" s="1"/>
  <c r="T27" i="10"/>
  <c r="AI129"/>
  <c r="AH129"/>
  <c r="AI16"/>
  <c r="AH16"/>
  <c r="AA21"/>
  <c r="AB144"/>
  <c r="AB150"/>
  <c r="AB93"/>
  <c r="AD9"/>
  <c r="AD59"/>
  <c r="AD6"/>
  <c r="AD7"/>
  <c r="AD11"/>
  <c r="AD8"/>
  <c r="AB141"/>
  <c r="AB53"/>
  <c r="AB22"/>
  <c r="AB91"/>
  <c r="AB52"/>
  <c r="AB63"/>
  <c r="AB88"/>
  <c r="AB32"/>
  <c r="AB40"/>
  <c r="AB140"/>
  <c r="AB143"/>
  <c r="AB31"/>
  <c r="AB87"/>
  <c r="AB41"/>
  <c r="AB77"/>
  <c r="AB33"/>
  <c r="AB55"/>
  <c r="AB65"/>
  <c r="AB120"/>
  <c r="AB139"/>
  <c r="AB43"/>
  <c r="AB30"/>
  <c r="AB48"/>
  <c r="AB62"/>
  <c r="AB78"/>
  <c r="AB116"/>
  <c r="AB137"/>
  <c r="AB119"/>
  <c r="AB83"/>
  <c r="AB23"/>
  <c r="AB60"/>
  <c r="AB66"/>
  <c r="AB85"/>
  <c r="AB117"/>
  <c r="AB80"/>
  <c r="AB79"/>
  <c r="AB19"/>
  <c r="AB67"/>
  <c r="AB26"/>
  <c r="AB57"/>
  <c r="AB38"/>
  <c r="AB29"/>
  <c r="AB44"/>
  <c r="AB82"/>
  <c r="AB56"/>
  <c r="AB127"/>
  <c r="AB92"/>
  <c r="AB90"/>
  <c r="AB64"/>
  <c r="AB16"/>
  <c r="AB34"/>
  <c r="AB50"/>
  <c r="AB125"/>
  <c r="AB84"/>
  <c r="AB47"/>
  <c r="AB126"/>
  <c r="AB128"/>
  <c r="AB49"/>
  <c r="AB121"/>
  <c r="AB51"/>
  <c r="AB138"/>
  <c r="AB58"/>
  <c r="AB24"/>
  <c r="AB28"/>
  <c r="AB61"/>
  <c r="AB81"/>
  <c r="AB136"/>
  <c r="AB86"/>
  <c r="AB25"/>
  <c r="AB68"/>
  <c r="AB89"/>
  <c r="AB54"/>
  <c r="AB122"/>
  <c r="AB142"/>
  <c r="AB39"/>
  <c r="AJ42"/>
  <c r="X21"/>
  <c r="R76"/>
  <c r="R21"/>
  <c r="N16"/>
  <c r="M21"/>
  <c r="AI21" s="1"/>
  <c r="AH21" s="1"/>
  <c r="AJ16"/>
  <c r="AJ17"/>
  <c r="N129"/>
  <c r="AD39"/>
  <c r="AB17"/>
  <c r="V21"/>
  <c r="J35"/>
  <c r="I36"/>
  <c r="I3" i="27"/>
  <c r="J21" i="10"/>
  <c r="Y36"/>
  <c r="Y3" i="27" s="1"/>
  <c r="Z21" i="10"/>
  <c r="AB129"/>
  <c r="AD82"/>
  <c r="AD40"/>
  <c r="AD34"/>
  <c r="AD84"/>
  <c r="AD80"/>
  <c r="AD139"/>
  <c r="AD26"/>
  <c r="AD88"/>
  <c r="AD86"/>
  <c r="AD50"/>
  <c r="AD25"/>
  <c r="AD120"/>
  <c r="AD140"/>
  <c r="AD143"/>
  <c r="AD63"/>
  <c r="AD79"/>
  <c r="AD31"/>
  <c r="AD30"/>
  <c r="AD24"/>
  <c r="AD92"/>
  <c r="AD60"/>
  <c r="AD51"/>
  <c r="AD81"/>
  <c r="AD49"/>
  <c r="AD47"/>
  <c r="AD22"/>
  <c r="AD117"/>
  <c r="Z35"/>
  <c r="AC21"/>
  <c r="V35"/>
  <c r="U36"/>
  <c r="U3" i="27"/>
  <c r="V76" i="10"/>
  <c r="U145"/>
  <c r="U145" i="22" s="1"/>
  <c r="K36"/>
  <c r="K3" i="27"/>
  <c r="G36" i="22"/>
  <c r="G3" i="27"/>
  <c r="C36" i="22"/>
  <c r="C3" i="27"/>
  <c r="S145" i="10"/>
  <c r="T145" s="1"/>
  <c r="Y145" i="22"/>
  <c r="Y4" i="27"/>
  <c r="T76" i="10"/>
  <c r="P76"/>
  <c r="O145"/>
  <c r="O4" i="27" s="1"/>
  <c r="O5" s="1"/>
  <c r="O159" i="10"/>
  <c r="O3" i="27"/>
  <c r="W35" i="22"/>
  <c r="W145" i="10"/>
  <c r="X145" s="1"/>
  <c r="J76"/>
  <c r="X76"/>
  <c r="M46" i="22"/>
  <c r="M76" i="10"/>
  <c r="M76" i="22"/>
  <c r="AA76"/>
  <c r="AC76"/>
  <c r="N46" i="10"/>
  <c r="AJ46"/>
  <c r="AA46"/>
  <c r="AI46"/>
  <c r="G145" i="22"/>
  <c r="H145" i="10"/>
  <c r="F145"/>
  <c r="Q35" i="22"/>
  <c r="AQ35" i="10"/>
  <c r="AQ145"/>
  <c r="AR145" s="1"/>
  <c r="Q145" i="22"/>
  <c r="I36"/>
  <c r="I159" i="10"/>
  <c r="Q36"/>
  <c r="Q3" i="27" s="1"/>
  <c r="R35" i="10"/>
  <c r="N27"/>
  <c r="AA27"/>
  <c r="M35"/>
  <c r="AI35"/>
  <c r="AJ27"/>
  <c r="AI27"/>
  <c r="K37"/>
  <c r="K37" i="22"/>
  <c r="L36" i="10"/>
  <c r="H36"/>
  <c r="G37"/>
  <c r="G37" i="22"/>
  <c r="C37" i="10"/>
  <c r="C37" i="22" s="1"/>
  <c r="D36" i="10"/>
  <c r="AA16" i="22"/>
  <c r="AC16"/>
  <c r="AJ16"/>
  <c r="AA27"/>
  <c r="AC27"/>
  <c r="P36" i="10"/>
  <c r="O36" i="22"/>
  <c r="P35" i="10"/>
  <c r="O35" i="22"/>
  <c r="S36" i="10"/>
  <c r="S36" i="22" s="1"/>
  <c r="S35"/>
  <c r="E36"/>
  <c r="AL129"/>
  <c r="AM129"/>
  <c r="AN129"/>
  <c r="AL16"/>
  <c r="Z145" i="10"/>
  <c r="R145"/>
  <c r="T35"/>
  <c r="E37"/>
  <c r="AM27" i="22"/>
  <c r="AN27"/>
  <c r="AL27"/>
  <c r="O37" i="10"/>
  <c r="AD41"/>
  <c r="AD150"/>
  <c r="AB42"/>
  <c r="AD42"/>
  <c r="AD55"/>
  <c r="AD77"/>
  <c r="AD48"/>
  <c r="AD57"/>
  <c r="AD116"/>
  <c r="AD83"/>
  <c r="AD23"/>
  <c r="AD19"/>
  <c r="AD38"/>
  <c r="AD53"/>
  <c r="AD28"/>
  <c r="AD64"/>
  <c r="AD91"/>
  <c r="AD127"/>
  <c r="AD32"/>
  <c r="AD128"/>
  <c r="AD65"/>
  <c r="AD61"/>
  <c r="AD138"/>
  <c r="AD142"/>
  <c r="AD29"/>
  <c r="AD87"/>
  <c r="AD16"/>
  <c r="AD85"/>
  <c r="AD119"/>
  <c r="AD137"/>
  <c r="AD43"/>
  <c r="AD54"/>
  <c r="AD44"/>
  <c r="AD125"/>
  <c r="AD136"/>
  <c r="AD62"/>
  <c r="AD141"/>
  <c r="AD93"/>
  <c r="AD129"/>
  <c r="AD78"/>
  <c r="AD122"/>
  <c r="AD52"/>
  <c r="AD33"/>
  <c r="AD121"/>
  <c r="AD90"/>
  <c r="AD58"/>
  <c r="AD56"/>
  <c r="AD89"/>
  <c r="AD126"/>
  <c r="N21"/>
  <c r="Z36"/>
  <c r="Y37"/>
  <c r="Y131" s="1"/>
  <c r="AD17"/>
  <c r="J36"/>
  <c r="I37"/>
  <c r="I37" i="22"/>
  <c r="V36" i="10"/>
  <c r="AB21"/>
  <c r="AH46"/>
  <c r="AC27"/>
  <c r="AD27"/>
  <c r="AH27"/>
  <c r="U37"/>
  <c r="U37" i="22"/>
  <c r="U36"/>
  <c r="V145" i="10"/>
  <c r="U4" i="27"/>
  <c r="U5" s="1"/>
  <c r="S145" i="22"/>
  <c r="S4" i="27"/>
  <c r="S3"/>
  <c r="W145" i="22"/>
  <c r="O173" i="10"/>
  <c r="P145"/>
  <c r="O145" i="22"/>
  <c r="M145" i="10"/>
  <c r="M173" s="1"/>
  <c r="N76"/>
  <c r="AC46"/>
  <c r="AA76"/>
  <c r="AB46"/>
  <c r="AM46" i="22"/>
  <c r="AN46"/>
  <c r="AL46"/>
  <c r="AA46"/>
  <c r="Q36"/>
  <c r="N35" i="10"/>
  <c r="Q37"/>
  <c r="R37" s="1"/>
  <c r="M35" i="22"/>
  <c r="AL35"/>
  <c r="AB27" i="10"/>
  <c r="AJ35"/>
  <c r="AA35"/>
  <c r="L37"/>
  <c r="H37"/>
  <c r="G131"/>
  <c r="G131" i="22" s="1"/>
  <c r="AK16"/>
  <c r="C131" i="10"/>
  <c r="C131" i="22" s="1"/>
  <c r="D37" i="10"/>
  <c r="AJ129" i="22"/>
  <c r="AK129"/>
  <c r="S37" i="10"/>
  <c r="T37" s="1"/>
  <c r="P37"/>
  <c r="O37" i="22"/>
  <c r="E131" i="10"/>
  <c r="E131" i="22" s="1"/>
  <c r="E37"/>
  <c r="F37" i="10"/>
  <c r="AK27" i="22"/>
  <c r="AH27"/>
  <c r="O131" i="10"/>
  <c r="O131" i="22" s="1"/>
  <c r="F148" i="10"/>
  <c r="Z37"/>
  <c r="I131"/>
  <c r="I131" i="22" s="1"/>
  <c r="J37" i="10"/>
  <c r="AD21"/>
  <c r="U131"/>
  <c r="U131" i="22" s="1"/>
  <c r="AC35" i="10"/>
  <c r="AH35"/>
  <c r="V37"/>
  <c r="M4" i="27"/>
  <c r="AC46" i="22"/>
  <c r="AJ46"/>
  <c r="AK46"/>
  <c r="AA145" i="10"/>
  <c r="AC145" s="1"/>
  <c r="AC76"/>
  <c r="AB76"/>
  <c r="AD46"/>
  <c r="AQ37"/>
  <c r="Q131"/>
  <c r="Q131" i="22" s="1"/>
  <c r="AA35"/>
  <c r="AC35"/>
  <c r="AM35"/>
  <c r="AN35"/>
  <c r="AA36" i="10"/>
  <c r="AB35"/>
  <c r="G135"/>
  <c r="G146" s="1"/>
  <c r="E135"/>
  <c r="E146" s="1"/>
  <c r="C135"/>
  <c r="C135" i="22" s="1"/>
  <c r="AI27"/>
  <c r="AH35"/>
  <c r="AJ27"/>
  <c r="P131" i="10"/>
  <c r="H148"/>
  <c r="J131"/>
  <c r="U135"/>
  <c r="U135" i="22" s="1"/>
  <c r="V131" i="10"/>
  <c r="AD35"/>
  <c r="Q135"/>
  <c r="Q146" s="1"/>
  <c r="AK35" i="22"/>
  <c r="C146" i="10"/>
  <c r="C146" i="22" s="1"/>
  <c r="AJ35"/>
  <c r="AH36"/>
  <c r="AI35"/>
  <c r="R148" i="10"/>
  <c r="T148"/>
  <c r="P148"/>
  <c r="AH37" i="22"/>
  <c r="AI36"/>
  <c r="X148" i="10"/>
  <c r="Z148"/>
  <c r="V148"/>
  <c r="N148"/>
  <c r="AI37" i="22"/>
  <c r="AH131"/>
  <c r="AI148" i="10"/>
  <c r="AI131" i="22"/>
  <c r="AH135"/>
  <c r="AI135"/>
  <c r="AH146"/>
  <c r="O54" i="17"/>
  <c r="O55"/>
  <c r="P55"/>
  <c r="I58"/>
  <c r="AI146" i="22"/>
  <c r="AH152"/>
  <c r="AI152"/>
  <c r="N52" i="17"/>
  <c r="I52"/>
  <c r="L23" i="16"/>
  <c r="L25"/>
  <c r="L24"/>
  <c r="G32"/>
  <c r="G31"/>
  <c r="G30"/>
  <c r="G33"/>
  <c r="G25"/>
  <c r="G24"/>
  <c r="G23"/>
  <c r="D17" i="17"/>
  <c r="D19"/>
  <c r="L64"/>
  <c r="N64"/>
  <c r="O64"/>
  <c r="L63"/>
  <c r="N63"/>
  <c r="O63"/>
  <c r="N62"/>
  <c r="E66"/>
  <c r="G67"/>
  <c r="O62"/>
  <c r="O65"/>
  <c r="D31"/>
  <c r="D62"/>
  <c r="D63"/>
  <c r="E62"/>
  <c r="E63"/>
  <c r="D64"/>
  <c r="E64"/>
  <c r="C64"/>
  <c r="C67"/>
  <c r="C58"/>
  <c r="C51"/>
  <c r="C37"/>
  <c r="C38"/>
  <c r="C60"/>
  <c r="H33"/>
  <c r="I33"/>
  <c r="D23"/>
  <c r="E23"/>
  <c r="H13"/>
  <c r="H11"/>
  <c r="H9"/>
  <c r="H7"/>
  <c r="H5"/>
  <c r="H3"/>
  <c r="E13"/>
  <c r="E11"/>
  <c r="E9"/>
  <c r="E7"/>
  <c r="E5"/>
  <c r="E3"/>
  <c r="B3"/>
  <c r="B13"/>
  <c r="B11"/>
  <c r="B9"/>
  <c r="B7"/>
  <c r="B5"/>
  <c r="H15"/>
  <c r="H17"/>
  <c r="B15"/>
  <c r="B17"/>
  <c r="E15"/>
  <c r="E17"/>
  <c r="I17"/>
  <c r="H20"/>
  <c r="E20"/>
  <c r="F17"/>
  <c r="C17"/>
  <c r="B20"/>
  <c r="L45" i="10"/>
  <c r="AM76" i="22"/>
  <c r="AN76"/>
  <c r="AL76"/>
  <c r="K145" i="10"/>
  <c r="K4" i="27" s="1"/>
  <c r="K5" s="1"/>
  <c r="AI76" i="10"/>
  <c r="AH76"/>
  <c r="L76"/>
  <c r="AJ76"/>
  <c r="AB45"/>
  <c r="K131"/>
  <c r="L131" s="1"/>
  <c r="AJ76" i="22"/>
  <c r="AK76"/>
  <c r="AD45" i="10"/>
  <c r="AB145"/>
  <c r="AD76"/>
  <c r="L148"/>
  <c r="I145"/>
  <c r="I145" i="22" s="1"/>
  <c r="J148" i="10"/>
  <c r="AA148"/>
  <c r="AH148"/>
  <c r="AC148"/>
  <c r="AB148"/>
  <c r="AD148"/>
  <c r="Y144" i="22" l="1"/>
  <c r="Y166" s="1"/>
  <c r="W166" i="10"/>
  <c r="U166"/>
  <c r="S6" i="27"/>
  <c r="S5"/>
  <c r="Q144" i="22"/>
  <c r="Q166" s="1"/>
  <c r="O166" i="10"/>
  <c r="K166"/>
  <c r="K6" i="27"/>
  <c r="I144" i="22"/>
  <c r="I166" s="1"/>
  <c r="G6" i="27"/>
  <c r="E145" i="22"/>
  <c r="C144"/>
  <c r="C5" i="27"/>
  <c r="C4"/>
  <c r="U7"/>
  <c r="N145" i="10"/>
  <c r="M145" i="22"/>
  <c r="AL145" s="1"/>
  <c r="M93"/>
  <c r="AM93" s="1"/>
  <c r="AN93" s="1"/>
  <c r="W4" i="27"/>
  <c r="O135" i="10"/>
  <c r="K135"/>
  <c r="H135"/>
  <c r="U146"/>
  <c r="V135"/>
  <c r="AQ135"/>
  <c r="AQ131"/>
  <c r="O7" i="27"/>
  <c r="AK145" i="10"/>
  <c r="AD145"/>
  <c r="K135" i="22"/>
  <c r="K131"/>
  <c r="AA7" i="27"/>
  <c r="AJ145" i="10"/>
  <c r="AI145"/>
  <c r="AH145" s="1"/>
  <c r="J145"/>
  <c r="I135"/>
  <c r="G146" i="22"/>
  <c r="H146" i="10"/>
  <c r="G152"/>
  <c r="G135" i="22"/>
  <c r="H131" i="10"/>
  <c r="F131"/>
  <c r="AL93" i="22"/>
  <c r="AA93"/>
  <c r="D135" i="10"/>
  <c r="D131"/>
  <c r="D146"/>
  <c r="C152"/>
  <c r="Z131"/>
  <c r="Y131" i="22"/>
  <c r="Y135" i="10"/>
  <c r="Y37" i="22"/>
  <c r="AJ21" i="10"/>
  <c r="W36"/>
  <c r="S37" i="22"/>
  <c r="S131" i="10"/>
  <c r="T36"/>
  <c r="T21"/>
  <c r="AC17" i="22"/>
  <c r="AJ17" s="1"/>
  <c r="AK17"/>
  <c r="AL17"/>
  <c r="Q146"/>
  <c r="AQ146" i="10"/>
  <c r="R146"/>
  <c r="Q152"/>
  <c r="R131"/>
  <c r="Q37" i="22"/>
  <c r="R36" i="10"/>
  <c r="Q5" i="27"/>
  <c r="R135" i="10"/>
  <c r="Q135" i="22"/>
  <c r="AQ36" i="10"/>
  <c r="M36"/>
  <c r="M21" i="22"/>
  <c r="AL21" s="1"/>
  <c r="E146"/>
  <c r="E152" i="10"/>
  <c r="F146"/>
  <c r="E135" i="22"/>
  <c r="F36" i="10"/>
  <c r="F135"/>
  <c r="AA37"/>
  <c r="AH17"/>
  <c r="AB36"/>
  <c r="AC36"/>
  <c r="AD36" s="1"/>
  <c r="Y5" i="27"/>
  <c r="AM21" i="22"/>
  <c r="AN21" s="1"/>
  <c r="AA131" i="10"/>
  <c r="Y36" i="22"/>
  <c r="Y166" i="10"/>
  <c r="W6" i="27"/>
  <c r="Q166" i="10"/>
  <c r="AQ144"/>
  <c r="AJ144"/>
  <c r="AD144"/>
  <c r="AC166"/>
  <c r="M166"/>
  <c r="M144" i="22"/>
  <c r="M166" s="1"/>
  <c r="AA166" i="10"/>
  <c r="K145" i="22"/>
  <c r="L145" i="10"/>
  <c r="I173"/>
  <c r="I4" i="27"/>
  <c r="I5" s="1"/>
  <c r="E5"/>
  <c r="AL144" i="22"/>
  <c r="E6" i="27"/>
  <c r="AI144" i="10"/>
  <c r="AH144" s="1"/>
  <c r="AC164" i="22"/>
  <c r="AJ142"/>
  <c r="AA145" l="1"/>
  <c r="AA6" i="27"/>
  <c r="O135" i="22"/>
  <c r="O146" i="10"/>
  <c r="P135"/>
  <c r="L135"/>
  <c r="K146"/>
  <c r="AA4" i="27"/>
  <c r="U146" i="22"/>
  <c r="U152" i="10"/>
  <c r="V146"/>
  <c r="I146"/>
  <c r="J135"/>
  <c r="I135" i="22"/>
  <c r="G152"/>
  <c r="H152" i="10"/>
  <c r="AC93" i="22"/>
  <c r="AJ93" s="1"/>
  <c r="AK93"/>
  <c r="C152"/>
  <c r="C154" s="1"/>
  <c r="C154" i="10"/>
  <c r="C156" s="1"/>
  <c r="D152"/>
  <c r="Y135" i="22"/>
  <c r="Y146" i="10"/>
  <c r="Z135"/>
  <c r="W37"/>
  <c r="W36" i="22"/>
  <c r="X36" i="10"/>
  <c r="W3" i="27"/>
  <c r="W5" s="1"/>
  <c r="S131" i="22"/>
  <c r="T131" i="10"/>
  <c r="S135"/>
  <c r="T135" s="1"/>
  <c r="Q152" i="22"/>
  <c r="Q160" s="1"/>
  <c r="Q169" s="1"/>
  <c r="Q160" i="10"/>
  <c r="Q169" s="1"/>
  <c r="R152"/>
  <c r="AQ152"/>
  <c r="AJ36"/>
  <c r="M36" i="22"/>
  <c r="M159" i="10"/>
  <c r="M3" i="27"/>
  <c r="M37" i="10"/>
  <c r="N36"/>
  <c r="AI36"/>
  <c r="AH36" s="1"/>
  <c r="AA21" i="22"/>
  <c r="AC21" s="1"/>
  <c r="AJ21" s="1"/>
  <c r="E152"/>
  <c r="F152" i="10"/>
  <c r="AC37"/>
  <c r="AD37" s="1"/>
  <c r="AB37"/>
  <c r="AP37" s="1"/>
  <c r="AC131"/>
  <c r="AD131" s="1"/>
  <c r="AB131"/>
  <c r="AA135"/>
  <c r="AA144" i="22"/>
  <c r="AK144" s="1"/>
  <c r="AM144"/>
  <c r="AN144" s="1"/>
  <c r="AM145"/>
  <c r="AN145" s="1"/>
  <c r="AK145"/>
  <c r="AC145"/>
  <c r="AO145" s="1"/>
  <c r="E154" l="1"/>
  <c r="O146"/>
  <c r="O152" i="10"/>
  <c r="P146"/>
  <c r="L146"/>
  <c r="K152"/>
  <c r="K146" i="22"/>
  <c r="U160" i="10"/>
  <c r="U169" s="1"/>
  <c r="V152"/>
  <c r="U152" i="22"/>
  <c r="U160" s="1"/>
  <c r="U169" s="1"/>
  <c r="I152" i="10"/>
  <c r="J146"/>
  <c r="I146" i="22"/>
  <c r="G154"/>
  <c r="AA36"/>
  <c r="E154" i="10"/>
  <c r="E156" s="1"/>
  <c r="Z146"/>
  <c r="Y152"/>
  <c r="Y146" i="22"/>
  <c r="W131" i="10"/>
  <c r="X37"/>
  <c r="W37" i="22"/>
  <c r="AK21"/>
  <c r="AM36"/>
  <c r="AN36" s="1"/>
  <c r="S135"/>
  <c r="S146" i="10"/>
  <c r="S152" s="1"/>
  <c r="M5" i="27"/>
  <c r="AA3"/>
  <c r="AA5" s="1"/>
  <c r="AI37" i="10"/>
  <c r="AH37" s="1"/>
  <c r="M37" i="22"/>
  <c r="AJ37" i="10"/>
  <c r="N37"/>
  <c r="M131"/>
  <c r="AL36" i="22"/>
  <c r="AC36"/>
  <c r="AJ36" s="1"/>
  <c r="AK36"/>
  <c r="AC135" i="10"/>
  <c r="AD135" s="1"/>
  <c r="AB135"/>
  <c r="AA146"/>
  <c r="AA166" i="22"/>
  <c r="AC144"/>
  <c r="AJ144" s="1"/>
  <c r="AJ145"/>
  <c r="O152" l="1"/>
  <c r="O160" s="1"/>
  <c r="O169" s="1"/>
  <c r="O174" i="10"/>
  <c r="P152"/>
  <c r="O160"/>
  <c r="O169" s="1"/>
  <c r="K160"/>
  <c r="K169" s="1"/>
  <c r="L152"/>
  <c r="K152" i="22"/>
  <c r="K160" s="1"/>
  <c r="K169" s="1"/>
  <c r="G154" i="10"/>
  <c r="I154" s="1"/>
  <c r="I152" i="22"/>
  <c r="I160" s="1"/>
  <c r="I169" s="1"/>
  <c r="I172" s="1"/>
  <c r="I160" i="10"/>
  <c r="I169" s="1"/>
  <c r="I172" s="1"/>
  <c r="K172" s="1"/>
  <c r="J152"/>
  <c r="I174"/>
  <c r="Y152" i="22"/>
  <c r="Y160" s="1"/>
  <c r="Y169" s="1"/>
  <c r="Y160" i="10"/>
  <c r="Y169" s="1"/>
  <c r="Z152"/>
  <c r="X131"/>
  <c r="W131" i="22"/>
  <c r="W135" i="10"/>
  <c r="T146"/>
  <c r="S146" i="22"/>
  <c r="S152"/>
  <c r="S160" s="1"/>
  <c r="S169" s="1"/>
  <c r="T152" i="10"/>
  <c r="S160"/>
  <c r="S169" s="1"/>
  <c r="AI131"/>
  <c r="AH131" s="1"/>
  <c r="M131" i="22"/>
  <c r="AJ131" i="10"/>
  <c r="N131"/>
  <c r="M135"/>
  <c r="AM37" i="22"/>
  <c r="AN37" s="1"/>
  <c r="AL37"/>
  <c r="AA37"/>
  <c r="AC37" s="1"/>
  <c r="AJ37" s="1"/>
  <c r="G156" i="10"/>
  <c r="AB146"/>
  <c r="AC146"/>
  <c r="AD146" s="1"/>
  <c r="AA152"/>
  <c r="AC166" i="22"/>
  <c r="K172" l="1"/>
  <c r="I154"/>
  <c r="K154" s="1"/>
  <c r="W146" i="10"/>
  <c r="W135" i="22"/>
  <c r="X135" i="10"/>
  <c r="AK37" i="22"/>
  <c r="AM131"/>
  <c r="AN131" s="1"/>
  <c r="AL131"/>
  <c r="AA131"/>
  <c r="N135" i="10"/>
  <c r="AJ135"/>
  <c r="M135" i="22"/>
  <c r="AI135" i="10"/>
  <c r="AH135" s="1"/>
  <c r="M146"/>
  <c r="I156"/>
  <c r="K154"/>
  <c r="AC152"/>
  <c r="AB152"/>
  <c r="AA160"/>
  <c r="AA169" s="1"/>
  <c r="AC169" s="1"/>
  <c r="AA153"/>
  <c r="W146" i="22" l="1"/>
  <c r="X146" i="10"/>
  <c r="W152"/>
  <c r="AM135" i="22"/>
  <c r="AN135" s="1"/>
  <c r="AA135"/>
  <c r="AL135"/>
  <c r="AK131"/>
  <c r="AC131"/>
  <c r="AJ131" s="1"/>
  <c r="AJ146" i="10"/>
  <c r="M146" i="22"/>
  <c r="N146" i="10"/>
  <c r="M152"/>
  <c r="AI146"/>
  <c r="AH146" s="1"/>
  <c r="K156"/>
  <c r="AC153"/>
  <c r="AD152"/>
  <c r="AC160"/>
  <c r="W152" i="22" l="1"/>
  <c r="W160" s="1"/>
  <c r="W169" s="1"/>
  <c r="W160" i="10"/>
  <c r="W169" s="1"/>
  <c r="X152"/>
  <c r="M160"/>
  <c r="M169" s="1"/>
  <c r="M172" s="1"/>
  <c r="O172" s="1"/>
  <c r="Q172" s="1"/>
  <c r="S172" s="1"/>
  <c r="U172" s="1"/>
  <c r="N152"/>
  <c r="M152" i="22"/>
  <c r="M174" i="10"/>
  <c r="AI152"/>
  <c r="AH152" s="1"/>
  <c r="AK135" i="22"/>
  <c r="AC135"/>
  <c r="AJ135" s="1"/>
  <c r="AL146"/>
  <c r="AM146"/>
  <c r="AN146" s="1"/>
  <c r="AA146"/>
  <c r="M154" i="10"/>
  <c r="M156" s="1"/>
  <c r="O154" l="1"/>
  <c r="Q154" s="1"/>
  <c r="W172"/>
  <c r="Y172" s="1"/>
  <c r="AK146" i="22"/>
  <c r="AC146"/>
  <c r="AJ146" s="1"/>
  <c r="M160"/>
  <c r="M169" s="1"/>
  <c r="M172" s="1"/>
  <c r="O172" s="1"/>
  <c r="Q172" s="1"/>
  <c r="S172" s="1"/>
  <c r="U172" s="1"/>
  <c r="W172" s="1"/>
  <c r="Y172" s="1"/>
  <c r="AA152"/>
  <c r="AL152"/>
  <c r="M154"/>
  <c r="O156" i="10" l="1"/>
  <c r="O154" i="22"/>
  <c r="Q154" s="1"/>
  <c r="S154" s="1"/>
  <c r="U154" s="1"/>
  <c r="W154" s="1"/>
  <c r="Y154" s="1"/>
  <c r="AK152"/>
  <c r="AA160"/>
  <c r="AA169" s="1"/>
  <c r="AC169" s="1"/>
  <c r="AC152"/>
  <c r="AA153"/>
  <c r="S154" i="10"/>
  <c r="Q156"/>
  <c r="AM154" i="22" l="1"/>
  <c r="AN154" s="1"/>
  <c r="AJ152"/>
  <c r="AC160"/>
  <c r="AC153"/>
  <c r="S156" i="10"/>
  <c r="U154"/>
  <c r="U156" l="1"/>
  <c r="W154"/>
  <c r="W156" s="1"/>
  <c r="AJ154" l="1"/>
</calcChain>
</file>

<file path=xl/comments1.xml><?xml version="1.0" encoding="utf-8"?>
<comments xmlns="http://schemas.openxmlformats.org/spreadsheetml/2006/main">
  <authors>
    <author>Kiran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Kiran:</t>
        </r>
        <r>
          <rPr>
            <sz val="9"/>
            <color indexed="81"/>
            <rFont val="Tahoma"/>
            <family val="2"/>
          </rPr>
          <t xml:space="preserve">
Advance Rent Paid from Dubai 02 a/c</t>
        </r>
      </text>
    </comment>
  </commentList>
</comments>
</file>

<file path=xl/comments2.xml><?xml version="1.0" encoding="utf-8"?>
<comments xmlns="http://schemas.openxmlformats.org/spreadsheetml/2006/main">
  <authors>
    <author>Rajesh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 xml:space="preserve">Less in leave, indemnity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Less in Leave, Indemnity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Added in leave, indemnity
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Added in leave, indemnity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Less in leave salary, indemnity
</t>
        </r>
      </text>
    </comment>
  </commentList>
</comments>
</file>

<file path=xl/comments3.xml><?xml version="1.0" encoding="utf-8"?>
<comments xmlns="http://schemas.openxmlformats.org/spreadsheetml/2006/main">
  <authors>
    <author>Nirav</author>
  </authors>
  <commentList>
    <comment ref="B45" authorId="0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</commentList>
</comments>
</file>

<file path=xl/sharedStrings.xml><?xml version="1.0" encoding="utf-8"?>
<sst xmlns="http://schemas.openxmlformats.org/spreadsheetml/2006/main" count="1458" uniqueCount="351">
  <si>
    <t>Consultation charges</t>
  </si>
  <si>
    <t>Other expenses</t>
  </si>
  <si>
    <t>Rent</t>
  </si>
  <si>
    <t>Electricity</t>
  </si>
  <si>
    <t>Water</t>
  </si>
  <si>
    <t>Telephone</t>
  </si>
  <si>
    <t>Petty cash expenses</t>
  </si>
  <si>
    <t>Travel</t>
  </si>
  <si>
    <t>Lodging</t>
  </si>
  <si>
    <t>Ticket</t>
  </si>
  <si>
    <t>postage and couirer</t>
  </si>
  <si>
    <t>Service charges</t>
  </si>
  <si>
    <t>Cleaning expenese</t>
  </si>
  <si>
    <t>Security Charges</t>
  </si>
  <si>
    <t>Stationery and supplies</t>
  </si>
  <si>
    <t>Insurance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</si>
  <si>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</si>
  <si>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</si>
  <si>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</si>
  <si>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</si>
  <si>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</si>
  <si>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</si>
  <si>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</si>
  <si>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</si>
  <si>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Administrative Expenses, Total</t>
  </si>
  <si>
    <t>Basic.</t>
  </si>
  <si>
    <t>HRA</t>
  </si>
  <si>
    <t>TRA</t>
  </si>
  <si>
    <t>Mobile</t>
  </si>
  <si>
    <t>School fees</t>
  </si>
  <si>
    <t>Leave Salary</t>
  </si>
  <si>
    <t>Indemnity</t>
  </si>
  <si>
    <t>Air ticket</t>
  </si>
  <si>
    <t>Staff Uniform</t>
  </si>
  <si>
    <t>Over time</t>
  </si>
  <si>
    <t>Bonus</t>
  </si>
  <si>
    <t>Social Security 11%</t>
  </si>
  <si>
    <t>Incentive</t>
  </si>
  <si>
    <t>Advertisement</t>
  </si>
  <si>
    <t>Sales Promotion</t>
  </si>
  <si>
    <t>Shopping Bags</t>
  </si>
  <si>
    <t>Barcode Labels</t>
  </si>
  <si>
    <t>Credit Card Charges</t>
  </si>
  <si>
    <t>Round off</t>
  </si>
  <si>
    <t>Bank related Charges</t>
  </si>
  <si>
    <t>Transfer Charges</t>
  </si>
  <si>
    <t>Royalty</t>
  </si>
  <si>
    <t>sales discount</t>
  </si>
  <si>
    <t>DISCOUNT RECIVED</t>
  </si>
  <si>
    <t>OTHER INCOME</t>
  </si>
  <si>
    <t>COGS</t>
  </si>
  <si>
    <t>Purchase Price Variance</t>
  </si>
  <si>
    <t>Purchase Direct Cost</t>
  </si>
  <si>
    <t>Purchase Landed Cost</t>
  </si>
  <si>
    <t>Disney Royalties</t>
  </si>
  <si>
    <t>Handling Charges</t>
  </si>
  <si>
    <t>Packing Charges</t>
  </si>
  <si>
    <t>Customs &amp; freight charg Others</t>
  </si>
  <si>
    <t>War risk</t>
  </si>
  <si>
    <t>Custom Duty 30%</t>
  </si>
  <si>
    <t>Clearing Charges</t>
  </si>
  <si>
    <t>Truck Charges</t>
  </si>
  <si>
    <t>Labor Charges</t>
  </si>
  <si>
    <t>Direct Cost Applied Account</t>
  </si>
  <si>
    <t>Sales round off</t>
  </si>
  <si>
    <t>JAN</t>
  </si>
  <si>
    <t>FEB</t>
  </si>
  <si>
    <t>Direct Income Total</t>
  </si>
  <si>
    <t>Voucher sales</t>
  </si>
  <si>
    <t xml:space="preserve">Gross Profit </t>
  </si>
  <si>
    <t>PARTICULARS</t>
  </si>
  <si>
    <t>Total income</t>
  </si>
  <si>
    <t>Sales</t>
  </si>
  <si>
    <t>Cash Excess/Shortage</t>
  </si>
  <si>
    <t>Card Excess/Shortage</t>
  </si>
  <si>
    <t>Realised exchange gain/loss</t>
  </si>
  <si>
    <t>Audit Fees</t>
  </si>
  <si>
    <t>Inventory Adjustment A/c</t>
  </si>
  <si>
    <t>Hardware/Software Maintenance</t>
  </si>
  <si>
    <t>Visa and Medical Charges</t>
  </si>
  <si>
    <t>(%)</t>
  </si>
  <si>
    <t>MAR</t>
  </si>
  <si>
    <t>APR</t>
  </si>
  <si>
    <t>MAY</t>
  </si>
  <si>
    <t>JUN</t>
  </si>
  <si>
    <t>JUL</t>
  </si>
  <si>
    <t>AUG</t>
  </si>
  <si>
    <t>SEP</t>
  </si>
  <si>
    <t>Office &amp; store maintenance</t>
  </si>
  <si>
    <t xml:space="preserve">Interest on bank balance </t>
  </si>
  <si>
    <t>voucher redemption</t>
  </si>
  <si>
    <t>Cash collection service charges</t>
  </si>
  <si>
    <t>Interest on loan</t>
  </si>
  <si>
    <t>Other Income-Total</t>
  </si>
  <si>
    <t>COGS-Total</t>
  </si>
  <si>
    <t>Warehouse-Charges</t>
  </si>
  <si>
    <t>Other Direct Expenses -total</t>
  </si>
  <si>
    <t>Direct Expense-total</t>
  </si>
  <si>
    <t>Franchise Expense-Total</t>
  </si>
  <si>
    <t>Management fees</t>
  </si>
  <si>
    <t>Salaries &amp; Allowances - Total</t>
  </si>
  <si>
    <t>Selling &amp; Distribution - Total</t>
  </si>
  <si>
    <t>Finance Expenses - Total</t>
  </si>
  <si>
    <t>AED</t>
  </si>
  <si>
    <t>Vehicle maintenance</t>
  </si>
  <si>
    <t>Loan management fees</t>
  </si>
  <si>
    <t>Sales return ( 1 %)</t>
  </si>
  <si>
    <t>LC comm</t>
  </si>
  <si>
    <t>OCT</t>
  </si>
  <si>
    <t>NOV</t>
  </si>
  <si>
    <t>DEC</t>
  </si>
  <si>
    <t>Staff Benefits - Medical insurance</t>
  </si>
  <si>
    <t>CASH</t>
  </si>
  <si>
    <t>CAPITAL</t>
  </si>
  <si>
    <t>LOAN INST.</t>
  </si>
  <si>
    <t>HO COST</t>
  </si>
  <si>
    <t>interest</t>
  </si>
  <si>
    <t>Sales Promotion - Gift Vouchers</t>
  </si>
  <si>
    <t>EBDIT</t>
  </si>
  <si>
    <t>TOTAL INDIRECT EXPENSES</t>
  </si>
  <si>
    <t>SEPT</t>
  </si>
  <si>
    <t>Depreciation - Furniture &amp; Fix</t>
  </si>
  <si>
    <t>Depreciation -Hardware &amp; Softw</t>
  </si>
  <si>
    <t>Depreciation -trolleys and car</t>
  </si>
  <si>
    <t>Stores Accessory Depreciation</t>
  </si>
  <si>
    <t>NET PROFIT BEFORE DEP &amp; TAX</t>
  </si>
  <si>
    <t>NET PROFIT BEFORE TAXATION</t>
  </si>
  <si>
    <t>Head Office Apportionment</t>
  </si>
  <si>
    <t>Interst on Loan</t>
  </si>
  <si>
    <t>JULY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</si>
  <si>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</si>
  <si>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</si>
  <si>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</si>
  <si>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</si>
  <si>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</si>
  <si>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</si>
  <si>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Yearly</t>
  </si>
  <si>
    <t>Monthly</t>
  </si>
  <si>
    <t>Loan Balance as on 31/12/2011</t>
  </si>
  <si>
    <t>Average taken as monthly</t>
  </si>
  <si>
    <t>Existing Stores</t>
  </si>
  <si>
    <t>New Stores</t>
  </si>
  <si>
    <t>Months</t>
  </si>
  <si>
    <t>Fujarah</t>
  </si>
  <si>
    <t>Mirdif</t>
  </si>
  <si>
    <t>Jan.12</t>
  </si>
  <si>
    <t>Muscat</t>
  </si>
  <si>
    <t>Al Guraih</t>
  </si>
  <si>
    <t>Total months</t>
  </si>
  <si>
    <t>HO Cost for 2012</t>
  </si>
  <si>
    <t>Store Operating months</t>
  </si>
  <si>
    <t>Monthly Distirbution</t>
  </si>
  <si>
    <t>per month</t>
  </si>
  <si>
    <t>Jan to March</t>
  </si>
  <si>
    <t>April to June</t>
  </si>
  <si>
    <t>July to December</t>
  </si>
  <si>
    <t>Stores</t>
  </si>
  <si>
    <t>3 month</t>
  </si>
  <si>
    <t>6 month</t>
  </si>
  <si>
    <t>Base</t>
  </si>
  <si>
    <t>2010- AED</t>
  </si>
  <si>
    <t>Avg Upto Oct 2010</t>
  </si>
  <si>
    <t>0.05 % stock adjustment as per standard policy</t>
  </si>
  <si>
    <t>Avg- Dec.2010</t>
  </si>
  <si>
    <t>Avg-Dec.2010</t>
  </si>
  <si>
    <t>Data</t>
  </si>
  <si>
    <t>medical insurance by 20 %</t>
  </si>
  <si>
    <t>marketing expenses for all locations give to hasit.</t>
  </si>
  <si>
    <t>salary for UAE</t>
  </si>
  <si>
    <t>Credit card charges.</t>
  </si>
  <si>
    <t>Rent for dalma mall.</t>
  </si>
  <si>
    <t>Management fees.</t>
  </si>
  <si>
    <t>Dalma Telephone exp + 5%</t>
  </si>
  <si>
    <t>UAE - credit card charges analysis.</t>
  </si>
  <si>
    <t>Interest on loan.</t>
  </si>
  <si>
    <t>6 month before and 6 month end</t>
  </si>
  <si>
    <t>Arabian Centre</t>
  </si>
  <si>
    <t>Credit Card charges</t>
  </si>
  <si>
    <t>Dalma Mall</t>
  </si>
  <si>
    <t>Lamcy Plaza</t>
  </si>
  <si>
    <t>June to Nov.11</t>
  </si>
  <si>
    <t>Jan. to June 11</t>
  </si>
  <si>
    <t>Mushriff Mall</t>
  </si>
  <si>
    <t>Mushriff Mall (Aug. to Nov. 4 months)</t>
  </si>
  <si>
    <t>Credit Card Analysis year on 2011</t>
  </si>
  <si>
    <t>11 month</t>
  </si>
  <si>
    <t>Jan.11 to Nov. 2011</t>
  </si>
  <si>
    <t>0.02 % of the total sales - stock adjustment</t>
  </si>
  <si>
    <t>Report needs to be cross tallied.</t>
  </si>
  <si>
    <t>Change all headings.</t>
  </si>
  <si>
    <t>Provision for taxation.</t>
  </si>
  <si>
    <t>done</t>
  </si>
  <si>
    <t>pending</t>
  </si>
  <si>
    <t>cogs and gross profit.</t>
  </si>
  <si>
    <t>DONE</t>
  </si>
  <si>
    <t>COGS %</t>
  </si>
  <si>
    <t>DEPRECIATION &amp; PROVISOINS</t>
  </si>
  <si>
    <t>As per Dalma Mall</t>
  </si>
  <si>
    <t>April</t>
  </si>
  <si>
    <t>Sept</t>
  </si>
  <si>
    <t>March</t>
  </si>
  <si>
    <t>april</t>
  </si>
  <si>
    <t>may</t>
  </si>
  <si>
    <t>sept</t>
  </si>
  <si>
    <t>As per HK</t>
  </si>
  <si>
    <t>OMR</t>
  </si>
  <si>
    <t>Total</t>
  </si>
  <si>
    <t>Employees Insurance</t>
  </si>
  <si>
    <t>Staff Visa &amp; Medical charges</t>
  </si>
  <si>
    <t>Staff Accomodation</t>
  </si>
  <si>
    <t>Voucher Sales - Promotion</t>
  </si>
  <si>
    <t>MATALAN MIDDLE EAST - BUDGETED CASH PROFIT &amp; LOSS ACCOUNT FOR MARKAZ AL BAHJA FOR 2013</t>
  </si>
  <si>
    <t xml:space="preserve">Depreciation-Trafic counters </t>
  </si>
  <si>
    <t>Withholding tax</t>
  </si>
  <si>
    <t>NET PROFIT AFTER MANGT. FEE/TAXATION</t>
  </si>
  <si>
    <t>Management Fee</t>
  </si>
  <si>
    <t>Net Profit YTD</t>
  </si>
  <si>
    <t>MARKAZ</t>
  </si>
  <si>
    <t>NEW STORE-1</t>
  </si>
  <si>
    <t>NEW STORE-2</t>
  </si>
  <si>
    <t>Withholding tax / Income Tax</t>
  </si>
  <si>
    <t xml:space="preserve"> </t>
  </si>
  <si>
    <t>ADD: MANAGEMENT FEES</t>
  </si>
  <si>
    <t>ADD : HEAD OFFICE APPORTINMENT</t>
  </si>
  <si>
    <t>ADD : DEPRECIATION</t>
  </si>
  <si>
    <t>OPERATING CASH PROFIT:</t>
  </si>
  <si>
    <t>YTD</t>
  </si>
  <si>
    <t>QAR</t>
  </si>
  <si>
    <t>Average</t>
  </si>
  <si>
    <t>As per policy 0.05% on Sales</t>
  </si>
  <si>
    <t>PAR - 1347, 3rd Party - 750</t>
  </si>
  <si>
    <t>0.1 per Sq. ft.</t>
  </si>
  <si>
    <t>Agreement</t>
  </si>
  <si>
    <t>Estimated</t>
  </si>
  <si>
    <t>Medical Insurace</t>
  </si>
  <si>
    <t>Workmen compensation</t>
  </si>
  <si>
    <t>5% on Sales</t>
  </si>
  <si>
    <t>60/ person</t>
  </si>
  <si>
    <t>AVERAGE</t>
  </si>
  <si>
    <t>BHD</t>
  </si>
  <si>
    <t>MATALAN MIDDLE EAST - BUDGETED CASH PROFIT &amp; LOSS ACCOUNT FOR RAMLI MALL FOR 2014</t>
  </si>
  <si>
    <t>As per BCC estimated</t>
  </si>
  <si>
    <t>PAR - 1212.3, 3rd Party - 700, Money - 50</t>
  </si>
  <si>
    <t>PAR - 1212.3, Money - 50</t>
  </si>
  <si>
    <t>3rd party - 140.687/M actual</t>
  </si>
  <si>
    <t>Sq. Ft.</t>
  </si>
  <si>
    <t>Sq.Ft.</t>
  </si>
  <si>
    <t>External Bill Boards</t>
  </si>
  <si>
    <t>MATA MIDDLE EAST TRADING W.L.L.</t>
  </si>
  <si>
    <t>Bahrain City Center - PDC Details.</t>
  </si>
  <si>
    <t>Description</t>
  </si>
  <si>
    <t>Date</t>
  </si>
  <si>
    <t>Cheque No.</t>
  </si>
  <si>
    <t xml:space="preserve">Security Deposit </t>
  </si>
  <si>
    <t>Un-Dated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</si>
  <si>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Quarter </t>
    </r>
  </si>
  <si>
    <t>000002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</si>
  <si>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Quarter </t>
    </r>
  </si>
  <si>
    <t>000003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</si>
  <si>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Quarter </t>
    </r>
  </si>
  <si>
    <t>000004</t>
  </si>
  <si>
    <t>000005</t>
  </si>
  <si>
    <t>Bahrain City Center</t>
  </si>
  <si>
    <t>Rent Calculation Details</t>
  </si>
  <si>
    <t xml:space="preserve">Month 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</si>
  <si>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</si>
  <si>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</si>
  <si>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</si>
  <si>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</si>
  <si>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</si>
  <si>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</si>
  <si>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</si>
  <si>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</si>
  <si>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</si>
  <si>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Basic Rent</t>
  </si>
  <si>
    <t xml:space="preserve">Comm Area &amp; Facilities Charges </t>
  </si>
  <si>
    <t xml:space="preserve">Promotion &amp; Marketing Charges </t>
  </si>
  <si>
    <t>For 1st Year</t>
  </si>
  <si>
    <t>BHD per sq.m</t>
  </si>
  <si>
    <t>Total Sq m</t>
  </si>
  <si>
    <t>Annual Rent</t>
  </si>
  <si>
    <t>CAFC</t>
  </si>
  <si>
    <t>Total Rent First Lease Year</t>
  </si>
  <si>
    <t>RENT CALCULATION FOR FIRST LEASE YEAR (Bahrain City Center)</t>
  </si>
  <si>
    <t>Total Rent Second Lease Year</t>
  </si>
  <si>
    <t>RENT CALCULATION FOR SECOND LEASE YEAR (Bahrain City Center)</t>
  </si>
  <si>
    <t>RENT CALCULATION FOR THIRD LEASE YEAR (Bahrain City Center)</t>
  </si>
  <si>
    <t>1st Quarter</t>
  </si>
  <si>
    <t>Online</t>
  </si>
  <si>
    <t>25% of Basic Rent and CAFC</t>
  </si>
  <si>
    <t>25% of Basic Rent and CAFC &amp; 33.33% of Promtnl and Mrkting charge</t>
  </si>
  <si>
    <t>Promotion &amp; Marketing Charges</t>
  </si>
  <si>
    <t>25% of Basic Rent,CAFC &amp; Promotion &amp; Marketing Charges</t>
  </si>
  <si>
    <t>RENT CALCULATION FOR FOURTH LEASE YEAR (Bahrain City Center)</t>
  </si>
  <si>
    <t>PDC Details for Municipality Tax - Bahrain</t>
  </si>
  <si>
    <t>Cheque No</t>
  </si>
  <si>
    <t>Amount</t>
  </si>
  <si>
    <t>MONTH</t>
  </si>
  <si>
    <t>Charges</t>
  </si>
  <si>
    <t>Balance</t>
  </si>
  <si>
    <t>000077</t>
  </si>
  <si>
    <t>000078</t>
  </si>
  <si>
    <t>000079</t>
  </si>
  <si>
    <t>000080</t>
  </si>
  <si>
    <t>000081</t>
  </si>
  <si>
    <t>000082</t>
  </si>
  <si>
    <t>000083</t>
  </si>
  <si>
    <t>000085</t>
  </si>
  <si>
    <t xml:space="preserve">Break - up </t>
  </si>
  <si>
    <t>PDC</t>
  </si>
  <si>
    <t>Municipal Tax from Oct 2013 to June 2014</t>
  </si>
  <si>
    <t>000086</t>
  </si>
  <si>
    <t>1 per sq. feet</t>
  </si>
  <si>
    <t>6% on Rent - for Muncipality tax + TL</t>
  </si>
  <si>
    <t>Deloitte</t>
  </si>
  <si>
    <t>000113</t>
  </si>
  <si>
    <t>000114</t>
  </si>
  <si>
    <t>000115</t>
  </si>
  <si>
    <t>000116</t>
  </si>
  <si>
    <t>Sonicwall Renewals</t>
  </si>
  <si>
    <t>DynDNS Renewals</t>
  </si>
  <si>
    <t>Printer Cartridge</t>
  </si>
  <si>
    <t>Nedap EAS Renewal</t>
  </si>
  <si>
    <t>Email &amp; Internet VPN-BTC</t>
  </si>
  <si>
    <t>Promo Shirts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</si>
  <si>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</si>
  <si>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</si>
  <si>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</si>
  <si>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</si>
  <si>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</si>
  <si>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</si>
  <si>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</si>
  <si>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RMS Connect</t>
  </si>
  <si>
    <t>Social Security 12% + 3%</t>
  </si>
  <si>
    <t>MATALAN MIDDLE EAST - BUDGETED PROFIT &amp; LOSS ACCOUNT FOR BCC FOR 2016</t>
  </si>
  <si>
    <t>TOTAL</t>
  </si>
  <si>
    <t>NET PROFIT AFTER TAXATION.</t>
  </si>
  <si>
    <t>Unrealised exchange gain/loss</t>
  </si>
  <si>
    <t>Upto Sep 2016</t>
  </si>
  <si>
    <t>Added 15%</t>
  </si>
  <si>
    <t>For 3rd Year</t>
  </si>
  <si>
    <t>RENT CALCULATION FOR FIFTH LEASE YEAR (Bahrain City Center)</t>
  </si>
  <si>
    <t>RENT CALCULATION FOR FIFTH Sixth YEAR (Bahrain City Center)</t>
  </si>
  <si>
    <t>RENT CALCULATION FOR FIFTH Seventh YEAR (Bahrain City Center)</t>
  </si>
  <si>
    <t>RENT CALCULATION FOR FIFTH Eighth YEAR (Bahrain City Center)</t>
  </si>
  <si>
    <t>RENT CALCULATION FOR FIFTH Nineth YEAR (Bahrain City Center)</t>
  </si>
  <si>
    <t>Estimated 550</t>
  </si>
  <si>
    <t>Added 5%</t>
  </si>
  <si>
    <t>Estimated 3000</t>
  </si>
  <si>
    <t>Estimated 200</t>
  </si>
  <si>
    <t>MATALAN MIDDLE EAST - BUDGETED CASH PROFIT &amp; LOSS ACCOUNT FOR BAHRAIN CITY CENTRE FOR 2017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</si>
</sst>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#,##0.00;[Red]\-#,##0.00"/>
    <numFmt numFmtId="166" formatCode="_(* #,##0.000_);_(* \(#,##0.000\);_(* &quot;-&quot;??_);_(@_)"/>
    <numFmt numFmtId="167" formatCode="0.00000"/>
    <numFmt numFmtId="168" formatCode="_(&quot; &quot;* #,##0.00_);_(&quot; &quot;* \(#,##0.00\);_(&quot; &quot;* &quot;-&quot;??_);_(@_)"/>
    <numFmt numFmtId="169" formatCode="_-* #,##0.00_-;\-* #,##0.00_-;_-* &quot;-&quot;??_-;_-@_-"/>
    <numFmt numFmtId="170" formatCode="0.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2">
    <xf numFmtId="0" fontId="0" fillId="0" borderId="0" xfId="0"/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20" fillId="33" borderId="10" xfId="42" applyFont="1" applyFill="1" applyBorder="1" applyAlignment="1">
      <alignment horizontal="left"/>
    </xf>
    <xf numFmtId="0" fontId="0" fillId="0" borderId="0" xfId="0" applyFill="1"/>
    <xf numFmtId="0" fontId="21" fillId="33" borderId="10" xfId="0" applyFont="1" applyFill="1" applyBorder="1"/>
    <xf numFmtId="0" fontId="20" fillId="33" borderId="10" xfId="0" applyFont="1" applyFill="1" applyBorder="1" applyAlignment="1">
      <alignment horizontal="left"/>
    </xf>
    <xf numFmtId="0" fontId="20" fillId="33" borderId="12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6" borderId="10" xfId="42" applyFont="1" applyFill="1" applyBorder="1" applyAlignment="1">
      <alignment horizontal="left"/>
    </xf>
    <xf numFmtId="0" fontId="21" fillId="34" borderId="13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4" fillId="0" borderId="0" xfId="0" applyFont="1"/>
    <xf numFmtId="0" fontId="0" fillId="0" borderId="14" xfId="0" applyFill="1" applyBorder="1"/>
    <xf numFmtId="0" fontId="0" fillId="0" borderId="14" xfId="0" applyBorder="1"/>
    <xf numFmtId="0" fontId="19" fillId="0" borderId="0" xfId="42" applyFont="1" applyFill="1" applyBorder="1" applyAlignment="1">
      <alignment horizontal="left"/>
    </xf>
    <xf numFmtId="9" fontId="14" fillId="0" borderId="14" xfId="44" applyNumberFormat="1" applyFont="1" applyFill="1" applyBorder="1"/>
    <xf numFmtId="43" fontId="0" fillId="0" borderId="0" xfId="43" applyFont="1" applyFill="1"/>
    <xf numFmtId="43" fontId="14" fillId="0" borderId="0" xfId="43" applyFont="1" applyFill="1"/>
    <xf numFmtId="43" fontId="0" fillId="33" borderId="10" xfId="43" applyFont="1" applyFill="1" applyBorder="1"/>
    <xf numFmtId="43" fontId="0" fillId="33" borderId="12" xfId="43" applyFont="1" applyFill="1" applyBorder="1"/>
    <xf numFmtId="43" fontId="0" fillId="36" borderId="10" xfId="43" applyFont="1" applyFill="1" applyBorder="1"/>
    <xf numFmtId="43" fontId="22" fillId="0" borderId="0" xfId="43" applyFont="1" applyFill="1"/>
    <xf numFmtId="43" fontId="0" fillId="0" borderId="0" xfId="43" applyFont="1" applyFill="1" applyBorder="1"/>
    <xf numFmtId="43" fontId="0" fillId="0" borderId="0" xfId="43" applyFont="1"/>
    <xf numFmtId="0" fontId="17" fillId="35" borderId="0" xfId="0" applyFont="1" applyFill="1"/>
    <xf numFmtId="43" fontId="0" fillId="33" borderId="21" xfId="43" applyFont="1" applyFill="1" applyBorder="1"/>
    <xf numFmtId="43" fontId="0" fillId="36" borderId="21" xfId="43" applyFont="1" applyFill="1" applyBorder="1"/>
    <xf numFmtId="43" fontId="0" fillId="33" borderId="22" xfId="43" applyFont="1" applyFill="1" applyBorder="1"/>
    <xf numFmtId="43" fontId="0" fillId="0" borderId="19" xfId="43" applyFont="1" applyBorder="1"/>
    <xf numFmtId="0" fontId="0" fillId="0" borderId="11" xfId="0" applyBorder="1"/>
    <xf numFmtId="164" fontId="22" fillId="0" borderId="0" xfId="43" applyNumberFormat="1" applyFont="1" applyFill="1"/>
    <xf numFmtId="164" fontId="0" fillId="0" borderId="0" xfId="43" applyNumberFormat="1" applyFont="1" applyFill="1"/>
    <xf numFmtId="164" fontId="0" fillId="33" borderId="10" xfId="43" applyNumberFormat="1" applyFont="1" applyFill="1" applyBorder="1"/>
    <xf numFmtId="0" fontId="21" fillId="38" borderId="10" xfId="0" applyFont="1" applyFill="1" applyBorder="1"/>
    <xf numFmtId="164" fontId="0" fillId="38" borderId="10" xfId="43" applyNumberFormat="1" applyFont="1" applyFill="1" applyBorder="1"/>
    <xf numFmtId="0" fontId="21" fillId="36" borderId="26" xfId="0" applyFont="1" applyFill="1" applyBorder="1"/>
    <xf numFmtId="164" fontId="0" fillId="36" borderId="26" xfId="43" applyNumberFormat="1" applyFont="1" applyFill="1" applyBorder="1"/>
    <xf numFmtId="9" fontId="0" fillId="36" borderId="27" xfId="44" applyFont="1" applyFill="1" applyBorder="1"/>
    <xf numFmtId="164" fontId="0" fillId="33" borderId="12" xfId="43" applyNumberFormat="1" applyFont="1" applyFill="1" applyBorder="1"/>
    <xf numFmtId="164" fontId="0" fillId="36" borderId="10" xfId="43" applyNumberFormat="1" applyFont="1" applyFill="1" applyBorder="1"/>
    <xf numFmtId="164" fontId="0" fillId="0" borderId="0" xfId="43" applyNumberFormat="1" applyFont="1" applyFill="1" applyBorder="1"/>
    <xf numFmtId="43" fontId="0" fillId="0" borderId="0" xfId="43" applyNumberFormat="1" applyFont="1" applyFill="1"/>
    <xf numFmtId="164" fontId="0" fillId="0" borderId="0" xfId="43" applyNumberFormat="1" applyFont="1"/>
    <xf numFmtId="0" fontId="20" fillId="33" borderId="12" xfId="42" applyFont="1" applyFill="1" applyBorder="1" applyAlignment="1">
      <alignment horizontal="left"/>
    </xf>
    <xf numFmtId="43" fontId="22" fillId="36" borderId="10" xfId="43" applyFont="1" applyFill="1" applyBorder="1"/>
    <xf numFmtId="0" fontId="0" fillId="34" borderId="13" xfId="0" applyFill="1" applyBorder="1"/>
    <xf numFmtId="0" fontId="25" fillId="34" borderId="13" xfId="0" applyFont="1" applyFill="1" applyBorder="1" applyAlignment="1">
      <alignment horizontal="center"/>
    </xf>
    <xf numFmtId="10" fontId="14" fillId="0" borderId="14" xfId="44" applyNumberFormat="1" applyFont="1" applyFill="1" applyBorder="1"/>
    <xf numFmtId="164" fontId="22" fillId="36" borderId="10" xfId="43" applyNumberFormat="1" applyFont="1" applyFill="1" applyBorder="1"/>
    <xf numFmtId="43" fontId="25" fillId="34" borderId="13" xfId="43" applyFont="1" applyFill="1" applyBorder="1" applyAlignment="1">
      <alignment horizontal="center"/>
    </xf>
    <xf numFmtId="43" fontId="25" fillId="34" borderId="13" xfId="0" applyNumberFormat="1" applyFont="1" applyFill="1" applyBorder="1" applyAlignment="1">
      <alignment horizontal="center"/>
    </xf>
    <xf numFmtId="43" fontId="0" fillId="0" borderId="0" xfId="0" applyNumberFormat="1" applyFill="1"/>
    <xf numFmtId="43" fontId="22" fillId="0" borderId="0" xfId="43" applyNumberFormat="1" applyFont="1" applyFill="1"/>
    <xf numFmtId="43" fontId="0" fillId="33" borderId="10" xfId="43" applyNumberFormat="1" applyFont="1" applyFill="1" applyBorder="1"/>
    <xf numFmtId="43" fontId="0" fillId="38" borderId="10" xfId="43" applyNumberFormat="1" applyFont="1" applyFill="1" applyBorder="1"/>
    <xf numFmtId="43" fontId="0" fillId="36" borderId="26" xfId="43" applyNumberFormat="1" applyFont="1" applyFill="1" applyBorder="1"/>
    <xf numFmtId="43" fontId="0" fillId="33" borderId="12" xfId="43" applyNumberFormat="1" applyFont="1" applyFill="1" applyBorder="1"/>
    <xf numFmtId="43" fontId="0" fillId="36" borderId="10" xfId="43" applyNumberFormat="1" applyFont="1" applyFill="1" applyBorder="1"/>
    <xf numFmtId="43" fontId="14" fillId="0" borderId="0" xfId="43" applyNumberFormat="1" applyFont="1" applyFill="1"/>
    <xf numFmtId="43" fontId="0" fillId="0" borderId="0" xfId="43" applyNumberFormat="1" applyFont="1" applyFill="1" applyBorder="1"/>
    <xf numFmtId="43" fontId="0" fillId="0" borderId="0" xfId="43" applyNumberFormat="1" applyFont="1"/>
    <xf numFmtId="43" fontId="0" fillId="0" borderId="0" xfId="0" applyNumberFormat="1"/>
    <xf numFmtId="43" fontId="16" fillId="0" borderId="0" xfId="0" applyNumberFormat="1" applyFont="1"/>
    <xf numFmtId="164" fontId="16" fillId="0" borderId="0" xfId="0" applyNumberFormat="1" applyFont="1"/>
    <xf numFmtId="10" fontId="0" fillId="33" borderId="17" xfId="44" applyNumberFormat="1" applyFont="1" applyFill="1" applyBorder="1"/>
    <xf numFmtId="10" fontId="0" fillId="36" borderId="16" xfId="44" applyNumberFormat="1" applyFont="1" applyFill="1" applyBorder="1"/>
    <xf numFmtId="10" fontId="0" fillId="33" borderId="16" xfId="44" applyNumberFormat="1" applyFont="1" applyFill="1" applyBorder="1"/>
    <xf numFmtId="10" fontId="25" fillId="34" borderId="15" xfId="44" applyNumberFormat="1" applyFont="1" applyFill="1" applyBorder="1" applyAlignment="1">
      <alignment horizontal="center"/>
    </xf>
    <xf numFmtId="10" fontId="0" fillId="0" borderId="14" xfId="44" applyNumberFormat="1" applyFont="1" applyFill="1" applyBorder="1"/>
    <xf numFmtId="10" fontId="0" fillId="38" borderId="16" xfId="44" applyNumberFormat="1" applyFont="1" applyFill="1" applyBorder="1"/>
    <xf numFmtId="10" fontId="0" fillId="0" borderId="14" xfId="44" applyNumberFormat="1" applyFont="1" applyBorder="1"/>
    <xf numFmtId="10" fontId="14" fillId="0" borderId="14" xfId="44" applyNumberFormat="1" applyFont="1" applyBorder="1"/>
    <xf numFmtId="10" fontId="17" fillId="35" borderId="0" xfId="44" applyNumberFormat="1" applyFont="1" applyFill="1"/>
    <xf numFmtId="0" fontId="0" fillId="0" borderId="29" xfId="0" applyBorder="1"/>
    <xf numFmtId="43" fontId="0" fillId="0" borderId="29" xfId="43" applyFont="1" applyBorder="1"/>
    <xf numFmtId="43" fontId="25" fillId="34" borderId="20" xfId="0" applyNumberFormat="1" applyFont="1" applyFill="1" applyBorder="1" applyAlignment="1">
      <alignment horizontal="center"/>
    </xf>
    <xf numFmtId="43" fontId="0" fillId="0" borderId="19" xfId="0" applyNumberFormat="1" applyFill="1" applyBorder="1"/>
    <xf numFmtId="43" fontId="22" fillId="0" borderId="19" xfId="43" applyNumberFormat="1" applyFont="1" applyFill="1" applyBorder="1"/>
    <xf numFmtId="43" fontId="0" fillId="0" borderId="19" xfId="43" applyNumberFormat="1" applyFont="1" applyFill="1" applyBorder="1"/>
    <xf numFmtId="43" fontId="14" fillId="0" borderId="19" xfId="43" applyNumberFormat="1" applyFont="1" applyFill="1" applyBorder="1"/>
    <xf numFmtId="43" fontId="0" fillId="33" borderId="21" xfId="43" applyNumberFormat="1" applyFont="1" applyFill="1" applyBorder="1"/>
    <xf numFmtId="43" fontId="0" fillId="38" borderId="21" xfId="43" applyNumberFormat="1" applyFont="1" applyFill="1" applyBorder="1"/>
    <xf numFmtId="43" fontId="0" fillId="36" borderId="30" xfId="43" applyNumberFormat="1" applyFont="1" applyFill="1" applyBorder="1"/>
    <xf numFmtId="43" fontId="0" fillId="33" borderId="22" xfId="43" applyNumberFormat="1" applyFont="1" applyFill="1" applyBorder="1"/>
    <xf numFmtId="43" fontId="0" fillId="36" borderId="21" xfId="43" applyNumberFormat="1" applyFont="1" applyFill="1" applyBorder="1"/>
    <xf numFmtId="43" fontId="0" fillId="0" borderId="19" xfId="43" applyNumberFormat="1" applyFont="1" applyBorder="1"/>
    <xf numFmtId="9" fontId="0" fillId="40" borderId="16" xfId="44" applyFont="1" applyFill="1" applyBorder="1"/>
    <xf numFmtId="0" fontId="26" fillId="0" borderId="0" xfId="0" applyFont="1"/>
    <xf numFmtId="0" fontId="14" fillId="39" borderId="0" xfId="0" applyFont="1" applyFill="1"/>
    <xf numFmtId="0" fontId="22" fillId="39" borderId="0" xfId="0" applyFont="1" applyFill="1"/>
    <xf numFmtId="164" fontId="22" fillId="39" borderId="0" xfId="43" applyNumberFormat="1" applyFont="1" applyFill="1"/>
    <xf numFmtId="0" fontId="0" fillId="39" borderId="0" xfId="0" applyFill="1"/>
    <xf numFmtId="0" fontId="16" fillId="0" borderId="11" xfId="0" applyFont="1" applyBorder="1" applyAlignment="1">
      <alignment horizontal="center"/>
    </xf>
    <xf numFmtId="43" fontId="22" fillId="39" borderId="0" xfId="43" applyFont="1" applyFill="1"/>
    <xf numFmtId="9" fontId="14" fillId="39" borderId="14" xfId="44" applyFont="1" applyFill="1" applyBorder="1"/>
    <xf numFmtId="43" fontId="22" fillId="39" borderId="0" xfId="43" applyNumberFormat="1" applyFont="1" applyFill="1"/>
    <xf numFmtId="0" fontId="19" fillId="0" borderId="0" xfId="0" applyFont="1" applyFill="1" applyAlignment="1">
      <alignment horizontal="left"/>
    </xf>
    <xf numFmtId="0" fontId="19" fillId="0" borderId="0" xfId="42" applyFont="1" applyFill="1" applyAlignment="1">
      <alignment horizontal="left"/>
    </xf>
    <xf numFmtId="0" fontId="16" fillId="0" borderId="0" xfId="0" applyFont="1"/>
    <xf numFmtId="43" fontId="16" fillId="0" borderId="0" xfId="43" applyFont="1"/>
    <xf numFmtId="9" fontId="0" fillId="0" borderId="0" xfId="0" applyNumberFormat="1"/>
    <xf numFmtId="10" fontId="0" fillId="0" borderId="0" xfId="0" applyNumberFormat="1"/>
    <xf numFmtId="0" fontId="0" fillId="0" borderId="0" xfId="0" applyFill="1" applyBorder="1"/>
    <xf numFmtId="0" fontId="0" fillId="0" borderId="0" xfId="0" applyBorder="1"/>
    <xf numFmtId="43" fontId="0" fillId="0" borderId="0" xfId="43" applyFont="1" applyBorder="1"/>
    <xf numFmtId="10" fontId="0" fillId="0" borderId="0" xfId="44" applyNumberFormat="1" applyFont="1" applyBorder="1"/>
    <xf numFmtId="10" fontId="0" fillId="0" borderId="0" xfId="44" applyNumberFormat="1" applyFont="1" applyFill="1" applyBorder="1"/>
    <xf numFmtId="0" fontId="20" fillId="0" borderId="0" xfId="42" applyFont="1" applyFill="1" applyBorder="1" applyAlignment="1">
      <alignment horizontal="left"/>
    </xf>
    <xf numFmtId="0" fontId="0" fillId="35" borderId="10" xfId="0" applyFill="1" applyBorder="1"/>
    <xf numFmtId="0" fontId="19" fillId="0" borderId="14" xfId="42" applyFont="1" applyFill="1" applyBorder="1" applyAlignment="1">
      <alignment horizontal="left"/>
    </xf>
    <xf numFmtId="0" fontId="19" fillId="0" borderId="14" xfId="42" applyFont="1" applyBorder="1" applyAlignment="1">
      <alignment horizontal="left"/>
    </xf>
    <xf numFmtId="0" fontId="20" fillId="33" borderId="16" xfId="42" applyFont="1" applyFill="1" applyBorder="1" applyAlignment="1">
      <alignment horizontal="left"/>
    </xf>
    <xf numFmtId="0" fontId="20" fillId="0" borderId="14" xfId="42" applyFont="1" applyFill="1" applyBorder="1" applyAlignment="1">
      <alignment horizontal="left"/>
    </xf>
    <xf numFmtId="0" fontId="19" fillId="0" borderId="0" xfId="42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0" fontId="20" fillId="33" borderId="17" xfId="0" applyFont="1" applyFill="1" applyBorder="1" applyAlignment="1">
      <alignment horizontal="center"/>
    </xf>
    <xf numFmtId="0" fontId="20" fillId="36" borderId="16" xfId="0" applyFont="1" applyFill="1" applyBorder="1" applyAlignment="1">
      <alignment horizontal="center"/>
    </xf>
    <xf numFmtId="0" fontId="22" fillId="0" borderId="14" xfId="0" applyFont="1" applyBorder="1"/>
    <xf numFmtId="0" fontId="21" fillId="33" borderId="16" xfId="0" applyFont="1" applyFill="1" applyBorder="1"/>
    <xf numFmtId="0" fontId="21" fillId="38" borderId="16" xfId="0" applyFont="1" applyFill="1" applyBorder="1"/>
    <xf numFmtId="0" fontId="21" fillId="36" borderId="27" xfId="0" applyFont="1" applyFill="1" applyBorder="1"/>
    <xf numFmtId="0" fontId="20" fillId="33" borderId="16" xfId="0" applyFont="1" applyFill="1" applyBorder="1" applyAlignment="1">
      <alignment horizontal="left"/>
    </xf>
    <xf numFmtId="10" fontId="14" fillId="35" borderId="16" xfId="44" applyNumberFormat="1" applyFont="1" applyFill="1" applyBorder="1"/>
    <xf numFmtId="164" fontId="0" fillId="37" borderId="10" xfId="43" applyNumberFormat="1" applyFont="1" applyFill="1" applyBorder="1"/>
    <xf numFmtId="10" fontId="0" fillId="37" borderId="10" xfId="44" applyNumberFormat="1" applyFont="1" applyFill="1" applyBorder="1"/>
    <xf numFmtId="0" fontId="0" fillId="0" borderId="0" xfId="0" applyNumberFormat="1"/>
    <xf numFmtId="43" fontId="0" fillId="0" borderId="0" xfId="0" applyNumberFormat="1" applyFill="1" applyBorder="1"/>
    <xf numFmtId="0" fontId="0" fillId="0" borderId="24" xfId="0" applyBorder="1"/>
    <xf numFmtId="0" fontId="19" fillId="39" borderId="0" xfId="42" applyFont="1" applyFill="1" applyAlignment="1">
      <alignment horizontal="left"/>
    </xf>
    <xf numFmtId="43" fontId="0" fillId="37" borderId="10" xfId="43" applyFont="1" applyFill="1" applyBorder="1"/>
    <xf numFmtId="43" fontId="0" fillId="38" borderId="10" xfId="43" applyFont="1" applyFill="1" applyBorder="1"/>
    <xf numFmtId="43" fontId="0" fillId="36" borderId="26" xfId="43" applyFont="1" applyFill="1" applyBorder="1"/>
    <xf numFmtId="43" fontId="13" fillId="35" borderId="23" xfId="43" applyFont="1" applyFill="1" applyBorder="1" applyAlignment="1">
      <alignment horizontal="center"/>
    </xf>
    <xf numFmtId="43" fontId="25" fillId="34" borderId="20" xfId="43" applyFont="1" applyFill="1" applyBorder="1" applyAlignment="1">
      <alignment horizontal="center"/>
    </xf>
    <xf numFmtId="43" fontId="0" fillId="0" borderId="19" xfId="43" applyFont="1" applyFill="1" applyBorder="1"/>
    <xf numFmtId="43" fontId="14" fillId="0" borderId="19" xfId="43" applyFont="1" applyFill="1" applyBorder="1"/>
    <xf numFmtId="43" fontId="0" fillId="38" borderId="21" xfId="43" applyFont="1" applyFill="1" applyBorder="1"/>
    <xf numFmtId="43" fontId="0" fillId="36" borderId="30" xfId="43" applyFont="1" applyFill="1" applyBorder="1"/>
    <xf numFmtId="43" fontId="22" fillId="0" borderId="19" xfId="43" applyFont="1" applyFill="1" applyBorder="1"/>
    <xf numFmtId="9" fontId="0" fillId="0" borderId="0" xfId="44" applyFont="1"/>
    <xf numFmtId="43" fontId="0" fillId="0" borderId="0" xfId="0" quotePrefix="1" applyNumberFormat="1"/>
    <xf numFmtId="0" fontId="0" fillId="0" borderId="22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43" fontId="0" fillId="0" borderId="11" xfId="43" applyFont="1" applyBorder="1"/>
    <xf numFmtId="0" fontId="0" fillId="0" borderId="28" xfId="0" applyBorder="1"/>
    <xf numFmtId="17" fontId="0" fillId="0" borderId="0" xfId="0" applyNumberFormat="1"/>
    <xf numFmtId="3" fontId="0" fillId="0" borderId="0" xfId="0" applyNumberFormat="1"/>
    <xf numFmtId="43" fontId="0" fillId="0" borderId="18" xfId="43" applyFont="1" applyBorder="1"/>
    <xf numFmtId="43" fontId="0" fillId="0" borderId="22" xfId="43" applyFont="1" applyBorder="1"/>
    <xf numFmtId="0" fontId="0" fillId="0" borderId="0" xfId="0" applyAlignment="1">
      <alignment horizontal="center"/>
    </xf>
    <xf numFmtId="43" fontId="26" fillId="0" borderId="0" xfId="0" applyNumberFormat="1" applyFont="1"/>
    <xf numFmtId="10" fontId="0" fillId="0" borderId="0" xfId="44" applyNumberFormat="1" applyFont="1"/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17" xfId="0" applyFont="1" applyBorder="1" applyAlignment="1">
      <alignment horizontal="center"/>
    </xf>
    <xf numFmtId="0" fontId="0" fillId="0" borderId="19" xfId="0" applyBorder="1"/>
    <xf numFmtId="0" fontId="16" fillId="0" borderId="28" xfId="0" applyFont="1" applyBorder="1" applyAlignment="1">
      <alignment horizontal="center"/>
    </xf>
    <xf numFmtId="4" fontId="0" fillId="0" borderId="0" xfId="0" applyNumberFormat="1" applyBorder="1"/>
    <xf numFmtId="4" fontId="0" fillId="0" borderId="11" xfId="0" applyNumberFormat="1" applyBorder="1"/>
    <xf numFmtId="10" fontId="0" fillId="0" borderId="11" xfId="44" applyNumberFormat="1" applyFont="1" applyBorder="1"/>
    <xf numFmtId="9" fontId="0" fillId="36" borderId="16" xfId="44" applyNumberFormat="1" applyFont="1" applyFill="1" applyBorder="1"/>
    <xf numFmtId="10" fontId="0" fillId="0" borderId="0" xfId="0" applyNumberFormat="1" applyFill="1" applyBorder="1"/>
    <xf numFmtId="0" fontId="13" fillId="35" borderId="23" xfId="0" applyFont="1" applyFill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3" fontId="0" fillId="0" borderId="29" xfId="0" applyNumberFormat="1" applyBorder="1"/>
    <xf numFmtId="0" fontId="0" fillId="0" borderId="29" xfId="0" applyFill="1" applyBorder="1"/>
    <xf numFmtId="10" fontId="0" fillId="0" borderId="29" xfId="0" applyNumberFormat="1" applyBorder="1"/>
    <xf numFmtId="43" fontId="0" fillId="33" borderId="30" xfId="43" applyFont="1" applyFill="1" applyBorder="1"/>
    <xf numFmtId="10" fontId="0" fillId="33" borderId="27" xfId="44" applyNumberFormat="1" applyFont="1" applyFill="1" applyBorder="1"/>
    <xf numFmtId="43" fontId="0" fillId="33" borderId="26" xfId="43" applyNumberFormat="1" applyFont="1" applyFill="1" applyBorder="1"/>
    <xf numFmtId="43" fontId="0" fillId="33" borderId="30" xfId="43" applyNumberFormat="1" applyFont="1" applyFill="1" applyBorder="1"/>
    <xf numFmtId="43" fontId="0" fillId="33" borderId="26" xfId="43" applyFont="1" applyFill="1" applyBorder="1"/>
    <xf numFmtId="164" fontId="0" fillId="33" borderId="26" xfId="43" applyNumberFormat="1" applyFont="1" applyFill="1" applyBorder="1"/>
    <xf numFmtId="4" fontId="0" fillId="0" borderId="0" xfId="0" applyNumberFormat="1" applyFont="1" applyBorder="1"/>
    <xf numFmtId="10" fontId="14" fillId="0" borderId="0" xfId="44" applyNumberFormat="1" applyFont="1" applyFill="1" applyBorder="1"/>
    <xf numFmtId="165" fontId="0" fillId="0" borderId="0" xfId="0" applyNumberFormat="1" applyFont="1" applyBorder="1"/>
    <xf numFmtId="4" fontId="0" fillId="0" borderId="22" xfId="0" applyNumberFormat="1" applyFont="1" applyBorder="1"/>
    <xf numFmtId="10" fontId="14" fillId="0" borderId="17" xfId="44" applyNumberFormat="1" applyFont="1" applyFill="1" applyBorder="1"/>
    <xf numFmtId="4" fontId="0" fillId="0" borderId="19" xfId="0" applyNumberFormat="1" applyFont="1" applyBorder="1"/>
    <xf numFmtId="4" fontId="0" fillId="0" borderId="19" xfId="0" applyNumberFormat="1" applyBorder="1" applyAlignment="1">
      <alignment horizontal="right"/>
    </xf>
    <xf numFmtId="4" fontId="0" fillId="0" borderId="18" xfId="0" applyNumberFormat="1" applyFont="1" applyBorder="1"/>
    <xf numFmtId="10" fontId="22" fillId="0" borderId="28" xfId="44" applyNumberFormat="1" applyFont="1" applyFill="1" applyBorder="1"/>
    <xf numFmtId="165" fontId="0" fillId="0" borderId="22" xfId="0" applyNumberFormat="1" applyFont="1" applyBorder="1"/>
    <xf numFmtId="165" fontId="0" fillId="0" borderId="19" xfId="0" applyNumberFormat="1" applyFont="1" applyBorder="1"/>
    <xf numFmtId="165" fontId="0" fillId="0" borderId="18" xfId="0" applyNumberFormat="1" applyFont="1" applyBorder="1"/>
    <xf numFmtId="4" fontId="0" fillId="0" borderId="12" xfId="0" applyNumberFormat="1" applyFont="1" applyBorder="1"/>
    <xf numFmtId="10" fontId="14" fillId="0" borderId="12" xfId="44" applyNumberFormat="1" applyFont="1" applyFill="1" applyBorder="1"/>
    <xf numFmtId="165" fontId="0" fillId="0" borderId="12" xfId="0" applyNumberFormat="1" applyFont="1" applyBorder="1"/>
    <xf numFmtId="4" fontId="0" fillId="0" borderId="11" xfId="0" applyNumberFormat="1" applyFont="1" applyBorder="1"/>
    <xf numFmtId="10" fontId="22" fillId="0" borderId="11" xfId="44" applyNumberFormat="1" applyFont="1" applyFill="1" applyBorder="1"/>
    <xf numFmtId="165" fontId="0" fillId="0" borderId="11" xfId="0" applyNumberFormat="1" applyFont="1" applyBorder="1"/>
    <xf numFmtId="0" fontId="0" fillId="36" borderId="10" xfId="0" applyFill="1" applyBorder="1"/>
    <xf numFmtId="43" fontId="22" fillId="36" borderId="21" xfId="43" applyFont="1" applyFill="1" applyBorder="1"/>
    <xf numFmtId="10" fontId="14" fillId="36" borderId="16" xfId="44" applyNumberFormat="1" applyFont="1" applyFill="1" applyBorder="1"/>
    <xf numFmtId="0" fontId="28" fillId="35" borderId="10" xfId="0" applyFont="1" applyFill="1" applyBorder="1"/>
    <xf numFmtId="43" fontId="22" fillId="35" borderId="21" xfId="43" applyFont="1" applyFill="1" applyBorder="1"/>
    <xf numFmtId="10" fontId="0" fillId="0" borderId="14" xfId="0" applyNumberFormat="1" applyBorder="1"/>
    <xf numFmtId="43" fontId="0" fillId="0" borderId="0" xfId="43" applyFont="1" applyFill="1" applyAlignment="1">
      <alignment horizontal="left"/>
    </xf>
    <xf numFmtId="0" fontId="13" fillId="35" borderId="23" xfId="0" applyFont="1" applyFill="1" applyBorder="1" applyAlignment="1">
      <alignment horizontal="center"/>
    </xf>
    <xf numFmtId="43" fontId="0" fillId="0" borderId="31" xfId="43" applyFont="1" applyFill="1" applyBorder="1"/>
    <xf numFmtId="43" fontId="0" fillId="0" borderId="29" xfId="43" applyNumberFormat="1" applyFont="1" applyFill="1" applyBorder="1"/>
    <xf numFmtId="43" fontId="22" fillId="0" borderId="29" xfId="43" applyFont="1" applyFill="1" applyBorder="1"/>
    <xf numFmtId="43" fontId="22" fillId="0" borderId="29" xfId="43" applyNumberFormat="1" applyFont="1" applyFill="1" applyBorder="1"/>
    <xf numFmtId="164" fontId="0" fillId="0" borderId="29" xfId="43" applyNumberFormat="1" applyFont="1" applyFill="1" applyBorder="1"/>
    <xf numFmtId="4" fontId="0" fillId="0" borderId="29" xfId="0" applyNumberFormat="1" applyFont="1" applyBorder="1"/>
    <xf numFmtId="43" fontId="0" fillId="33" borderId="29" xfId="43" applyNumberFormat="1" applyFont="1" applyFill="1" applyBorder="1"/>
    <xf numFmtId="43" fontId="0" fillId="33" borderId="31" xfId="43" applyFont="1" applyFill="1" applyBorder="1"/>
    <xf numFmtId="43" fontId="0" fillId="0" borderId="29" xfId="43" applyNumberFormat="1" applyFont="1" applyBorder="1"/>
    <xf numFmtId="10" fontId="0" fillId="0" borderId="29" xfId="44" applyNumberFormat="1" applyFont="1" applyFill="1" applyBorder="1"/>
    <xf numFmtId="10" fontId="14" fillId="0" borderId="29" xfId="44" applyNumberFormat="1" applyFont="1" applyFill="1" applyBorder="1"/>
    <xf numFmtId="43" fontId="0" fillId="0" borderId="29" xfId="43" applyFont="1" applyFill="1" applyBorder="1"/>
    <xf numFmtId="164" fontId="22" fillId="0" borderId="29" xfId="43" applyNumberFormat="1" applyFont="1" applyFill="1" applyBorder="1"/>
    <xf numFmtId="164" fontId="0" fillId="33" borderId="29" xfId="43" applyNumberFormat="1" applyFont="1" applyFill="1" applyBorder="1"/>
    <xf numFmtId="164" fontId="22" fillId="36" borderId="29" xfId="43" applyNumberFormat="1" applyFont="1" applyFill="1" applyBorder="1"/>
    <xf numFmtId="9" fontId="14" fillId="39" borderId="0" xfId="44" applyFont="1" applyFill="1" applyBorder="1"/>
    <xf numFmtId="9" fontId="0" fillId="40" borderId="10" xfId="44" applyFont="1" applyFill="1" applyBorder="1"/>
    <xf numFmtId="10" fontId="0" fillId="38" borderId="10" xfId="44" applyNumberFormat="1" applyFont="1" applyFill="1" applyBorder="1"/>
    <xf numFmtId="9" fontId="0" fillId="36" borderId="26" xfId="44" applyFont="1" applyFill="1" applyBorder="1"/>
    <xf numFmtId="10" fontId="0" fillId="33" borderId="10" xfId="44" applyNumberFormat="1" applyFont="1" applyFill="1" applyBorder="1"/>
    <xf numFmtId="10" fontId="0" fillId="33" borderId="12" xfId="44" applyNumberFormat="1" applyFont="1" applyFill="1" applyBorder="1"/>
    <xf numFmtId="10" fontId="0" fillId="36" borderId="10" xfId="44" applyNumberFormat="1" applyFont="1" applyFill="1" applyBorder="1"/>
    <xf numFmtId="9" fontId="14" fillId="0" borderId="0" xfId="44" applyNumberFormat="1" applyFont="1" applyFill="1" applyBorder="1"/>
    <xf numFmtId="10" fontId="0" fillId="33" borderId="26" xfId="44" applyNumberFormat="1" applyFont="1" applyFill="1" applyBorder="1"/>
    <xf numFmtId="10" fontId="14" fillId="0" borderId="0" xfId="44" applyNumberFormat="1" applyFont="1" applyBorder="1"/>
    <xf numFmtId="10" fontId="14" fillId="36" borderId="10" xfId="44" applyNumberFormat="1" applyFont="1" applyFill="1" applyBorder="1"/>
    <xf numFmtId="10" fontId="14" fillId="35" borderId="10" xfId="44" applyNumberFormat="1" applyFont="1" applyFill="1" applyBorder="1"/>
    <xf numFmtId="0" fontId="21" fillId="41" borderId="12" xfId="0" applyFont="1" applyFill="1" applyBorder="1" applyAlignment="1">
      <alignment horizontal="center"/>
    </xf>
    <xf numFmtId="10" fontId="21" fillId="41" borderId="17" xfId="0" applyNumberFormat="1" applyFont="1" applyFill="1" applyBorder="1" applyAlignment="1">
      <alignment horizontal="center"/>
    </xf>
    <xf numFmtId="0" fontId="21" fillId="40" borderId="12" xfId="0" applyFont="1" applyFill="1" applyBorder="1" applyAlignment="1">
      <alignment horizontal="center"/>
    </xf>
    <xf numFmtId="10" fontId="21" fillId="40" borderId="17" xfId="0" applyNumberFormat="1" applyFont="1" applyFill="1" applyBorder="1" applyAlignment="1">
      <alignment horizontal="center"/>
    </xf>
    <xf numFmtId="43" fontId="16" fillId="0" borderId="22" xfId="0" applyNumberFormat="1" applyFont="1" applyBorder="1" applyAlignment="1">
      <alignment horizontal="center"/>
    </xf>
    <xf numFmtId="9" fontId="14" fillId="39" borderId="29" xfId="44" applyFont="1" applyFill="1" applyBorder="1"/>
    <xf numFmtId="43" fontId="22" fillId="39" borderId="29" xfId="43" applyNumberFormat="1" applyFont="1" applyFill="1" applyBorder="1"/>
    <xf numFmtId="43" fontId="0" fillId="0" borderId="29" xfId="0" applyNumberFormat="1" applyFill="1" applyBorder="1"/>
    <xf numFmtId="9" fontId="0" fillId="40" borderId="29" xfId="44" applyFont="1" applyFill="1" applyBorder="1"/>
    <xf numFmtId="164" fontId="0" fillId="38" borderId="29" xfId="43" applyNumberFormat="1" applyFont="1" applyFill="1" applyBorder="1"/>
    <xf numFmtId="10" fontId="0" fillId="38" borderId="29" xfId="44" applyNumberFormat="1" applyFont="1" applyFill="1" applyBorder="1"/>
    <xf numFmtId="43" fontId="0" fillId="38" borderId="29" xfId="43" applyNumberFormat="1" applyFont="1" applyFill="1" applyBorder="1"/>
    <xf numFmtId="43" fontId="0" fillId="36" borderId="29" xfId="43" applyNumberFormat="1" applyFont="1" applyFill="1" applyBorder="1"/>
    <xf numFmtId="9" fontId="0" fillId="36" borderId="29" xfId="44" applyFont="1" applyFill="1" applyBorder="1"/>
    <xf numFmtId="10" fontId="0" fillId="33" borderId="29" xfId="44" applyNumberFormat="1" applyFont="1" applyFill="1" applyBorder="1"/>
    <xf numFmtId="43" fontId="0" fillId="42" borderId="29" xfId="43" applyNumberFormat="1" applyFont="1" applyFill="1" applyBorder="1"/>
    <xf numFmtId="10" fontId="0" fillId="36" borderId="29" xfId="44" applyNumberFormat="1" applyFont="1" applyFill="1" applyBorder="1"/>
    <xf numFmtId="43" fontId="0" fillId="0" borderId="29" xfId="0" applyNumberFormat="1" applyBorder="1" applyAlignment="1">
      <alignment horizontal="right"/>
    </xf>
    <xf numFmtId="10" fontId="0" fillId="0" borderId="29" xfId="0" applyNumberFormat="1" applyFill="1" applyBorder="1"/>
    <xf numFmtId="10" fontId="0" fillId="37" borderId="29" xfId="44" applyNumberFormat="1" applyFont="1" applyFill="1" applyBorder="1"/>
    <xf numFmtId="164" fontId="0" fillId="37" borderId="29" xfId="0" applyNumberFormat="1" applyFill="1" applyBorder="1"/>
    <xf numFmtId="10" fontId="14" fillId="36" borderId="29" xfId="44" applyNumberFormat="1" applyFont="1" applyFill="1" applyBorder="1"/>
    <xf numFmtId="9" fontId="14" fillId="39" borderId="35" xfId="44" applyFont="1" applyFill="1" applyBorder="1"/>
    <xf numFmtId="10" fontId="0" fillId="0" borderId="35" xfId="44" applyNumberFormat="1" applyFont="1" applyFill="1" applyBorder="1"/>
    <xf numFmtId="10" fontId="14" fillId="0" borderId="35" xfId="44" applyNumberFormat="1" applyFont="1" applyFill="1" applyBorder="1"/>
    <xf numFmtId="9" fontId="0" fillId="40" borderId="35" xfId="44" applyFont="1" applyFill="1" applyBorder="1"/>
    <xf numFmtId="10" fontId="0" fillId="38" borderId="35" xfId="44" applyNumberFormat="1" applyFont="1" applyFill="1" applyBorder="1"/>
    <xf numFmtId="9" fontId="0" fillId="36" borderId="35" xfId="44" applyFont="1" applyFill="1" applyBorder="1"/>
    <xf numFmtId="10" fontId="0" fillId="33" borderId="35" xfId="44" applyNumberFormat="1" applyFont="1" applyFill="1" applyBorder="1"/>
    <xf numFmtId="10" fontId="0" fillId="36" borderId="35" xfId="44" applyNumberFormat="1" applyFont="1" applyFill="1" applyBorder="1"/>
    <xf numFmtId="10" fontId="0" fillId="37" borderId="35" xfId="44" applyNumberFormat="1" applyFont="1" applyFill="1" applyBorder="1"/>
    <xf numFmtId="10" fontId="0" fillId="0" borderId="35" xfId="44" applyNumberFormat="1" applyFont="1" applyBorder="1"/>
    <xf numFmtId="10" fontId="14" fillId="36" borderId="35" xfId="44" applyNumberFormat="1" applyFont="1" applyFill="1" applyBorder="1"/>
    <xf numFmtId="10" fontId="0" fillId="35" borderId="37" xfId="44" applyNumberFormat="1" applyFont="1" applyFill="1" applyBorder="1"/>
    <xf numFmtId="164" fontId="22" fillId="35" borderId="37" xfId="43" applyNumberFormat="1" applyFont="1" applyFill="1" applyBorder="1"/>
    <xf numFmtId="10" fontId="0" fillId="0" borderId="37" xfId="44" applyNumberFormat="1" applyFont="1" applyBorder="1"/>
    <xf numFmtId="43" fontId="0" fillId="0" borderId="37" xfId="43" applyFont="1" applyBorder="1"/>
    <xf numFmtId="10" fontId="0" fillId="35" borderId="38" xfId="44" applyNumberFormat="1" applyFont="1" applyFill="1" applyBorder="1"/>
    <xf numFmtId="164" fontId="16" fillId="0" borderId="0" xfId="0" applyNumberFormat="1" applyFont="1" applyFill="1"/>
    <xf numFmtId="43" fontId="0" fillId="36" borderId="29" xfId="0" applyNumberFormat="1" applyFill="1" applyBorder="1"/>
    <xf numFmtId="0" fontId="0" fillId="36" borderId="29" xfId="0" applyFill="1" applyBorder="1"/>
    <xf numFmtId="43" fontId="0" fillId="38" borderId="29" xfId="0" applyNumberFormat="1" applyFill="1" applyBorder="1"/>
    <xf numFmtId="0" fontId="0" fillId="38" borderId="29" xfId="0" applyFill="1" applyBorder="1"/>
    <xf numFmtId="0" fontId="20" fillId="38" borderId="10" xfId="42" applyFont="1" applyFill="1" applyBorder="1" applyAlignment="1">
      <alignment horizontal="left"/>
    </xf>
    <xf numFmtId="10" fontId="14" fillId="38" borderId="16" xfId="44" applyNumberFormat="1" applyFont="1" applyFill="1" applyBorder="1"/>
    <xf numFmtId="10" fontId="14" fillId="38" borderId="10" xfId="44" applyNumberFormat="1" applyFont="1" applyFill="1" applyBorder="1"/>
    <xf numFmtId="10" fontId="14" fillId="38" borderId="29" xfId="44" applyNumberFormat="1" applyFont="1" applyFill="1" applyBorder="1"/>
    <xf numFmtId="43" fontId="0" fillId="38" borderId="29" xfId="43" applyFont="1" applyFill="1" applyBorder="1"/>
    <xf numFmtId="10" fontId="14" fillId="38" borderId="35" xfId="44" applyNumberFormat="1" applyFont="1" applyFill="1" applyBorder="1"/>
    <xf numFmtId="0" fontId="0" fillId="0" borderId="32" xfId="0" applyFill="1" applyBorder="1"/>
    <xf numFmtId="10" fontId="0" fillId="0" borderId="33" xfId="0" applyNumberFormat="1" applyFill="1" applyBorder="1"/>
    <xf numFmtId="0" fontId="0" fillId="0" borderId="33" xfId="0" applyFill="1" applyBorder="1"/>
    <xf numFmtId="43" fontId="0" fillId="0" borderId="33" xfId="0" applyNumberFormat="1" applyFill="1" applyBorder="1"/>
    <xf numFmtId="10" fontId="0" fillId="0" borderId="34" xfId="0" applyNumberFormat="1" applyFill="1" applyBorder="1"/>
    <xf numFmtId="43" fontId="22" fillId="39" borderId="31" xfId="43" applyFont="1" applyFill="1" applyBorder="1"/>
    <xf numFmtId="43" fontId="22" fillId="0" borderId="31" xfId="43" applyFont="1" applyFill="1" applyBorder="1"/>
    <xf numFmtId="43" fontId="0" fillId="38" borderId="31" xfId="43" applyFont="1" applyFill="1" applyBorder="1"/>
    <xf numFmtId="43" fontId="0" fillId="36" borderId="31" xfId="43" applyFont="1" applyFill="1" applyBorder="1"/>
    <xf numFmtId="43" fontId="0" fillId="37" borderId="31" xfId="43" applyFont="1" applyFill="1" applyBorder="1"/>
    <xf numFmtId="43" fontId="22" fillId="36" borderId="31" xfId="43" applyFont="1" applyFill="1" applyBorder="1"/>
    <xf numFmtId="43" fontId="22" fillId="35" borderId="36" xfId="43" applyFont="1" applyFill="1" applyBorder="1"/>
    <xf numFmtId="10" fontId="0" fillId="0" borderId="0" xfId="0" applyNumberFormat="1" applyBorder="1"/>
    <xf numFmtId="43" fontId="16" fillId="0" borderId="0" xfId="0" applyNumberFormat="1" applyFont="1" applyFill="1"/>
    <xf numFmtId="0" fontId="16" fillId="0" borderId="0" xfId="0" applyFont="1" applyFill="1" applyBorder="1"/>
    <xf numFmtId="43" fontId="16" fillId="39" borderId="0" xfId="0" applyNumberFormat="1" applyFont="1" applyFill="1"/>
    <xf numFmtId="43" fontId="16" fillId="35" borderId="0" xfId="0" applyNumberFormat="1" applyFont="1" applyFill="1"/>
    <xf numFmtId="43" fontId="16" fillId="38" borderId="0" xfId="0" applyNumberFormat="1" applyFont="1" applyFill="1"/>
    <xf numFmtId="43" fontId="16" fillId="36" borderId="0" xfId="0" applyNumberFormat="1" applyFont="1" applyFill="1"/>
    <xf numFmtId="43" fontId="0" fillId="39" borderId="19" xfId="43" applyNumberFormat="1" applyFont="1" applyFill="1" applyBorder="1"/>
    <xf numFmtId="166" fontId="0" fillId="33" borderId="10" xfId="43" applyNumberFormat="1" applyFont="1" applyFill="1" applyBorder="1"/>
    <xf numFmtId="166" fontId="0" fillId="0" borderId="0" xfId="0" applyNumberFormat="1"/>
    <xf numFmtId="166" fontId="22" fillId="35" borderId="21" xfId="43" applyNumberFormat="1" applyFont="1" applyFill="1" applyBorder="1"/>
    <xf numFmtId="166" fontId="22" fillId="36" borderId="21" xfId="43" applyNumberFormat="1" applyFont="1" applyFill="1" applyBorder="1"/>
    <xf numFmtId="166" fontId="0" fillId="33" borderId="12" xfId="43" applyNumberFormat="1" applyFont="1" applyFill="1" applyBorder="1"/>
    <xf numFmtId="0" fontId="0" fillId="39" borderId="24" xfId="0" applyFill="1" applyBorder="1"/>
    <xf numFmtId="43" fontId="0" fillId="39" borderId="24" xfId="43" applyFont="1" applyFill="1" applyBorder="1"/>
    <xf numFmtId="0" fontId="16" fillId="36" borderId="0" xfId="0" applyFont="1" applyFill="1" applyBorder="1"/>
    <xf numFmtId="43" fontId="16" fillId="36" borderId="0" xfId="43" applyFont="1" applyFill="1" applyBorder="1"/>
    <xf numFmtId="10" fontId="21" fillId="36" borderId="0" xfId="44" applyNumberFormat="1" applyFont="1" applyFill="1" applyBorder="1"/>
    <xf numFmtId="0" fontId="16" fillId="0" borderId="0" xfId="0" applyFont="1" applyBorder="1"/>
    <xf numFmtId="0" fontId="16" fillId="39" borderId="24" xfId="0" applyFont="1" applyFill="1" applyBorder="1"/>
    <xf numFmtId="43" fontId="16" fillId="0" borderId="0" xfId="0" applyNumberFormat="1" applyFont="1" applyFill="1" applyBorder="1"/>
    <xf numFmtId="10" fontId="16" fillId="0" borderId="0" xfId="0" applyNumberFormat="1" applyFont="1" applyFill="1" applyBorder="1"/>
    <xf numFmtId="43" fontId="1" fillId="0" borderId="0" xfId="43" applyFont="1" applyFill="1"/>
    <xf numFmtId="43" fontId="22" fillId="0" borderId="0" xfId="43" applyFont="1" applyFill="1" applyBorder="1"/>
    <xf numFmtId="0" fontId="0" fillId="0" borderId="0" xfId="44" applyNumberFormat="1" applyFont="1" applyFill="1" applyBorder="1"/>
    <xf numFmtId="43" fontId="0" fillId="0" borderId="0" xfId="44" applyNumberFormat="1" applyFont="1" applyFill="1" applyBorder="1"/>
    <xf numFmtId="0" fontId="13" fillId="35" borderId="23" xfId="0" applyFont="1" applyFill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4" fontId="0" fillId="0" borderId="0" xfId="0" applyNumberFormat="1" applyFont="1" applyBorder="1"/>
    <xf numFmtId="10" fontId="16" fillId="0" borderId="0" xfId="44" applyNumberFormat="1" applyFont="1" applyFill="1" applyBorder="1" applyAlignment="1">
      <alignment horizontal="right"/>
    </xf>
    <xf numFmtId="0" fontId="16" fillId="0" borderId="0" xfId="0" applyFont="1" applyAlignment="1"/>
    <xf numFmtId="17" fontId="0" fillId="0" borderId="29" xfId="0" applyNumberFormat="1" applyBorder="1" applyAlignment="1">
      <alignment horizontal="center"/>
    </xf>
    <xf numFmtId="0" fontId="16" fillId="0" borderId="29" xfId="0" applyFont="1" applyBorder="1" applyAlignment="1">
      <alignment horizontal="center" wrapText="1"/>
    </xf>
    <xf numFmtId="0" fontId="0" fillId="0" borderId="0" xfId="0"/>
    <xf numFmtId="0" fontId="16" fillId="43" borderId="23" xfId="0" applyFont="1" applyFill="1" applyBorder="1"/>
    <xf numFmtId="0" fontId="16" fillId="43" borderId="29" xfId="0" applyFont="1" applyFill="1" applyBorder="1" applyAlignment="1">
      <alignment horizontal="center"/>
    </xf>
    <xf numFmtId="0" fontId="0" fillId="43" borderId="29" xfId="0" applyFill="1" applyBorder="1" applyAlignment="1"/>
    <xf numFmtId="14" fontId="0" fillId="43" borderId="29" xfId="0" applyNumberFormat="1" applyFill="1" applyBorder="1" applyAlignment="1">
      <alignment horizontal="left"/>
    </xf>
    <xf numFmtId="14" fontId="0" fillId="43" borderId="29" xfId="0" quotePrefix="1" applyNumberFormat="1" applyFill="1" applyBorder="1" applyAlignment="1">
      <alignment horizontal="center"/>
    </xf>
    <xf numFmtId="43" fontId="0" fillId="43" borderId="29" xfId="46" applyNumberFormat="1" applyFont="1" applyFill="1" applyBorder="1" applyAlignment="1">
      <alignment horizontal="left"/>
    </xf>
    <xf numFmtId="0" fontId="0" fillId="43" borderId="29" xfId="0" applyFill="1" applyBorder="1" applyAlignment="1">
      <alignment horizontal="left"/>
    </xf>
    <xf numFmtId="0" fontId="16" fillId="43" borderId="0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43" borderId="0" xfId="0" applyFont="1" applyFill="1" applyBorder="1" applyAlignment="1">
      <alignment horizontal="center"/>
    </xf>
    <xf numFmtId="0" fontId="16" fillId="44" borderId="29" xfId="0" applyFont="1" applyFill="1" applyBorder="1"/>
    <xf numFmtId="14" fontId="16" fillId="44" borderId="29" xfId="0" applyNumberFormat="1" applyFont="1" applyFill="1" applyBorder="1" applyAlignment="1">
      <alignment horizontal="center"/>
    </xf>
    <xf numFmtId="0" fontId="0" fillId="44" borderId="29" xfId="0" applyFill="1" applyBorder="1" applyAlignment="1"/>
    <xf numFmtId="0" fontId="0" fillId="44" borderId="29" xfId="0" applyFill="1" applyBorder="1"/>
    <xf numFmtId="0" fontId="0" fillId="44" borderId="29" xfId="46" applyNumberFormat="1" applyFont="1" applyFill="1" applyBorder="1" applyAlignment="1">
      <alignment horizontal="right"/>
    </xf>
    <xf numFmtId="43" fontId="0" fillId="44" borderId="29" xfId="0" applyNumberFormat="1" applyFill="1" applyBorder="1"/>
    <xf numFmtId="43" fontId="16" fillId="44" borderId="29" xfId="0" applyNumberFormat="1" applyFont="1" applyFill="1" applyBorder="1"/>
    <xf numFmtId="2" fontId="0" fillId="0" borderId="29" xfId="0" applyNumberFormat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30" fillId="33" borderId="0" xfId="0" applyFont="1" applyFill="1" applyAlignment="1"/>
    <xf numFmtId="0" fontId="0" fillId="44" borderId="23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44" borderId="25" xfId="0" applyFill="1" applyBorder="1" applyAlignment="1">
      <alignment horizontal="center"/>
    </xf>
    <xf numFmtId="0" fontId="0" fillId="43" borderId="23" xfId="0" applyFont="1" applyFill="1" applyBorder="1"/>
    <xf numFmtId="14" fontId="0" fillId="43" borderId="29" xfId="0" applyNumberFormat="1" applyFont="1" applyFill="1" applyBorder="1" applyAlignment="1">
      <alignment horizontal="center"/>
    </xf>
    <xf numFmtId="0" fontId="0" fillId="43" borderId="29" xfId="0" applyFont="1" applyFill="1" applyBorder="1" applyAlignment="1">
      <alignment horizontal="center"/>
    </xf>
    <xf numFmtId="0" fontId="30" fillId="0" borderId="0" xfId="0" applyFont="1" applyFill="1" applyAlignment="1"/>
    <xf numFmtId="0" fontId="0" fillId="0" borderId="29" xfId="0" applyFill="1" applyBorder="1" applyAlignment="1">
      <alignment horizontal="left"/>
    </xf>
    <xf numFmtId="14" fontId="0" fillId="0" borderId="29" xfId="0" quotePrefix="1" applyNumberFormat="1" applyFill="1" applyBorder="1" applyAlignment="1">
      <alignment horizontal="center"/>
    </xf>
    <xf numFmtId="0" fontId="16" fillId="0" borderId="0" xfId="0" applyFont="1" applyFill="1" applyBorder="1" applyAlignment="1"/>
    <xf numFmtId="0" fontId="16" fillId="43" borderId="44" xfId="0" applyFont="1" applyFill="1" applyBorder="1" applyAlignment="1">
      <alignment horizontal="center"/>
    </xf>
    <xf numFmtId="0" fontId="16" fillId="43" borderId="45" xfId="0" applyFont="1" applyFill="1" applyBorder="1" applyAlignment="1">
      <alignment horizontal="center"/>
    </xf>
    <xf numFmtId="0" fontId="16" fillId="43" borderId="46" xfId="0" applyFont="1" applyFill="1" applyBorder="1" applyAlignment="1">
      <alignment horizontal="center"/>
    </xf>
    <xf numFmtId="0" fontId="16" fillId="43" borderId="47" xfId="0" applyFont="1" applyFill="1" applyBorder="1"/>
    <xf numFmtId="0" fontId="16" fillId="43" borderId="33" xfId="0" applyFont="1" applyFill="1" applyBorder="1" applyAlignment="1">
      <alignment horizontal="center"/>
    </xf>
    <xf numFmtId="0" fontId="16" fillId="43" borderId="34" xfId="0" applyFont="1" applyFill="1" applyBorder="1" applyAlignment="1">
      <alignment horizontal="center"/>
    </xf>
    <xf numFmtId="0" fontId="0" fillId="43" borderId="48" xfId="0" applyFont="1" applyFill="1" applyBorder="1"/>
    <xf numFmtId="0" fontId="0" fillId="43" borderId="35" xfId="0" applyFont="1" applyFill="1" applyBorder="1" applyAlignment="1">
      <alignment horizontal="center"/>
    </xf>
    <xf numFmtId="0" fontId="0" fillId="43" borderId="31" xfId="0" applyFill="1" applyBorder="1" applyAlignment="1"/>
    <xf numFmtId="0" fontId="0" fillId="0" borderId="31" xfId="0" applyFill="1" applyBorder="1" applyAlignment="1"/>
    <xf numFmtId="0" fontId="0" fillId="0" borderId="35" xfId="0" applyFont="1" applyFill="1" applyBorder="1" applyAlignment="1">
      <alignment horizontal="center"/>
    </xf>
    <xf numFmtId="0" fontId="16" fillId="0" borderId="36" xfId="0" applyFont="1" applyFill="1" applyBorder="1" applyAlignment="1"/>
    <xf numFmtId="0" fontId="16" fillId="0" borderId="37" xfId="0" applyFont="1" applyBorder="1"/>
    <xf numFmtId="0" fontId="16" fillId="0" borderId="38" xfId="0" applyFont="1" applyBorder="1"/>
    <xf numFmtId="43" fontId="14" fillId="0" borderId="0" xfId="44" applyNumberFormat="1" applyFont="1" applyFill="1" applyBorder="1"/>
    <xf numFmtId="0" fontId="0" fillId="0" borderId="0" xfId="0"/>
    <xf numFmtId="0" fontId="0" fillId="0" borderId="38" xfId="0" applyNumberFormat="1" applyBorder="1"/>
    <xf numFmtId="0" fontId="0" fillId="0" borderId="29" xfId="0" quotePrefix="1" applyBorder="1" applyAlignment="1">
      <alignment horizontal="center"/>
    </xf>
    <xf numFmtId="0" fontId="16" fillId="0" borderId="0" xfId="0" applyFont="1" applyBorder="1" applyAlignment="1"/>
    <xf numFmtId="0" fontId="16" fillId="0" borderId="32" xfId="0" applyFon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2" fontId="16" fillId="0" borderId="35" xfId="0" applyNumberFormat="1" applyFont="1" applyBorder="1" applyAlignment="1">
      <alignment horizontal="center"/>
    </xf>
    <xf numFmtId="17" fontId="0" fillId="0" borderId="31" xfId="0" applyNumberFormat="1" applyBorder="1" applyAlignment="1">
      <alignment horizontal="center"/>
    </xf>
    <xf numFmtId="17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52" xfId="0" applyFont="1" applyBorder="1"/>
    <xf numFmtId="0" fontId="16" fillId="0" borderId="53" xfId="0" applyFont="1" applyBorder="1"/>
    <xf numFmtId="0" fontId="16" fillId="0" borderId="54" xfId="0" applyFont="1" applyBorder="1"/>
    <xf numFmtId="17" fontId="0" fillId="36" borderId="29" xfId="0" applyNumberFormat="1" applyFill="1" applyBorder="1" applyAlignment="1">
      <alignment horizontal="center"/>
    </xf>
    <xf numFmtId="0" fontId="0" fillId="36" borderId="29" xfId="0" applyFill="1" applyBorder="1" applyAlignment="1">
      <alignment horizontal="center"/>
    </xf>
    <xf numFmtId="14" fontId="0" fillId="36" borderId="31" xfId="0" applyNumberFormat="1" applyFill="1" applyBorder="1" applyAlignment="1">
      <alignment horizontal="center"/>
    </xf>
    <xf numFmtId="0" fontId="0" fillId="36" borderId="29" xfId="0" quotePrefix="1" applyFill="1" applyBorder="1" applyAlignment="1">
      <alignment horizontal="center"/>
    </xf>
    <xf numFmtId="2" fontId="0" fillId="36" borderId="35" xfId="0" applyNumberFormat="1" applyFill="1" applyBorder="1" applyAlignment="1">
      <alignment horizontal="center"/>
    </xf>
    <xf numFmtId="17" fontId="0" fillId="36" borderId="31" xfId="0" applyNumberFormat="1" applyFill="1" applyBorder="1" applyAlignment="1">
      <alignment horizontal="center"/>
    </xf>
    <xf numFmtId="0" fontId="0" fillId="36" borderId="35" xfId="0" applyFill="1" applyBorder="1" applyAlignment="1">
      <alignment horizontal="center"/>
    </xf>
    <xf numFmtId="0" fontId="0" fillId="36" borderId="29" xfId="0" applyFont="1" applyFill="1" applyBorder="1" applyAlignment="1">
      <alignment horizontal="center"/>
    </xf>
    <xf numFmtId="0" fontId="0" fillId="0" borderId="0" xfId="0"/>
    <xf numFmtId="2" fontId="0" fillId="36" borderId="29" xfId="0" applyNumberFormat="1" applyFill="1" applyBorder="1" applyAlignment="1">
      <alignment horizontal="center"/>
    </xf>
    <xf numFmtId="2" fontId="16" fillId="0" borderId="29" xfId="0" applyNumberFormat="1" applyFont="1" applyBorder="1" applyAlignment="1">
      <alignment horizontal="center"/>
    </xf>
    <xf numFmtId="170" fontId="16" fillId="0" borderId="29" xfId="0" applyNumberFormat="1" applyFont="1" applyBorder="1" applyAlignment="1">
      <alignment horizontal="center"/>
    </xf>
    <xf numFmtId="0" fontId="0" fillId="0" borderId="0" xfId="0"/>
    <xf numFmtId="0" fontId="0" fillId="0" borderId="0" xfId="0" applyFill="1"/>
    <xf numFmtId="0" fontId="16" fillId="0" borderId="0" xfId="0" applyFont="1" applyBorder="1"/>
    <xf numFmtId="0" fontId="16" fillId="0" borderId="0" xfId="0" applyFont="1" applyAlignment="1"/>
    <xf numFmtId="17" fontId="0" fillId="0" borderId="29" xfId="0" applyNumberFormat="1" applyBorder="1" applyAlignment="1">
      <alignment horizontal="center"/>
    </xf>
    <xf numFmtId="0" fontId="16" fillId="0" borderId="29" xfId="0" applyFont="1" applyBorder="1" applyAlignment="1">
      <alignment horizontal="center" wrapText="1"/>
    </xf>
    <xf numFmtId="0" fontId="16" fillId="43" borderId="23" xfId="0" applyFont="1" applyFill="1" applyBorder="1"/>
    <xf numFmtId="0" fontId="16" fillId="43" borderId="29" xfId="0" applyFont="1" applyFill="1" applyBorder="1" applyAlignment="1">
      <alignment horizontal="center"/>
    </xf>
    <xf numFmtId="0" fontId="0" fillId="43" borderId="29" xfId="0" applyFill="1" applyBorder="1" applyAlignment="1"/>
    <xf numFmtId="14" fontId="0" fillId="43" borderId="29" xfId="0" applyNumberFormat="1" applyFill="1" applyBorder="1" applyAlignment="1">
      <alignment horizontal="left"/>
    </xf>
    <xf numFmtId="14" fontId="0" fillId="43" borderId="29" xfId="0" quotePrefix="1" applyNumberFormat="1" applyFill="1" applyBorder="1" applyAlignment="1">
      <alignment horizontal="center"/>
    </xf>
    <xf numFmtId="43" fontId="0" fillId="43" borderId="29" xfId="46" applyNumberFormat="1" applyFont="1" applyFill="1" applyBorder="1" applyAlignment="1">
      <alignment horizontal="left"/>
    </xf>
    <xf numFmtId="0" fontId="0" fillId="43" borderId="29" xfId="0" applyFill="1" applyBorder="1" applyAlignment="1">
      <alignment horizontal="left"/>
    </xf>
    <xf numFmtId="0" fontId="0" fillId="0" borderId="29" xfId="0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44" borderId="29" xfId="0" applyFont="1" applyFill="1" applyBorder="1"/>
    <xf numFmtId="14" fontId="16" fillId="44" borderId="29" xfId="0" applyNumberFormat="1" applyFont="1" applyFill="1" applyBorder="1" applyAlignment="1">
      <alignment horizontal="center"/>
    </xf>
    <xf numFmtId="0" fontId="0" fillId="44" borderId="29" xfId="0" applyFill="1" applyBorder="1" applyAlignment="1"/>
    <xf numFmtId="0" fontId="0" fillId="44" borderId="29" xfId="0" applyFill="1" applyBorder="1"/>
    <xf numFmtId="0" fontId="0" fillId="44" borderId="29" xfId="46" applyNumberFormat="1" applyFont="1" applyFill="1" applyBorder="1" applyAlignment="1">
      <alignment horizontal="right"/>
    </xf>
    <xf numFmtId="43" fontId="0" fillId="44" borderId="29" xfId="0" applyNumberFormat="1" applyFill="1" applyBorder="1"/>
    <xf numFmtId="43" fontId="16" fillId="44" borderId="29" xfId="0" applyNumberFormat="1" applyFont="1" applyFill="1" applyBorder="1"/>
    <xf numFmtId="2" fontId="0" fillId="0" borderId="29" xfId="0" applyNumberFormat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30" fillId="33" borderId="0" xfId="0" applyFont="1" applyFill="1" applyAlignment="1"/>
    <xf numFmtId="0" fontId="0" fillId="44" borderId="23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44" borderId="25" xfId="0" applyFill="1" applyBorder="1" applyAlignment="1">
      <alignment horizontal="center"/>
    </xf>
    <xf numFmtId="0" fontId="0" fillId="43" borderId="23" xfId="0" applyFont="1" applyFill="1" applyBorder="1"/>
    <xf numFmtId="14" fontId="0" fillId="43" borderId="29" xfId="0" applyNumberFormat="1" applyFont="1" applyFill="1" applyBorder="1" applyAlignment="1">
      <alignment horizontal="center"/>
    </xf>
    <xf numFmtId="0" fontId="0" fillId="43" borderId="29" xfId="0" applyFont="1" applyFill="1" applyBorder="1" applyAlignment="1">
      <alignment horizontal="center"/>
    </xf>
    <xf numFmtId="0" fontId="30" fillId="0" borderId="0" xfId="0" applyFont="1" applyFill="1" applyAlignment="1"/>
    <xf numFmtId="0" fontId="0" fillId="0" borderId="29" xfId="0" applyFill="1" applyBorder="1" applyAlignment="1">
      <alignment horizontal="left"/>
    </xf>
    <xf numFmtId="14" fontId="0" fillId="0" borderId="29" xfId="0" quotePrefix="1" applyNumberFormat="1" applyFill="1" applyBorder="1" applyAlignment="1">
      <alignment horizontal="center"/>
    </xf>
    <xf numFmtId="0" fontId="16" fillId="0" borderId="0" xfId="0" applyFont="1" applyFill="1" applyBorder="1" applyAlignment="1"/>
    <xf numFmtId="0" fontId="16" fillId="43" borderId="44" xfId="0" applyFont="1" applyFill="1" applyBorder="1" applyAlignment="1">
      <alignment horizontal="center"/>
    </xf>
    <xf numFmtId="0" fontId="16" fillId="43" borderId="45" xfId="0" applyFont="1" applyFill="1" applyBorder="1" applyAlignment="1">
      <alignment horizontal="center"/>
    </xf>
    <xf numFmtId="0" fontId="16" fillId="43" borderId="46" xfId="0" applyFont="1" applyFill="1" applyBorder="1" applyAlignment="1">
      <alignment horizontal="center"/>
    </xf>
    <xf numFmtId="0" fontId="16" fillId="43" borderId="47" xfId="0" applyFont="1" applyFill="1" applyBorder="1"/>
    <xf numFmtId="0" fontId="16" fillId="43" borderId="33" xfId="0" applyFont="1" applyFill="1" applyBorder="1" applyAlignment="1">
      <alignment horizontal="center"/>
    </xf>
    <xf numFmtId="0" fontId="16" fillId="43" borderId="34" xfId="0" applyFont="1" applyFill="1" applyBorder="1" applyAlignment="1">
      <alignment horizontal="center"/>
    </xf>
    <xf numFmtId="0" fontId="0" fillId="43" borderId="48" xfId="0" applyFont="1" applyFill="1" applyBorder="1"/>
    <xf numFmtId="0" fontId="0" fillId="43" borderId="35" xfId="0" applyFont="1" applyFill="1" applyBorder="1" applyAlignment="1">
      <alignment horizontal="center"/>
    </xf>
    <xf numFmtId="0" fontId="0" fillId="43" borderId="31" xfId="0" applyFill="1" applyBorder="1" applyAlignment="1"/>
    <xf numFmtId="0" fontId="0" fillId="0" borderId="31" xfId="0" applyFill="1" applyBorder="1" applyAlignment="1"/>
    <xf numFmtId="0" fontId="0" fillId="0" borderId="35" xfId="0" applyFont="1" applyFill="1" applyBorder="1" applyAlignment="1">
      <alignment horizontal="center"/>
    </xf>
    <xf numFmtId="0" fontId="16" fillId="0" borderId="36" xfId="0" applyFont="1" applyFill="1" applyBorder="1" applyAlignment="1"/>
    <xf numFmtId="0" fontId="16" fillId="0" borderId="37" xfId="0" applyFont="1" applyBorder="1"/>
    <xf numFmtId="0" fontId="16" fillId="0" borderId="38" xfId="0" applyFont="1" applyBorder="1"/>
    <xf numFmtId="17" fontId="0" fillId="36" borderId="29" xfId="0" applyNumberFormat="1" applyFill="1" applyBorder="1" applyAlignment="1">
      <alignment horizontal="center"/>
    </xf>
    <xf numFmtId="0" fontId="0" fillId="36" borderId="29" xfId="0" applyFill="1" applyBorder="1" applyAlignment="1">
      <alignment horizontal="center"/>
    </xf>
    <xf numFmtId="0" fontId="0" fillId="43" borderId="29" xfId="0" quotePrefix="1" applyFill="1" applyBorder="1" applyAlignment="1">
      <alignment horizontal="center"/>
    </xf>
    <xf numFmtId="0" fontId="16" fillId="43" borderId="0" xfId="0" applyFont="1" applyFill="1" applyBorder="1" applyAlignment="1">
      <alignment horizontal="center"/>
    </xf>
    <xf numFmtId="43" fontId="0" fillId="0" borderId="25" xfId="43" applyNumberFormat="1" applyFont="1" applyFill="1" applyBorder="1"/>
    <xf numFmtId="43" fontId="0" fillId="0" borderId="32" xfId="0" applyNumberFormat="1" applyFill="1" applyBorder="1"/>
    <xf numFmtId="164" fontId="22" fillId="40" borderId="29" xfId="43" applyNumberFormat="1" applyFont="1" applyFill="1" applyBorder="1"/>
    <xf numFmtId="164" fontId="22" fillId="41" borderId="29" xfId="43" applyNumberFormat="1" applyFont="1" applyFill="1" applyBorder="1"/>
    <xf numFmtId="43" fontId="0" fillId="33" borderId="29" xfId="43" applyFont="1" applyFill="1" applyBorder="1"/>
    <xf numFmtId="10" fontId="14" fillId="33" borderId="29" xfId="44" applyNumberFormat="1" applyFont="1" applyFill="1" applyBorder="1"/>
    <xf numFmtId="164" fontId="0" fillId="40" borderId="29" xfId="43" applyNumberFormat="1" applyFont="1" applyFill="1" applyBorder="1"/>
    <xf numFmtId="0" fontId="14" fillId="0" borderId="0" xfId="0" applyFont="1" applyFill="1"/>
    <xf numFmtId="0" fontId="22" fillId="0" borderId="0" xfId="0" applyFont="1" applyFill="1"/>
    <xf numFmtId="9" fontId="14" fillId="0" borderId="14" xfId="44" applyFont="1" applyFill="1" applyBorder="1"/>
    <xf numFmtId="9" fontId="14" fillId="0" borderId="0" xfId="44" applyFont="1" applyFill="1" applyBorder="1"/>
    <xf numFmtId="9" fontId="14" fillId="0" borderId="29" xfId="44" applyFont="1" applyFill="1" applyBorder="1"/>
    <xf numFmtId="4" fontId="0" fillId="0" borderId="0" xfId="0" applyNumberFormat="1"/>
    <xf numFmtId="0" fontId="20" fillId="33" borderId="12" xfId="0" applyFont="1" applyFill="1" applyBorder="1" applyAlignment="1"/>
    <xf numFmtId="0" fontId="16" fillId="36" borderId="10" xfId="0" applyFont="1" applyFill="1" applyBorder="1"/>
    <xf numFmtId="0" fontId="0" fillId="0" borderId="0" xfId="0"/>
    <xf numFmtId="0" fontId="0" fillId="0" borderId="29" xfId="0" applyBorder="1"/>
    <xf numFmtId="0" fontId="0" fillId="44" borderId="29" xfId="0" applyFill="1" applyBorder="1"/>
    <xf numFmtId="14" fontId="0" fillId="43" borderId="29" xfId="0" applyNumberFormat="1" applyFill="1" applyBorder="1" applyAlignment="1">
      <alignment horizontal="left"/>
    </xf>
    <xf numFmtId="14" fontId="0" fillId="43" borderId="29" xfId="0" quotePrefix="1" applyNumberForma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16" fillId="0" borderId="0" xfId="0" applyFont="1" applyAlignment="1"/>
    <xf numFmtId="0" fontId="16" fillId="0" borderId="29" xfId="0" applyFont="1" applyBorder="1" applyAlignment="1">
      <alignment horizontal="center" wrapText="1"/>
    </xf>
    <xf numFmtId="17" fontId="0" fillId="0" borderId="29" xfId="0" applyNumberFormat="1" applyBorder="1" applyAlignment="1">
      <alignment horizontal="center"/>
    </xf>
    <xf numFmtId="14" fontId="0" fillId="43" borderId="29" xfId="0" applyNumberFormat="1" applyFont="1" applyFill="1" applyBorder="1" applyAlignment="1">
      <alignment horizontal="center"/>
    </xf>
    <xf numFmtId="0" fontId="0" fillId="43" borderId="29" xfId="0" applyFont="1" applyFill="1" applyBorder="1" applyAlignment="1">
      <alignment horizontal="center"/>
    </xf>
    <xf numFmtId="0" fontId="16" fillId="44" borderId="29" xfId="0" applyFont="1" applyFill="1" applyBorder="1"/>
    <xf numFmtId="14" fontId="16" fillId="44" borderId="29" xfId="0" applyNumberFormat="1" applyFont="1" applyFill="1" applyBorder="1" applyAlignment="1">
      <alignment horizontal="center"/>
    </xf>
    <xf numFmtId="0" fontId="0" fillId="44" borderId="29" xfId="0" applyFill="1" applyBorder="1" applyAlignment="1"/>
    <xf numFmtId="0" fontId="0" fillId="44" borderId="29" xfId="46" applyNumberFormat="1" applyFont="1" applyFill="1" applyBorder="1" applyAlignment="1">
      <alignment horizontal="right"/>
    </xf>
    <xf numFmtId="43" fontId="0" fillId="44" borderId="29" xfId="0" applyNumberFormat="1" applyFill="1" applyBorder="1"/>
    <xf numFmtId="0" fontId="0" fillId="44" borderId="23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44" borderId="25" xfId="0" applyFill="1" applyBorder="1" applyAlignment="1">
      <alignment horizontal="center"/>
    </xf>
    <xf numFmtId="43" fontId="16" fillId="44" borderId="29" xfId="0" applyNumberFormat="1" applyFont="1" applyFill="1" applyBorder="1"/>
    <xf numFmtId="0" fontId="16" fillId="43" borderId="44" xfId="0" applyFont="1" applyFill="1" applyBorder="1" applyAlignment="1">
      <alignment horizontal="center"/>
    </xf>
    <xf numFmtId="0" fontId="16" fillId="43" borderId="45" xfId="0" applyFont="1" applyFill="1" applyBorder="1" applyAlignment="1">
      <alignment horizontal="center"/>
    </xf>
    <xf numFmtId="0" fontId="16" fillId="43" borderId="46" xfId="0" applyFont="1" applyFill="1" applyBorder="1" applyAlignment="1">
      <alignment horizontal="center"/>
    </xf>
    <xf numFmtId="0" fontId="16" fillId="43" borderId="47" xfId="0" applyFont="1" applyFill="1" applyBorder="1"/>
    <xf numFmtId="0" fontId="16" fillId="43" borderId="33" xfId="0" applyFont="1" applyFill="1" applyBorder="1" applyAlignment="1">
      <alignment horizontal="center"/>
    </xf>
    <xf numFmtId="0" fontId="16" fillId="43" borderId="34" xfId="0" applyFont="1" applyFill="1" applyBorder="1" applyAlignment="1">
      <alignment horizontal="center"/>
    </xf>
    <xf numFmtId="0" fontId="0" fillId="43" borderId="48" xfId="0" applyFont="1" applyFill="1" applyBorder="1"/>
    <xf numFmtId="0" fontId="0" fillId="43" borderId="31" xfId="0" applyFill="1" applyBorder="1" applyAlignment="1"/>
    <xf numFmtId="0" fontId="0" fillId="0" borderId="31" xfId="0" applyFill="1" applyBorder="1" applyAlignment="1"/>
    <xf numFmtId="0" fontId="0" fillId="0" borderId="29" xfId="0" applyFill="1" applyBorder="1" applyAlignment="1">
      <alignment horizontal="left"/>
    </xf>
    <xf numFmtId="14" fontId="0" fillId="0" borderId="29" xfId="0" quotePrefix="1" applyNumberFormat="1" applyFill="1" applyBorder="1" applyAlignment="1">
      <alignment horizontal="center"/>
    </xf>
    <xf numFmtId="0" fontId="16" fillId="0" borderId="36" xfId="0" applyFont="1" applyFill="1" applyBorder="1" applyAlignment="1"/>
    <xf numFmtId="0" fontId="16" fillId="0" borderId="37" xfId="0" applyFont="1" applyBorder="1"/>
    <xf numFmtId="170" fontId="0" fillId="0" borderId="29" xfId="0" applyNumberFormat="1" applyBorder="1" applyAlignment="1">
      <alignment horizontal="center"/>
    </xf>
    <xf numFmtId="170" fontId="16" fillId="0" borderId="29" xfId="0" applyNumberFormat="1" applyFont="1" applyBorder="1" applyAlignment="1">
      <alignment horizontal="center"/>
    </xf>
    <xf numFmtId="170" fontId="0" fillId="43" borderId="35" xfId="0" applyNumberFormat="1" applyFont="1" applyFill="1" applyBorder="1" applyAlignment="1">
      <alignment horizontal="center"/>
    </xf>
    <xf numFmtId="170" fontId="0" fillId="0" borderId="35" xfId="0" applyNumberFormat="1" applyFont="1" applyFill="1" applyBorder="1" applyAlignment="1">
      <alignment horizontal="center"/>
    </xf>
    <xf numFmtId="170" fontId="16" fillId="0" borderId="38" xfId="0" applyNumberFormat="1" applyFont="1" applyBorder="1"/>
    <xf numFmtId="0" fontId="14" fillId="39" borderId="0" xfId="0" applyFont="1" applyFill="1"/>
    <xf numFmtId="0" fontId="32" fillId="39" borderId="0" xfId="0" applyFont="1" applyFill="1" applyAlignment="1"/>
    <xf numFmtId="0" fontId="14" fillId="39" borderId="0" xfId="0" applyFont="1" applyFill="1" applyAlignment="1">
      <alignment horizontal="center"/>
    </xf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" fontId="0" fillId="0" borderId="19" xfId="0" applyNumberFormat="1" applyFont="1" applyBorder="1"/>
    <xf numFmtId="4" fontId="0" fillId="0" borderId="18" xfId="0" applyNumberFormat="1" applyFont="1" applyBorder="1"/>
    <xf numFmtId="4" fontId="0" fillId="0" borderId="55" xfId="0" applyNumberFormat="1" applyFont="1" applyBorder="1"/>
    <xf numFmtId="10" fontId="14" fillId="0" borderId="56" xfId="44" applyNumberFormat="1" applyFont="1" applyFill="1" applyBorder="1"/>
    <xf numFmtId="4" fontId="0" fillId="0" borderId="19" xfId="0" applyNumberFormat="1" applyFont="1" applyFill="1" applyBorder="1"/>
    <xf numFmtId="10" fontId="14" fillId="0" borderId="28" xfId="44" applyNumberFormat="1" applyFont="1" applyFill="1" applyBorder="1"/>
    <xf numFmtId="0" fontId="13" fillId="35" borderId="11" xfId="0" applyFont="1" applyFill="1" applyBorder="1" applyAlignment="1">
      <alignment horizontal="center"/>
    </xf>
    <xf numFmtId="0" fontId="21" fillId="41" borderId="11" xfId="0" applyFont="1" applyFill="1" applyBorder="1" applyAlignment="1">
      <alignment horizontal="center"/>
    </xf>
    <xf numFmtId="0" fontId="21" fillId="40" borderId="11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3" fillId="35" borderId="23" xfId="0" applyFont="1" applyFill="1" applyBorder="1" applyAlignment="1">
      <alignment horizontal="center"/>
    </xf>
    <xf numFmtId="0" fontId="13" fillId="35" borderId="24" xfId="0" applyFont="1" applyFill="1" applyBorder="1" applyAlignment="1">
      <alignment horizontal="center"/>
    </xf>
    <xf numFmtId="0" fontId="13" fillId="35" borderId="25" xfId="0" applyFont="1" applyFill="1" applyBorder="1" applyAlignment="1">
      <alignment horizontal="center"/>
    </xf>
    <xf numFmtId="0" fontId="31" fillId="0" borderId="11" xfId="0" applyFont="1" applyFill="1" applyBorder="1" applyAlignment="1">
      <alignment horizontal="center"/>
    </xf>
    <xf numFmtId="0" fontId="31" fillId="0" borderId="28" xfId="0" applyFont="1" applyFill="1" applyBorder="1" applyAlignment="1">
      <alignment horizontal="center"/>
    </xf>
    <xf numFmtId="0" fontId="16" fillId="43" borderId="42" xfId="0" applyFont="1" applyFill="1" applyBorder="1" applyAlignment="1">
      <alignment horizontal="center"/>
    </xf>
    <xf numFmtId="0" fontId="16" fillId="43" borderId="0" xfId="0" applyFont="1" applyFill="1" applyBorder="1" applyAlignment="1">
      <alignment horizontal="center"/>
    </xf>
    <xf numFmtId="0" fontId="16" fillId="43" borderId="43" xfId="0" applyFont="1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44" borderId="29" xfId="0" applyFont="1" applyFill="1" applyBorder="1" applyAlignment="1">
      <alignment horizontal="center"/>
    </xf>
    <xf numFmtId="0" fontId="16" fillId="43" borderId="39" xfId="0" applyFont="1" applyFill="1" applyBorder="1" applyAlignment="1">
      <alignment horizontal="center"/>
    </xf>
    <xf numFmtId="0" fontId="16" fillId="43" borderId="40" xfId="0" applyFont="1" applyFill="1" applyBorder="1" applyAlignment="1">
      <alignment horizontal="center"/>
    </xf>
    <xf numFmtId="0" fontId="16" fillId="43" borderId="41" xfId="0" applyFont="1" applyFill="1" applyBorder="1" applyAlignment="1">
      <alignment horizontal="center"/>
    </xf>
    <xf numFmtId="0" fontId="16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Alignment="1">
      <alignment horizontal="left"/>
    </xf>
    <xf numFmtId="0" fontId="16" fillId="43" borderId="0" xfId="0" applyFont="1" applyFill="1" applyAlignment="1">
      <alignment horizontal="center"/>
    </xf>
    <xf numFmtId="0" fontId="16" fillId="0" borderId="49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30" fillId="33" borderId="0" xfId="0" applyFont="1" applyFill="1" applyAlignment="1">
      <alignment horizontal="center"/>
    </xf>
    <xf numFmtId="0" fontId="16" fillId="44" borderId="23" xfId="0" applyFont="1" applyFill="1" applyBorder="1" applyAlignment="1">
      <alignment horizontal="center"/>
    </xf>
    <xf numFmtId="0" fontId="16" fillId="44" borderId="2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6" fillId="0" borderId="42" xfId="0" applyFont="1" applyBorder="1" applyAlignment="1">
      <alignment horizontal="left"/>
    </xf>
    <xf numFmtId="0" fontId="16" fillId="0" borderId="12" xfId="0" applyFont="1" applyBorder="1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2" xfId="46"/>
    <cellStyle name="Comma 3" xfId="47"/>
    <cellStyle name="Currency 2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0066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12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11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19.bin"/><Relationship Id="rId10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18.bin"/><Relationship Id="rId9" Type="http://schemas.openxmlformats.org/officeDocument/2006/relationships/printerSettings" Target="../printerSettings/printerSettings23.bin"/><Relationship Id="rId1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printerSettings" Target="../printerSettings/printerSettings29.bin"/><Relationship Id="rId7" Type="http://schemas.openxmlformats.org/officeDocument/2006/relationships/printerSettings" Target="../printerSettings/printerSettings33.bin"/><Relationship Id="rId12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6" Type="http://schemas.openxmlformats.org/officeDocument/2006/relationships/printerSettings" Target="../printerSettings/printerSettings32.bin"/><Relationship Id="rId1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31.bin"/><Relationship Id="rId10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0.bin"/><Relationship Id="rId9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73"/>
  <sheetViews>
    <sheetView zoomScale="85" zoomScaleNormal="85" zoomScaleSheetLayoutView="9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130" sqref="AC130"/>
    </sheetView>
  </sheetViews>
  <sheetFormatPr defaultColWidth="9.140625" defaultRowHeight="15"/>
  <cols>
    <col min="1" max="1" width="6.42578125" style="104" bestFit="1" customWidth="1"/>
    <col min="2" max="2" width="37.140625" style="104" bestFit="1" customWidth="1"/>
    <col min="3" max="3" width="13.28515625" style="24" bestFit="1" customWidth="1"/>
    <col min="4" max="4" width="8.7109375" style="108" bestFit="1" customWidth="1"/>
    <col min="5" max="5" width="13.28515625" style="128" bestFit="1" customWidth="1"/>
    <col min="6" max="6" width="7.85546875" style="108" customWidth="1"/>
    <col min="7" max="7" width="13.28515625" style="128" bestFit="1" customWidth="1"/>
    <col min="8" max="8" width="7.7109375" style="108" bestFit="1" customWidth="1"/>
    <col min="9" max="9" width="15.42578125" style="24" customWidth="1"/>
    <col min="10" max="10" width="7.7109375" style="108" bestFit="1" customWidth="1"/>
    <col min="11" max="11" width="13.7109375" style="128" customWidth="1"/>
    <col min="12" max="12" width="8.85546875" style="108" bestFit="1" customWidth="1"/>
    <col min="13" max="13" width="14.28515625" style="24" customWidth="1"/>
    <col min="14" max="14" width="7.5703125" style="108" customWidth="1"/>
    <col min="15" max="15" width="13.5703125" style="24" customWidth="1"/>
    <col min="16" max="16" width="7.5703125" style="108" customWidth="1"/>
    <col min="17" max="17" width="14" style="24" customWidth="1"/>
    <col min="18" max="18" width="7.5703125" style="108" customWidth="1"/>
    <col min="19" max="19" width="13.5703125" style="24" customWidth="1"/>
    <col min="20" max="20" width="7.5703125" style="108" customWidth="1"/>
    <col min="21" max="21" width="13.5703125" style="128" customWidth="1"/>
    <col min="22" max="22" width="7.5703125" style="108" customWidth="1"/>
    <col min="23" max="23" width="12.5703125" style="104" bestFit="1" customWidth="1"/>
    <col min="24" max="24" width="7.5703125" style="108" customWidth="1"/>
    <col min="25" max="25" width="13.5703125" style="128" customWidth="1"/>
    <col min="26" max="26" width="7.5703125" style="108" customWidth="1"/>
    <col min="27" max="27" width="15.28515625" style="104" bestFit="1" customWidth="1"/>
    <col min="28" max="28" width="9.7109375" style="166" customWidth="1"/>
    <col min="29" max="29" width="12.85546875" style="104" customWidth="1"/>
    <col min="30" max="30" width="7.5703125" style="166" customWidth="1"/>
    <col min="31" max="31" width="22.5703125" style="104" hidden="1" customWidth="1"/>
    <col min="32" max="32" width="14" style="128" hidden="1" customWidth="1"/>
    <col min="33" max="33" width="57.42578125" style="104" hidden="1" customWidth="1"/>
    <col min="34" max="34" width="14.42578125" style="104" hidden="1" customWidth="1"/>
    <col min="35" max="35" width="9.140625" style="104" hidden="1" customWidth="1"/>
    <col min="36" max="36" width="13.28515625" style="294" hidden="1" customWidth="1"/>
    <col min="37" max="37" width="10.28515625" style="104" hidden="1" customWidth="1"/>
    <col min="38" max="40" width="14.28515625" style="104" hidden="1" customWidth="1"/>
    <col min="41" max="41" width="12.28515625" style="5" customWidth="1"/>
    <col min="42" max="16384" width="9.140625" style="1"/>
  </cols>
  <sheetData>
    <row r="1" spans="1:41">
      <c r="A1" s="542" t="s">
        <v>334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3"/>
      <c r="AE1" s="1"/>
      <c r="AF1" s="63"/>
      <c r="AG1" s="1"/>
      <c r="AH1" s="75"/>
      <c r="AI1" s="75"/>
      <c r="AJ1" s="100"/>
      <c r="AK1" s="1"/>
      <c r="AL1" s="5"/>
      <c r="AM1" s="5"/>
      <c r="AN1" s="5"/>
    </row>
    <row r="2" spans="1:41">
      <c r="A2" s="26"/>
      <c r="B2" s="26"/>
      <c r="C2" s="134" t="s">
        <v>65</v>
      </c>
      <c r="D2" s="74"/>
      <c r="E2" s="544" t="s">
        <v>66</v>
      </c>
      <c r="F2" s="545"/>
      <c r="G2" s="318" t="s">
        <v>81</v>
      </c>
      <c r="H2" s="74"/>
      <c r="I2" s="544" t="s">
        <v>82</v>
      </c>
      <c r="J2" s="545"/>
      <c r="K2" s="544" t="s">
        <v>83</v>
      </c>
      <c r="L2" s="546"/>
      <c r="M2" s="544" t="s">
        <v>84</v>
      </c>
      <c r="N2" s="545"/>
      <c r="O2" s="544" t="s">
        <v>85</v>
      </c>
      <c r="P2" s="546"/>
      <c r="Q2" s="544" t="s">
        <v>86</v>
      </c>
      <c r="R2" s="545"/>
      <c r="S2" s="539" t="s">
        <v>87</v>
      </c>
      <c r="T2" s="539"/>
      <c r="U2" s="544" t="s">
        <v>108</v>
      </c>
      <c r="V2" s="546"/>
      <c r="W2" s="544" t="s">
        <v>109</v>
      </c>
      <c r="X2" s="545"/>
      <c r="Y2" s="539" t="s">
        <v>110</v>
      </c>
      <c r="Z2" s="539"/>
      <c r="AA2" s="540" t="s">
        <v>206</v>
      </c>
      <c r="AB2" s="540"/>
      <c r="AC2" s="541" t="s">
        <v>238</v>
      </c>
      <c r="AD2" s="541"/>
      <c r="AE2" s="89"/>
      <c r="AF2" s="154"/>
      <c r="AG2" s="89"/>
      <c r="AH2" s="541" t="s">
        <v>219</v>
      </c>
      <c r="AI2" s="541"/>
      <c r="AJ2" s="100" t="s">
        <v>206</v>
      </c>
      <c r="AK2" s="1"/>
      <c r="AL2" s="5"/>
      <c r="AM2" s="5"/>
      <c r="AN2" s="5"/>
    </row>
    <row r="3" spans="1:41" ht="15.75" thickBot="1">
      <c r="A3" s="47"/>
      <c r="B3" s="11" t="s">
        <v>70</v>
      </c>
      <c r="C3" s="135" t="s">
        <v>239</v>
      </c>
      <c r="D3" s="69" t="s">
        <v>80</v>
      </c>
      <c r="E3" s="135" t="s">
        <v>239</v>
      </c>
      <c r="F3" s="69" t="s">
        <v>80</v>
      </c>
      <c r="G3" s="135" t="s">
        <v>239</v>
      </c>
      <c r="H3" s="69" t="s">
        <v>80</v>
      </c>
      <c r="I3" s="135" t="s">
        <v>239</v>
      </c>
      <c r="J3" s="69" t="s">
        <v>80</v>
      </c>
      <c r="K3" s="135" t="s">
        <v>239</v>
      </c>
      <c r="L3" s="69" t="s">
        <v>80</v>
      </c>
      <c r="M3" s="135" t="s">
        <v>239</v>
      </c>
      <c r="N3" s="69" t="s">
        <v>80</v>
      </c>
      <c r="O3" s="135" t="s">
        <v>239</v>
      </c>
      <c r="P3" s="69" t="s">
        <v>80</v>
      </c>
      <c r="Q3" s="135" t="s">
        <v>239</v>
      </c>
      <c r="R3" s="69" t="s">
        <v>80</v>
      </c>
      <c r="S3" s="135" t="s">
        <v>239</v>
      </c>
      <c r="T3" s="69" t="s">
        <v>80</v>
      </c>
      <c r="U3" s="135" t="s">
        <v>239</v>
      </c>
      <c r="V3" s="69" t="s">
        <v>80</v>
      </c>
      <c r="W3" s="135" t="s">
        <v>239</v>
      </c>
      <c r="X3" s="69" t="s">
        <v>80</v>
      </c>
      <c r="Y3" s="135" t="s">
        <v>239</v>
      </c>
      <c r="Z3" s="69" t="s">
        <v>80</v>
      </c>
      <c r="AA3" s="231" t="s">
        <v>239</v>
      </c>
      <c r="AB3" s="232" t="s">
        <v>80</v>
      </c>
      <c r="AC3" s="233" t="s">
        <v>239</v>
      </c>
      <c r="AD3" s="234" t="s">
        <v>80</v>
      </c>
      <c r="AE3" s="157" t="s">
        <v>165</v>
      </c>
      <c r="AF3" s="235" t="s">
        <v>160</v>
      </c>
      <c r="AG3" s="157" t="s">
        <v>159</v>
      </c>
      <c r="AH3" s="233" t="s">
        <v>205</v>
      </c>
      <c r="AI3" s="234" t="s">
        <v>80</v>
      </c>
      <c r="AJ3" s="100"/>
      <c r="AK3" s="1"/>
      <c r="AL3" s="5"/>
      <c r="AM3" s="5"/>
      <c r="AN3" s="5"/>
    </row>
    <row r="4" spans="1:41">
      <c r="A4" s="1"/>
      <c r="B4" s="1"/>
      <c r="C4" s="136"/>
      <c r="D4" s="70"/>
      <c r="E4" s="53"/>
      <c r="F4" s="70"/>
      <c r="G4" s="78"/>
      <c r="H4" s="70"/>
      <c r="I4" s="18"/>
      <c r="J4" s="70"/>
      <c r="K4" s="53"/>
      <c r="L4" s="70"/>
      <c r="M4" s="18"/>
      <c r="N4" s="70"/>
      <c r="O4" s="18"/>
      <c r="P4" s="70"/>
      <c r="Q4" s="18"/>
      <c r="R4" s="70"/>
      <c r="S4" s="18"/>
      <c r="T4" s="70"/>
      <c r="U4" s="53"/>
      <c r="V4" s="70"/>
      <c r="W4" s="5"/>
      <c r="X4" s="70"/>
      <c r="Y4" s="53"/>
      <c r="AA4" s="463" t="s">
        <v>221</v>
      </c>
      <c r="AB4" s="281"/>
      <c r="AC4" s="282"/>
      <c r="AD4" s="281"/>
      <c r="AE4" s="282"/>
      <c r="AF4" s="283"/>
      <c r="AG4" s="282"/>
      <c r="AH4" s="282"/>
      <c r="AI4" s="284"/>
      <c r="AJ4" s="100"/>
      <c r="AK4" s="1"/>
      <c r="AL4" s="5"/>
      <c r="AM4" s="5"/>
      <c r="AN4" s="5"/>
    </row>
    <row r="5" spans="1:41" s="5" customFormat="1">
      <c r="A5" s="90">
        <v>5004</v>
      </c>
      <c r="B5" s="91" t="s">
        <v>72</v>
      </c>
      <c r="C5" s="97">
        <f>BCC!C5+Sheet1!C5</f>
        <v>152848.75847906905</v>
      </c>
      <c r="D5" s="96"/>
      <c r="E5" s="97">
        <f>BCC!E5+Sheet1!E5</f>
        <v>111305.92283331358</v>
      </c>
      <c r="F5" s="96"/>
      <c r="G5" s="97">
        <f>BCC!G5+Sheet1!G5</f>
        <v>203568.36285073854</v>
      </c>
      <c r="H5" s="96"/>
      <c r="I5" s="97">
        <f>BCC!I5+Sheet1!I5</f>
        <v>174176.06313627251</v>
      </c>
      <c r="J5" s="95"/>
      <c r="K5" s="97">
        <f>BCC!K5+Sheet1!K5</f>
        <v>149106.44100093891</v>
      </c>
      <c r="L5" s="96"/>
      <c r="M5" s="97">
        <f>BCC!M5+Sheet1!M5</f>
        <v>238537.39058510601</v>
      </c>
      <c r="N5" s="96"/>
      <c r="O5" s="97">
        <f>BCC!O5+Sheet1!O5</f>
        <v>141867.77215969944</v>
      </c>
      <c r="P5" s="96"/>
      <c r="Q5" s="97">
        <f>BCC!Q5+Sheet1!Q5</f>
        <v>174742.08371787673</v>
      </c>
      <c r="R5" s="96"/>
      <c r="S5" s="97">
        <f>BCC!S5+Sheet1!S5</f>
        <v>167444.64868375068</v>
      </c>
      <c r="T5" s="96"/>
      <c r="U5" s="97">
        <f>BCC!U5+Sheet1!U5</f>
        <v>140764.5759803165</v>
      </c>
      <c r="V5" s="96"/>
      <c r="W5" s="97">
        <f>BCC!W5+Sheet1!W5</f>
        <v>129359.75202792096</v>
      </c>
      <c r="X5" s="96"/>
      <c r="Y5" s="97">
        <f>BCC!Y5+Sheet1!Y5</f>
        <v>218101.62216703509</v>
      </c>
      <c r="Z5" s="219"/>
      <c r="AA5" s="285">
        <f>C5+E5+G5+I5+K5+M5+O5+Q5+S5+U5+W5+Y5</f>
        <v>2001823.393622038</v>
      </c>
      <c r="AB5" s="236"/>
      <c r="AC5" s="237">
        <f>AA5/12</f>
        <v>166818.61613516984</v>
      </c>
      <c r="AD5" s="236"/>
      <c r="AE5" s="170"/>
      <c r="AF5" s="238"/>
      <c r="AG5" s="238"/>
      <c r="AH5" s="237">
        <f>2265*365</f>
        <v>826725</v>
      </c>
      <c r="AI5" s="253"/>
      <c r="AJ5" s="295">
        <f t="shared" ref="AJ5:AJ68" si="0">SUM(AA5+AC5+AH5)</f>
        <v>2995367.0097572077</v>
      </c>
      <c r="AK5" s="53">
        <f t="shared" ref="AK5:AK68" si="1">AA5-AL5</f>
        <v>0</v>
      </c>
      <c r="AL5" s="53">
        <f>C5+E5+G5+I5+K5+M5+O5+Q5+S5+U5+W5+Y5</f>
        <v>2001823.393622038</v>
      </c>
      <c r="AM5" s="53">
        <f>G5*9.4+J5*9.4+K5*9.4+M5*9.4+O5*9.4+Q5*9.4+S5*9.4+U5*9.4+W5*9.4+Y5*9.4</f>
        <v>14696830.902229801</v>
      </c>
      <c r="AN5" s="53" t="e">
        <f>#REF!-AM5</f>
        <v>#REF!</v>
      </c>
      <c r="AO5" s="53"/>
    </row>
    <row r="6" spans="1:41">
      <c r="A6" s="1">
        <v>5005</v>
      </c>
      <c r="B6" s="15" t="s">
        <v>68</v>
      </c>
      <c r="C6" s="136">
        <f>BCC!C6+Sheet1!C6</f>
        <v>0</v>
      </c>
      <c r="D6" s="49"/>
      <c r="E6" s="136">
        <f>BCC!E6+Sheet1!E6</f>
        <v>0</v>
      </c>
      <c r="F6" s="49"/>
      <c r="G6" s="136">
        <f>BCC!G6+Sheet1!G6</f>
        <v>0</v>
      </c>
      <c r="H6" s="49"/>
      <c r="I6" s="136">
        <f>BCC!I6+Sheet1!I6</f>
        <v>0</v>
      </c>
      <c r="J6" s="49"/>
      <c r="K6" s="136">
        <f>BCC!K6+Sheet1!K6</f>
        <v>0</v>
      </c>
      <c r="L6" s="49"/>
      <c r="M6" s="136">
        <f>BCC!M6+Sheet1!M6</f>
        <v>0</v>
      </c>
      <c r="N6" s="49"/>
      <c r="O6" s="136">
        <f>BCC!O6+Sheet1!O6</f>
        <v>0</v>
      </c>
      <c r="P6" s="49"/>
      <c r="Q6" s="136">
        <f>BCC!Q6+Sheet1!Q6</f>
        <v>0</v>
      </c>
      <c r="R6" s="49"/>
      <c r="S6" s="136">
        <f>BCC!S6+Sheet1!S6</f>
        <v>0</v>
      </c>
      <c r="T6" s="49"/>
      <c r="U6" s="136">
        <f>BCC!U6+Sheet1!U6</f>
        <v>0</v>
      </c>
      <c r="V6" s="49"/>
      <c r="W6" s="136">
        <f>BCC!W6+Sheet1!W6</f>
        <v>0</v>
      </c>
      <c r="X6" s="49"/>
      <c r="Y6" s="136">
        <f>BCC!Y6+Sheet1!Y6</f>
        <v>0</v>
      </c>
      <c r="Z6" s="179"/>
      <c r="AA6" s="286">
        <f t="shared" ref="AA6:AA42" si="2">C6+E6+G6+I6+K6+M6+O6+Q6+S6+U6+W6+Y6</f>
        <v>0</v>
      </c>
      <c r="AB6" s="213"/>
      <c r="AC6" s="205">
        <f t="shared" ref="AC6:AC42" si="3">AA6/12</f>
        <v>0</v>
      </c>
      <c r="AD6" s="213"/>
      <c r="AE6" s="75"/>
      <c r="AF6" s="169"/>
      <c r="AG6" s="75"/>
      <c r="AH6" s="205">
        <v>0</v>
      </c>
      <c r="AI6" s="254">
        <f>AH6/AH$5</f>
        <v>0</v>
      </c>
      <c r="AJ6" s="293">
        <f t="shared" si="0"/>
        <v>0</v>
      </c>
      <c r="AK6" s="53">
        <f t="shared" si="1"/>
        <v>0</v>
      </c>
      <c r="AL6" s="53">
        <f t="shared" ref="AL6:AL69" si="4">C6+E6+G6+I6+K6+M6+O6+Q6+S6+U6+W6+Y6</f>
        <v>0</v>
      </c>
      <c r="AM6" s="53">
        <f>G6*9.4+I6*9.4+K6*9.4+M6*9.4+O6*9.4+Q6*9.4+S6*9.4+U6*9.4+W6*9.4+Y6*9.4</f>
        <v>0</v>
      </c>
      <c r="AN6" s="53" t="e">
        <f>#REF!-AM6</f>
        <v>#REF!</v>
      </c>
      <c r="AO6" s="53"/>
    </row>
    <row r="7" spans="1:41">
      <c r="A7" s="13">
        <v>5051</v>
      </c>
      <c r="B7" s="119" t="s">
        <v>106</v>
      </c>
      <c r="C7" s="137">
        <f>BCC!C7+Sheet1!C7</f>
        <v>0</v>
      </c>
      <c r="D7" s="49"/>
      <c r="E7" s="137">
        <f>BCC!E7+Sheet1!E7</f>
        <v>0</v>
      </c>
      <c r="F7" s="49"/>
      <c r="G7" s="137">
        <f>BCC!G7+Sheet1!G7</f>
        <v>0</v>
      </c>
      <c r="H7" s="49"/>
      <c r="I7" s="137">
        <f>BCC!I7+Sheet1!I7</f>
        <v>0</v>
      </c>
      <c r="J7" s="49"/>
      <c r="K7" s="137">
        <f>BCC!K7+Sheet1!K7</f>
        <v>0</v>
      </c>
      <c r="L7" s="49"/>
      <c r="M7" s="137">
        <f>BCC!M7+Sheet1!M7</f>
        <v>0</v>
      </c>
      <c r="N7" s="49"/>
      <c r="O7" s="137">
        <f>BCC!O7+Sheet1!O7</f>
        <v>0</v>
      </c>
      <c r="P7" s="49"/>
      <c r="Q7" s="137">
        <f>BCC!Q7+Sheet1!Q7</f>
        <v>0</v>
      </c>
      <c r="R7" s="49"/>
      <c r="S7" s="137">
        <f>BCC!S7+Sheet1!S7</f>
        <v>0</v>
      </c>
      <c r="T7" s="49"/>
      <c r="U7" s="137">
        <f>BCC!U7+Sheet1!U7</f>
        <v>0</v>
      </c>
      <c r="V7" s="49"/>
      <c r="W7" s="137">
        <f>BCC!W7+Sheet1!W7</f>
        <v>0</v>
      </c>
      <c r="X7" s="49"/>
      <c r="Y7" s="137">
        <f>BCC!Y7+Sheet1!Y7</f>
        <v>0</v>
      </c>
      <c r="Z7" s="179"/>
      <c r="AA7" s="286">
        <f t="shared" si="2"/>
        <v>0</v>
      </c>
      <c r="AB7" s="214"/>
      <c r="AC7" s="207">
        <f t="shared" si="3"/>
        <v>0</v>
      </c>
      <c r="AD7" s="214"/>
      <c r="AE7" s="75"/>
      <c r="AF7" s="169"/>
      <c r="AG7" s="75"/>
      <c r="AH7" s="207">
        <v>0</v>
      </c>
      <c r="AI7" s="255">
        <f t="shared" ref="AI7:AI11" si="5">AH7/AH$5</f>
        <v>0</v>
      </c>
      <c r="AJ7" s="293">
        <f t="shared" si="0"/>
        <v>0</v>
      </c>
      <c r="AK7" s="53">
        <f t="shared" si="1"/>
        <v>0</v>
      </c>
      <c r="AL7" s="53">
        <f t="shared" si="4"/>
        <v>0</v>
      </c>
      <c r="AM7" s="53">
        <f>G7*9.4+I7*9.4+K7*9.4+M7*9.4+O7*9.4+Q7*9.4+S7*9.4+U7*9.4+W7*9.4+Y7*9.4</f>
        <v>0</v>
      </c>
      <c r="AN7" s="53" t="e">
        <f>#REF!-AM7</f>
        <v>#REF!</v>
      </c>
      <c r="AO7" s="53"/>
    </row>
    <row r="8" spans="1:41">
      <c r="A8" s="1">
        <v>5052</v>
      </c>
      <c r="B8" s="1" t="s">
        <v>90</v>
      </c>
      <c r="C8" s="23">
        <f>BCC!C8+Sheet1!C8</f>
        <v>0</v>
      </c>
      <c r="D8" s="49"/>
      <c r="E8" s="23">
        <f>BCC!E8+Sheet1!E8</f>
        <v>0</v>
      </c>
      <c r="F8" s="49"/>
      <c r="G8" s="23">
        <f>BCC!G8+Sheet1!G8</f>
        <v>0</v>
      </c>
      <c r="H8" s="49"/>
      <c r="I8" s="23">
        <f>BCC!I8+Sheet1!I8</f>
        <v>0</v>
      </c>
      <c r="J8" s="49"/>
      <c r="K8" s="23">
        <f>BCC!K8+Sheet1!K8</f>
        <v>0</v>
      </c>
      <c r="L8" s="49"/>
      <c r="M8" s="23">
        <f>BCC!M8+Sheet1!M8</f>
        <v>0</v>
      </c>
      <c r="N8" s="49"/>
      <c r="O8" s="23">
        <f>BCC!O8+Sheet1!O8</f>
        <v>0</v>
      </c>
      <c r="P8" s="49"/>
      <c r="Q8" s="23">
        <f>BCC!Q8+Sheet1!Q8</f>
        <v>0</v>
      </c>
      <c r="R8" s="49"/>
      <c r="S8" s="23">
        <f>BCC!S8+Sheet1!S8</f>
        <v>0</v>
      </c>
      <c r="T8" s="49"/>
      <c r="U8" s="23">
        <f>BCC!U8+Sheet1!U8</f>
        <v>0</v>
      </c>
      <c r="V8" s="49"/>
      <c r="W8" s="23">
        <f>BCC!W8+Sheet1!W8</f>
        <v>0</v>
      </c>
      <c r="X8" s="49"/>
      <c r="Y8" s="23">
        <f>BCC!Y8+Sheet1!Y8</f>
        <v>0</v>
      </c>
      <c r="Z8" s="179"/>
      <c r="AA8" s="286">
        <f t="shared" si="2"/>
        <v>0</v>
      </c>
      <c r="AB8" s="214"/>
      <c r="AC8" s="215">
        <f t="shared" si="3"/>
        <v>0</v>
      </c>
      <c r="AD8" s="214"/>
      <c r="AE8" s="75"/>
      <c r="AF8" s="169"/>
      <c r="AG8" s="75"/>
      <c r="AH8" s="215">
        <v>0</v>
      </c>
      <c r="AI8" s="255">
        <f t="shared" si="5"/>
        <v>0</v>
      </c>
      <c r="AJ8" s="293">
        <f t="shared" si="0"/>
        <v>0</v>
      </c>
      <c r="AK8" s="53">
        <f t="shared" si="1"/>
        <v>0</v>
      </c>
      <c r="AL8" s="53">
        <f t="shared" si="4"/>
        <v>0</v>
      </c>
      <c r="AM8" s="53">
        <f>G8*9.4+I8*9.4+K8*9.4+M8*9.4+O8*9.4+Q8*9.4+S8*9.4+U8*9.4+W8*9.4+Y8*9.4</f>
        <v>0</v>
      </c>
      <c r="AN8" s="53" t="e">
        <f>#REF!-AM8</f>
        <v>#REF!</v>
      </c>
      <c r="AO8" s="53"/>
    </row>
    <row r="9" spans="1:41">
      <c r="A9" s="1">
        <v>5101</v>
      </c>
      <c r="B9" s="15" t="s">
        <v>47</v>
      </c>
      <c r="C9" s="136">
        <f>BCC!C9+Sheet1!C9</f>
        <v>30569.758479069038</v>
      </c>
      <c r="D9" s="49"/>
      <c r="E9" s="136">
        <f>BCC!E9+Sheet1!E9</f>
        <v>16172.655454413081</v>
      </c>
      <c r="F9" s="49"/>
      <c r="G9" s="136">
        <f>BCC!G9+Sheet1!G9</f>
        <v>45763.430408305539</v>
      </c>
      <c r="H9" s="49"/>
      <c r="I9" s="136">
        <f>BCC!I9+Sheet1!I9</f>
        <v>34835.212627254507</v>
      </c>
      <c r="J9" s="49"/>
      <c r="K9" s="136">
        <f>BCC!K9+Sheet1!K9</f>
        <v>21665.038436033901</v>
      </c>
      <c r="L9" s="49"/>
      <c r="M9" s="136">
        <f>BCC!M9+Sheet1!M9</f>
        <v>57827.24620245002</v>
      </c>
      <c r="N9" s="49"/>
      <c r="O9" s="136">
        <f>BCC!O9+Sheet1!O9</f>
        <v>27458.278482522433</v>
      </c>
      <c r="P9" s="49"/>
      <c r="Q9" s="136">
        <f>BCC!Q9+Sheet1!Q9</f>
        <v>32675.348987895744</v>
      </c>
      <c r="R9" s="49"/>
      <c r="S9" s="136">
        <f>BCC!S9+Sheet1!S9</f>
        <v>24329.56433866467</v>
      </c>
      <c r="T9" s="49"/>
      <c r="U9" s="136">
        <f>BCC!U9+Sheet1!U9</f>
        <v>27244.756641351516</v>
      </c>
      <c r="V9" s="49"/>
      <c r="W9" s="136">
        <f>BCC!W9+Sheet1!W9</f>
        <v>13859.973431562959</v>
      </c>
      <c r="X9" s="49"/>
      <c r="Y9" s="136">
        <f>BCC!Y9+Sheet1!Y9</f>
        <v>43620.324433407099</v>
      </c>
      <c r="Z9" s="179"/>
      <c r="AA9" s="286">
        <f t="shared" si="2"/>
        <v>376021.58792293048</v>
      </c>
      <c r="AB9" s="214"/>
      <c r="AC9" s="205">
        <f t="shared" si="3"/>
        <v>31335.132326910873</v>
      </c>
      <c r="AD9" s="214"/>
      <c r="AE9" s="75"/>
      <c r="AF9" s="169"/>
      <c r="AG9" s="75"/>
      <c r="AH9" s="205">
        <f>AH5*0.9%</f>
        <v>7440.5250000000005</v>
      </c>
      <c r="AI9" s="255">
        <f t="shared" si="5"/>
        <v>9.0000000000000011E-3</v>
      </c>
      <c r="AJ9" s="293">
        <f t="shared" si="0"/>
        <v>414797.24524984136</v>
      </c>
      <c r="AK9" s="53">
        <f t="shared" si="1"/>
        <v>0</v>
      </c>
      <c r="AL9" s="53">
        <f t="shared" si="4"/>
        <v>376021.58792293048</v>
      </c>
      <c r="AM9" s="53">
        <f>G9*9.4+I9*9.4+K9*9.4+M9*9.4+O9*9.4+Q9*9.4+S9*9.4+U9*9.4+W9*9.4+Y9*9.4</f>
        <v>3095224.2355008153</v>
      </c>
      <c r="AN9" s="53" t="e">
        <f>#REF!-AM9</f>
        <v>#REF!</v>
      </c>
      <c r="AO9" s="53"/>
    </row>
    <row r="10" spans="1:41">
      <c r="A10" s="1">
        <v>5102</v>
      </c>
      <c r="B10" s="1" t="s">
        <v>210</v>
      </c>
      <c r="C10" s="136">
        <f>BCC!C10+Sheet1!C10</f>
        <v>0</v>
      </c>
      <c r="D10" s="49"/>
      <c r="E10" s="136">
        <f>BCC!E10+Sheet1!E10</f>
        <v>0</v>
      </c>
      <c r="F10" s="49"/>
      <c r="G10" s="136">
        <f>BCC!G10+Sheet1!G10</f>
        <v>0</v>
      </c>
      <c r="H10" s="49"/>
      <c r="I10" s="136">
        <f>BCC!I10+Sheet1!I10</f>
        <v>0</v>
      </c>
      <c r="J10" s="49"/>
      <c r="K10" s="136">
        <f>BCC!K10+Sheet1!K10</f>
        <v>0</v>
      </c>
      <c r="L10" s="49"/>
      <c r="M10" s="136">
        <f>BCC!M10+Sheet1!M10</f>
        <v>0</v>
      </c>
      <c r="N10" s="49"/>
      <c r="O10" s="136">
        <f>BCC!O10+Sheet1!O10</f>
        <v>0</v>
      </c>
      <c r="P10" s="49"/>
      <c r="Q10" s="136">
        <f>BCC!Q10+Sheet1!Q10</f>
        <v>0</v>
      </c>
      <c r="R10" s="49"/>
      <c r="S10" s="136">
        <f>BCC!S10+Sheet1!S10</f>
        <v>0</v>
      </c>
      <c r="T10" s="49"/>
      <c r="U10" s="136">
        <f>BCC!U10+Sheet1!U10</f>
        <v>0</v>
      </c>
      <c r="V10" s="49"/>
      <c r="W10" s="136">
        <f>BCC!W10+Sheet1!W10</f>
        <v>0</v>
      </c>
      <c r="X10" s="49"/>
      <c r="Y10" s="136">
        <f>BCC!Y10+Sheet1!Y10</f>
        <v>0</v>
      </c>
      <c r="Z10" s="179"/>
      <c r="AA10" s="286">
        <f t="shared" si="2"/>
        <v>0</v>
      </c>
      <c r="AB10" s="214"/>
      <c r="AC10" s="215">
        <f t="shared" si="3"/>
        <v>0</v>
      </c>
      <c r="AD10" s="214"/>
      <c r="AE10" s="75"/>
      <c r="AF10" s="169"/>
      <c r="AG10" s="75"/>
      <c r="AH10" s="215">
        <f>AH5*1.7%</f>
        <v>14054.325000000001</v>
      </c>
      <c r="AI10" s="255">
        <f t="shared" si="5"/>
        <v>1.7000000000000001E-2</v>
      </c>
      <c r="AJ10" s="293">
        <f t="shared" si="0"/>
        <v>14054.325000000001</v>
      </c>
      <c r="AK10" s="53">
        <f t="shared" si="1"/>
        <v>0</v>
      </c>
      <c r="AL10" s="53">
        <f t="shared" si="4"/>
        <v>0</v>
      </c>
      <c r="AM10" s="53"/>
      <c r="AN10" s="53"/>
      <c r="AO10" s="53"/>
    </row>
    <row r="11" spans="1:41">
      <c r="A11" s="1">
        <v>5103</v>
      </c>
      <c r="B11" s="15" t="s">
        <v>64</v>
      </c>
      <c r="C11" s="136">
        <f>BCC!C11+Sheet1!C11</f>
        <v>0</v>
      </c>
      <c r="D11" s="49"/>
      <c r="E11" s="136">
        <f>BCC!E11+Sheet1!E11</f>
        <v>0</v>
      </c>
      <c r="F11" s="49"/>
      <c r="G11" s="136">
        <f>BCC!G11+Sheet1!G11</f>
        <v>0</v>
      </c>
      <c r="H11" s="49"/>
      <c r="I11" s="136">
        <f>BCC!I11+Sheet1!I11</f>
        <v>0</v>
      </c>
      <c r="J11" s="49"/>
      <c r="K11" s="136">
        <f>BCC!K11+Sheet1!K11</f>
        <v>0</v>
      </c>
      <c r="L11" s="49"/>
      <c r="M11" s="136">
        <f>BCC!M11+Sheet1!M11</f>
        <v>0</v>
      </c>
      <c r="N11" s="49"/>
      <c r="O11" s="136">
        <f>BCC!O11+Sheet1!O11</f>
        <v>0</v>
      </c>
      <c r="P11" s="49"/>
      <c r="Q11" s="136">
        <f>BCC!Q11+Sheet1!Q11</f>
        <v>0</v>
      </c>
      <c r="R11" s="49"/>
      <c r="S11" s="136">
        <f>BCC!S11+Sheet1!S11</f>
        <v>0</v>
      </c>
      <c r="T11" s="49"/>
      <c r="U11" s="136">
        <f>BCC!U11+Sheet1!U11</f>
        <v>0</v>
      </c>
      <c r="V11" s="49"/>
      <c r="W11" s="136">
        <f>BCC!W11+Sheet1!W11</f>
        <v>0</v>
      </c>
      <c r="X11" s="49"/>
      <c r="Y11" s="136">
        <f>BCC!Y11+Sheet1!Y11</f>
        <v>0</v>
      </c>
      <c r="Z11" s="179"/>
      <c r="AA11" s="286">
        <f t="shared" si="2"/>
        <v>0</v>
      </c>
      <c r="AB11" s="214"/>
      <c r="AC11" s="215">
        <f t="shared" si="3"/>
        <v>0</v>
      </c>
      <c r="AD11" s="214"/>
      <c r="AE11" s="75"/>
      <c r="AF11" s="169"/>
      <c r="AG11" s="75"/>
      <c r="AH11" s="215">
        <v>0</v>
      </c>
      <c r="AI11" s="255">
        <f t="shared" si="5"/>
        <v>0</v>
      </c>
      <c r="AJ11" s="293">
        <f t="shared" si="0"/>
        <v>0</v>
      </c>
      <c r="AK11" s="53">
        <f t="shared" si="1"/>
        <v>0</v>
      </c>
      <c r="AL11" s="53">
        <f t="shared" si="4"/>
        <v>0</v>
      </c>
      <c r="AM11" s="53">
        <f t="shared" ref="AM11:AM80" si="6">G11*9.4+I11*9.4+K11*9.4+M11*9.4+O11*9.4+Q11*9.4+S11*9.4+U11*9.4+W11*9.4+Y11*9.4</f>
        <v>0</v>
      </c>
      <c r="AN11" s="53" t="e">
        <f>#REF!-AM11</f>
        <v>#REF!</v>
      </c>
      <c r="AO11" s="53"/>
    </row>
    <row r="12" spans="1:41" ht="15.75" thickBot="1">
      <c r="A12" s="6">
        <v>5149</v>
      </c>
      <c r="B12" s="120" t="s">
        <v>67</v>
      </c>
      <c r="C12" s="55">
        <f>BCC!C12+Sheet1!C12</f>
        <v>122279</v>
      </c>
      <c r="D12" s="88"/>
      <c r="E12" s="55">
        <f>BCC!E12+Sheet1!E12</f>
        <v>95133.267378900506</v>
      </c>
      <c r="F12" s="88"/>
      <c r="G12" s="55">
        <f>BCC!G12+Sheet1!G12</f>
        <v>157804.932442433</v>
      </c>
      <c r="H12" s="88"/>
      <c r="I12" s="55">
        <f>BCC!I12+Sheet1!I12</f>
        <v>139340.850509018</v>
      </c>
      <c r="J12" s="88"/>
      <c r="K12" s="55">
        <f>BCC!K12+Sheet1!K12</f>
        <v>127441.402564905</v>
      </c>
      <c r="L12" s="88"/>
      <c r="M12" s="55">
        <f>BCC!M12+Sheet1!M12</f>
        <v>180710.144382656</v>
      </c>
      <c r="N12" s="88"/>
      <c r="O12" s="55">
        <f>BCC!O12+Sheet1!O12</f>
        <v>114409.493677177</v>
      </c>
      <c r="P12" s="88"/>
      <c r="Q12" s="55">
        <f>BCC!Q12+Sheet1!Q12</f>
        <v>142066.73472998099</v>
      </c>
      <c r="R12" s="88"/>
      <c r="S12" s="55">
        <f>BCC!S12+Sheet1!S12</f>
        <v>143115.08434508601</v>
      </c>
      <c r="T12" s="88"/>
      <c r="U12" s="55">
        <f>BCC!U12+Sheet1!U12</f>
        <v>113519.81933896498</v>
      </c>
      <c r="V12" s="88"/>
      <c r="W12" s="55">
        <f>BCC!W12+Sheet1!W12</f>
        <v>115499.778596358</v>
      </c>
      <c r="X12" s="88"/>
      <c r="Y12" s="55">
        <f>BCC!Y12+Sheet1!Y12</f>
        <v>174481.29773362799</v>
      </c>
      <c r="Z12" s="220"/>
      <c r="AA12" s="211">
        <f t="shared" si="2"/>
        <v>1625801.8056991072</v>
      </c>
      <c r="AB12" s="239"/>
      <c r="AC12" s="210">
        <f t="shared" si="3"/>
        <v>135483.48380825893</v>
      </c>
      <c r="AD12" s="239"/>
      <c r="AE12" s="169" t="s">
        <v>163</v>
      </c>
      <c r="AF12" s="169"/>
      <c r="AG12" s="75" t="s">
        <v>197</v>
      </c>
      <c r="AH12" s="210">
        <f>AH5+AH6-AH7-AH8-AH9-AH10+AH11</f>
        <v>805230.15</v>
      </c>
      <c r="AI12" s="256">
        <v>1</v>
      </c>
      <c r="AJ12" s="297">
        <f t="shared" si="0"/>
        <v>2566515.4395073662</v>
      </c>
      <c r="AK12" s="53">
        <f t="shared" si="1"/>
        <v>0</v>
      </c>
      <c r="AL12" s="53">
        <f t="shared" si="4"/>
        <v>1625801.8056991072</v>
      </c>
      <c r="AM12" s="53">
        <f t="shared" si="6"/>
        <v>13238861.660209944</v>
      </c>
      <c r="AN12" s="53" t="e">
        <f>#REF!-AM12</f>
        <v>#REF!</v>
      </c>
      <c r="AO12" s="53"/>
    </row>
    <row r="13" spans="1:41" ht="15.75" thickTop="1">
      <c r="A13" s="1">
        <v>5151</v>
      </c>
      <c r="B13" s="15" t="s">
        <v>48</v>
      </c>
      <c r="C13" s="136">
        <f>BCC!C13+Sheet1!C13</f>
        <v>0</v>
      </c>
      <c r="D13" s="70"/>
      <c r="E13" s="136">
        <f>BCC!E13+Sheet1!E13</f>
        <v>0</v>
      </c>
      <c r="F13" s="70"/>
      <c r="G13" s="136">
        <f>BCC!G13+Sheet1!G13</f>
        <v>0</v>
      </c>
      <c r="H13" s="70"/>
      <c r="I13" s="136">
        <f>BCC!I13+Sheet1!I13</f>
        <v>0</v>
      </c>
      <c r="J13" s="70"/>
      <c r="K13" s="136">
        <f>BCC!K13+Sheet1!K13</f>
        <v>0</v>
      </c>
      <c r="L13" s="70"/>
      <c r="M13" s="136">
        <f>BCC!M13+Sheet1!M13</f>
        <v>0</v>
      </c>
      <c r="N13" s="70"/>
      <c r="O13" s="136">
        <f>BCC!O13+Sheet1!O13</f>
        <v>0</v>
      </c>
      <c r="P13" s="70"/>
      <c r="Q13" s="136">
        <f>BCC!Q13+Sheet1!Q13</f>
        <v>0</v>
      </c>
      <c r="R13" s="70"/>
      <c r="S13" s="136">
        <f>BCC!S13+Sheet1!S13</f>
        <v>0</v>
      </c>
      <c r="T13" s="70"/>
      <c r="U13" s="136">
        <f>BCC!U13+Sheet1!U13</f>
        <v>0</v>
      </c>
      <c r="V13" s="70"/>
      <c r="W13" s="136">
        <f>BCC!W13+Sheet1!W13</f>
        <v>0</v>
      </c>
      <c r="X13" s="70"/>
      <c r="Y13" s="136">
        <f>BCC!Y13+Sheet1!Y13</f>
        <v>0</v>
      </c>
      <c r="AA13" s="286">
        <f t="shared" si="2"/>
        <v>0</v>
      </c>
      <c r="AB13" s="213"/>
      <c r="AC13" s="205">
        <f t="shared" si="3"/>
        <v>0</v>
      </c>
      <c r="AD13" s="213"/>
      <c r="AE13" s="75"/>
      <c r="AF13" s="169"/>
      <c r="AG13" s="75"/>
      <c r="AH13" s="205">
        <v>0</v>
      </c>
      <c r="AI13" s="254"/>
      <c r="AJ13" s="293">
        <f t="shared" si="0"/>
        <v>0</v>
      </c>
      <c r="AK13" s="53">
        <f t="shared" si="1"/>
        <v>0</v>
      </c>
      <c r="AL13" s="53">
        <f t="shared" si="4"/>
        <v>0</v>
      </c>
      <c r="AM13" s="53">
        <f t="shared" si="6"/>
        <v>0</v>
      </c>
      <c r="AN13" s="53" t="e">
        <f>#REF!-AM13</f>
        <v>#REF!</v>
      </c>
      <c r="AO13" s="53"/>
    </row>
    <row r="14" spans="1:41">
      <c r="A14" s="1">
        <v>5152</v>
      </c>
      <c r="B14" s="15" t="s">
        <v>49</v>
      </c>
      <c r="C14" s="136">
        <f>BCC!C14+Sheet1!C14</f>
        <v>0</v>
      </c>
      <c r="D14" s="70"/>
      <c r="E14" s="136">
        <f>BCC!E14+Sheet1!E14</f>
        <v>0</v>
      </c>
      <c r="F14" s="70"/>
      <c r="G14" s="136">
        <f>BCC!G14+Sheet1!G14</f>
        <v>0</v>
      </c>
      <c r="H14" s="70"/>
      <c r="I14" s="136">
        <f>BCC!I14+Sheet1!I14</f>
        <v>0</v>
      </c>
      <c r="J14" s="70"/>
      <c r="K14" s="136">
        <f>BCC!K14+Sheet1!K14</f>
        <v>0</v>
      </c>
      <c r="L14" s="70"/>
      <c r="M14" s="136">
        <f>BCC!M14+Sheet1!M14</f>
        <v>0</v>
      </c>
      <c r="N14" s="70"/>
      <c r="O14" s="136">
        <f>BCC!O14+Sheet1!O14</f>
        <v>0</v>
      </c>
      <c r="P14" s="70"/>
      <c r="Q14" s="136">
        <f>BCC!Q14+Sheet1!Q14</f>
        <v>0</v>
      </c>
      <c r="R14" s="70"/>
      <c r="S14" s="136">
        <f>BCC!S14+Sheet1!S14</f>
        <v>0</v>
      </c>
      <c r="T14" s="70"/>
      <c r="U14" s="136">
        <f>BCC!U14+Sheet1!U14</f>
        <v>0</v>
      </c>
      <c r="V14" s="70"/>
      <c r="W14" s="136">
        <f>BCC!W14+Sheet1!W14</f>
        <v>0</v>
      </c>
      <c r="X14" s="70"/>
      <c r="Y14" s="136">
        <f>BCC!Y14+Sheet1!Y14</f>
        <v>0</v>
      </c>
      <c r="AA14" s="286">
        <f t="shared" si="2"/>
        <v>0</v>
      </c>
      <c r="AB14" s="213"/>
      <c r="AC14" s="205">
        <f t="shared" si="3"/>
        <v>0</v>
      </c>
      <c r="AD14" s="213"/>
      <c r="AE14" s="75"/>
      <c r="AF14" s="169"/>
      <c r="AG14" s="75"/>
      <c r="AH14" s="205">
        <v>0</v>
      </c>
      <c r="AI14" s="254"/>
      <c r="AJ14" s="293">
        <f t="shared" si="0"/>
        <v>0</v>
      </c>
      <c r="AK14" s="53">
        <f t="shared" si="1"/>
        <v>0</v>
      </c>
      <c r="AL14" s="53">
        <f t="shared" si="4"/>
        <v>0</v>
      </c>
      <c r="AM14" s="53">
        <f t="shared" si="6"/>
        <v>0</v>
      </c>
      <c r="AN14" s="53" t="e">
        <f>#REF!-AM14</f>
        <v>#REF!</v>
      </c>
      <c r="AO14" s="53"/>
    </row>
    <row r="15" spans="1:41" ht="15.75" thickBot="1">
      <c r="A15" s="35">
        <v>5198</v>
      </c>
      <c r="B15" s="121" t="s">
        <v>93</v>
      </c>
      <c r="C15" s="138">
        <f>BCC!C15+Sheet1!C15</f>
        <v>0</v>
      </c>
      <c r="D15" s="71"/>
      <c r="E15" s="138">
        <f>BCC!E15+Sheet1!E15</f>
        <v>0</v>
      </c>
      <c r="F15" s="71"/>
      <c r="G15" s="138">
        <f>BCC!G15+Sheet1!G15</f>
        <v>0</v>
      </c>
      <c r="H15" s="71"/>
      <c r="I15" s="138">
        <f>BCC!I15+Sheet1!I15</f>
        <v>0</v>
      </c>
      <c r="J15" s="71"/>
      <c r="K15" s="138">
        <f>BCC!K15+Sheet1!K15</f>
        <v>0</v>
      </c>
      <c r="L15" s="71"/>
      <c r="M15" s="138">
        <f>BCC!M15+Sheet1!M15</f>
        <v>0</v>
      </c>
      <c r="N15" s="71"/>
      <c r="O15" s="138">
        <f>BCC!O15+Sheet1!O15</f>
        <v>0</v>
      </c>
      <c r="P15" s="71"/>
      <c r="Q15" s="138">
        <f>BCC!Q15+Sheet1!Q15</f>
        <v>0</v>
      </c>
      <c r="R15" s="71"/>
      <c r="S15" s="138">
        <f>BCC!S15+Sheet1!S15</f>
        <v>0</v>
      </c>
      <c r="T15" s="71"/>
      <c r="U15" s="138">
        <f>BCC!U15+Sheet1!U15</f>
        <v>0</v>
      </c>
      <c r="V15" s="71"/>
      <c r="W15" s="138">
        <f>BCC!W15+Sheet1!W15</f>
        <v>0</v>
      </c>
      <c r="X15" s="71"/>
      <c r="Y15" s="138">
        <f>BCC!Y15+Sheet1!Y15</f>
        <v>0</v>
      </c>
      <c r="Z15" s="221"/>
      <c r="AA15" s="287">
        <f t="shared" si="2"/>
        <v>0</v>
      </c>
      <c r="AB15" s="241"/>
      <c r="AC15" s="242">
        <f t="shared" si="3"/>
        <v>0</v>
      </c>
      <c r="AD15" s="241"/>
      <c r="AE15" s="75"/>
      <c r="AF15" s="169"/>
      <c r="AG15" s="75"/>
      <c r="AH15" s="242">
        <v>0</v>
      </c>
      <c r="AI15" s="257"/>
      <c r="AJ15" s="293">
        <f t="shared" si="0"/>
        <v>0</v>
      </c>
      <c r="AK15" s="53">
        <f t="shared" si="1"/>
        <v>0</v>
      </c>
      <c r="AL15" s="53">
        <f t="shared" si="4"/>
        <v>0</v>
      </c>
      <c r="AM15" s="53">
        <f t="shared" si="6"/>
        <v>0</v>
      </c>
      <c r="AN15" s="53" t="e">
        <f>#REF!-AM15</f>
        <v>#REF!</v>
      </c>
      <c r="AO15" s="53"/>
    </row>
    <row r="16" spans="1:41" ht="16.5" thickTop="1" thickBot="1">
      <c r="A16" s="37">
        <v>5199</v>
      </c>
      <c r="B16" s="122" t="s">
        <v>71</v>
      </c>
      <c r="C16" s="139">
        <f>BCC!C16+Sheet1!C16</f>
        <v>122279</v>
      </c>
      <c r="D16" s="39"/>
      <c r="E16" s="139">
        <f>BCC!E16+Sheet1!E16</f>
        <v>95133.267378900506</v>
      </c>
      <c r="F16" s="39"/>
      <c r="G16" s="139">
        <f>BCC!G16+Sheet1!G16</f>
        <v>157804.932442433</v>
      </c>
      <c r="H16" s="39"/>
      <c r="I16" s="139">
        <f>BCC!I16+Sheet1!I16</f>
        <v>139340.850509018</v>
      </c>
      <c r="J16" s="39"/>
      <c r="K16" s="139">
        <f>BCC!K16+Sheet1!K16</f>
        <v>127441.402564905</v>
      </c>
      <c r="L16" s="39"/>
      <c r="M16" s="139">
        <f>BCC!M16+Sheet1!M16</f>
        <v>180710.144382656</v>
      </c>
      <c r="N16" s="39"/>
      <c r="O16" s="139">
        <f>BCC!O16+Sheet1!O16</f>
        <v>114409.493677177</v>
      </c>
      <c r="P16" s="39"/>
      <c r="Q16" s="139">
        <f>BCC!Q16+Sheet1!Q16</f>
        <v>142066.73472998099</v>
      </c>
      <c r="R16" s="39"/>
      <c r="S16" s="139">
        <f>BCC!S16+Sheet1!S16</f>
        <v>143115.08434508601</v>
      </c>
      <c r="T16" s="39"/>
      <c r="U16" s="139">
        <f>BCC!U16+Sheet1!U16</f>
        <v>113519.81933896498</v>
      </c>
      <c r="V16" s="39"/>
      <c r="W16" s="139">
        <f>BCC!W16+Sheet1!W16</f>
        <v>115499.778596358</v>
      </c>
      <c r="X16" s="39"/>
      <c r="Y16" s="139">
        <f>BCC!Y16+Sheet1!Y16</f>
        <v>174481.29773362799</v>
      </c>
      <c r="Z16" s="222"/>
      <c r="AA16" s="288">
        <f t="shared" si="2"/>
        <v>1625801.8056991072</v>
      </c>
      <c r="AB16" s="244"/>
      <c r="AC16" s="243">
        <f t="shared" si="3"/>
        <v>135483.48380825893</v>
      </c>
      <c r="AD16" s="244"/>
      <c r="AE16" s="75"/>
      <c r="AF16" s="169"/>
      <c r="AG16" s="75"/>
      <c r="AH16" s="243">
        <f>AH12+AH15</f>
        <v>805230.15</v>
      </c>
      <c r="AI16" s="258">
        <f>AH16/AH12</f>
        <v>1</v>
      </c>
      <c r="AJ16" s="298">
        <f t="shared" si="0"/>
        <v>2566515.4395073662</v>
      </c>
      <c r="AK16" s="53">
        <f t="shared" si="1"/>
        <v>0</v>
      </c>
      <c r="AL16" s="53">
        <f t="shared" si="4"/>
        <v>1625801.8056991072</v>
      </c>
      <c r="AM16" s="53">
        <f t="shared" si="6"/>
        <v>13238861.660209944</v>
      </c>
      <c r="AN16" s="53" t="e">
        <f>#REF!-AM16</f>
        <v>#REF!</v>
      </c>
      <c r="AO16" s="53"/>
    </row>
    <row r="17" spans="1:41" ht="15.75" thickTop="1">
      <c r="A17" s="12">
        <v>5502</v>
      </c>
      <c r="B17" s="14" t="s">
        <v>50</v>
      </c>
      <c r="C17" s="61">
        <f>BCC!C17+Sheet1!C17</f>
        <v>64086.423900000002</v>
      </c>
      <c r="D17" s="49"/>
      <c r="E17" s="61">
        <f>BCC!E17+Sheet1!E17</f>
        <v>45197.815331715625</v>
      </c>
      <c r="F17" s="49"/>
      <c r="G17" s="61">
        <f>BCC!G17+Sheet1!G17</f>
        <v>82705.565093079131</v>
      </c>
      <c r="H17" s="49"/>
      <c r="I17" s="61">
        <f>BCC!I17+Sheet1!I17</f>
        <v>63595.164172315817</v>
      </c>
      <c r="J17" s="49"/>
      <c r="K17" s="61">
        <f>BCC!K17+Sheet1!K17</f>
        <v>51868.650843916337</v>
      </c>
      <c r="L17" s="49"/>
      <c r="M17" s="61">
        <f>BCC!M17+Sheet1!M17</f>
        <v>100384.48520456541</v>
      </c>
      <c r="N17" s="49"/>
      <c r="O17" s="61">
        <f>BCC!O17+Sheet1!O17</f>
        <v>56987.368800601871</v>
      </c>
      <c r="P17" s="49"/>
      <c r="Q17" s="61">
        <f>BCC!Q17+Sheet1!Q17</f>
        <v>66771.365323091057</v>
      </c>
      <c r="R17" s="49"/>
      <c r="S17" s="61">
        <f>BCC!S17+Sheet1!S17</f>
        <v>78713.29638979731</v>
      </c>
      <c r="T17" s="49"/>
      <c r="U17" s="61">
        <f>BCC!U17+Sheet1!U17</f>
        <v>59257.345694939722</v>
      </c>
      <c r="V17" s="49"/>
      <c r="W17" s="61">
        <f>BCC!W17+Sheet1!W17</f>
        <v>48001.707984646389</v>
      </c>
      <c r="X17" s="49"/>
      <c r="Y17" s="61">
        <f>BCC!Y17+Sheet1!Y17</f>
        <v>90974.54863831363</v>
      </c>
      <c r="Z17" s="179"/>
      <c r="AA17" s="286">
        <f t="shared" si="2"/>
        <v>808543.73737698235</v>
      </c>
      <c r="AB17" s="214"/>
      <c r="AC17" s="216">
        <f t="shared" si="3"/>
        <v>67378.644781415191</v>
      </c>
      <c r="AD17" s="214"/>
      <c r="AE17" s="75" t="s">
        <v>164</v>
      </c>
      <c r="AF17" s="171">
        <v>0.50339999999999996</v>
      </c>
      <c r="AG17" s="75" t="s">
        <v>197</v>
      </c>
      <c r="AH17" s="216">
        <f>AH12*50%</f>
        <v>402615.07500000001</v>
      </c>
      <c r="AI17" s="255">
        <f>AH17/AH12</f>
        <v>0.5</v>
      </c>
      <c r="AJ17" s="293">
        <f t="shared" si="0"/>
        <v>1278537.4571583977</v>
      </c>
      <c r="AK17" s="53">
        <f t="shared" si="1"/>
        <v>0</v>
      </c>
      <c r="AL17" s="53">
        <f t="shared" si="4"/>
        <v>808543.73737698235</v>
      </c>
      <c r="AM17" s="53">
        <f t="shared" si="6"/>
        <v>6573039.2825655071</v>
      </c>
      <c r="AN17" s="53" t="e">
        <f>#REF!-AM17</f>
        <v>#REF!</v>
      </c>
      <c r="AO17" s="53"/>
    </row>
    <row r="18" spans="1:41">
      <c r="A18" s="3">
        <v>5503</v>
      </c>
      <c r="B18" s="116" t="s">
        <v>51</v>
      </c>
      <c r="C18" s="136">
        <f>BCC!C18+Sheet1!C18</f>
        <v>0</v>
      </c>
      <c r="D18" s="70"/>
      <c r="E18" s="136">
        <f>BCC!E18+Sheet1!E18</f>
        <v>0</v>
      </c>
      <c r="F18" s="70"/>
      <c r="G18" s="136">
        <f>BCC!G18+Sheet1!G18</f>
        <v>0</v>
      </c>
      <c r="H18" s="70"/>
      <c r="I18" s="136">
        <f>BCC!I18+Sheet1!I18</f>
        <v>0</v>
      </c>
      <c r="J18" s="70"/>
      <c r="K18" s="136">
        <f>BCC!K18+Sheet1!K18</f>
        <v>0</v>
      </c>
      <c r="L18" s="70"/>
      <c r="M18" s="136">
        <f>BCC!M18+Sheet1!M18</f>
        <v>0</v>
      </c>
      <c r="N18" s="70"/>
      <c r="O18" s="136">
        <f>BCC!O18+Sheet1!O18</f>
        <v>0</v>
      </c>
      <c r="P18" s="70"/>
      <c r="Q18" s="136">
        <f>BCC!Q18+Sheet1!Q18</f>
        <v>0</v>
      </c>
      <c r="R18" s="70"/>
      <c r="S18" s="136">
        <f>BCC!S18+Sheet1!S18</f>
        <v>0</v>
      </c>
      <c r="T18" s="70"/>
      <c r="U18" s="136">
        <f>BCC!U18+Sheet1!U18</f>
        <v>0</v>
      </c>
      <c r="V18" s="70"/>
      <c r="W18" s="136">
        <f>BCC!W18+Sheet1!W18</f>
        <v>0</v>
      </c>
      <c r="X18" s="70"/>
      <c r="Y18" s="136">
        <f>BCC!Y18+Sheet1!Y18</f>
        <v>0</v>
      </c>
      <c r="AA18" s="286">
        <f t="shared" si="2"/>
        <v>0</v>
      </c>
      <c r="AB18" s="213"/>
      <c r="AC18" s="205">
        <f t="shared" si="3"/>
        <v>0</v>
      </c>
      <c r="AD18" s="213"/>
      <c r="AE18" s="75"/>
      <c r="AF18" s="169"/>
      <c r="AG18" s="75"/>
      <c r="AH18" s="205">
        <v>0</v>
      </c>
      <c r="AI18" s="254"/>
      <c r="AJ18" s="293">
        <f t="shared" si="0"/>
        <v>0</v>
      </c>
      <c r="AK18" s="53">
        <f t="shared" si="1"/>
        <v>0</v>
      </c>
      <c r="AL18" s="53">
        <f t="shared" si="4"/>
        <v>0</v>
      </c>
      <c r="AM18" s="53">
        <f t="shared" si="6"/>
        <v>0</v>
      </c>
      <c r="AN18" s="53" t="e">
        <f>#REF!-AM18</f>
        <v>#REF!</v>
      </c>
      <c r="AO18" s="53"/>
    </row>
    <row r="19" spans="1:41">
      <c r="A19" s="3">
        <v>5504</v>
      </c>
      <c r="B19" s="116" t="s">
        <v>52</v>
      </c>
      <c r="C19" s="136">
        <f>BCC!C19+Sheet1!C19</f>
        <v>0</v>
      </c>
      <c r="D19" s="49"/>
      <c r="E19" s="136">
        <f>BCC!E19+Sheet1!E19</f>
        <v>0</v>
      </c>
      <c r="F19" s="49"/>
      <c r="G19" s="136">
        <f>BCC!G19+Sheet1!G19</f>
        <v>0</v>
      </c>
      <c r="H19" s="49"/>
      <c r="I19" s="136">
        <f>BCC!I19+Sheet1!I19</f>
        <v>0</v>
      </c>
      <c r="J19" s="49"/>
      <c r="K19" s="136">
        <f>BCC!K19+Sheet1!K19</f>
        <v>0</v>
      </c>
      <c r="L19" s="49"/>
      <c r="M19" s="136">
        <f>BCC!M19+Sheet1!M19</f>
        <v>0</v>
      </c>
      <c r="N19" s="49"/>
      <c r="O19" s="136">
        <f>BCC!O19+Sheet1!O19</f>
        <v>0</v>
      </c>
      <c r="P19" s="49"/>
      <c r="Q19" s="136">
        <f>BCC!Q19+Sheet1!Q19</f>
        <v>0</v>
      </c>
      <c r="R19" s="49"/>
      <c r="S19" s="136">
        <f>BCC!S19+Sheet1!S19</f>
        <v>0</v>
      </c>
      <c r="T19" s="49"/>
      <c r="U19" s="136">
        <f>BCC!U19+Sheet1!U19</f>
        <v>0</v>
      </c>
      <c r="V19" s="49"/>
      <c r="W19" s="136">
        <f>BCC!W19+Sheet1!W19</f>
        <v>0</v>
      </c>
      <c r="X19" s="49"/>
      <c r="Y19" s="136">
        <f>BCC!Y19+Sheet1!Y19</f>
        <v>0</v>
      </c>
      <c r="Z19" s="179"/>
      <c r="AA19" s="286">
        <f t="shared" si="2"/>
        <v>0</v>
      </c>
      <c r="AB19" s="214"/>
      <c r="AC19" s="205">
        <f t="shared" si="3"/>
        <v>0</v>
      </c>
      <c r="AD19" s="214"/>
      <c r="AE19" s="75"/>
      <c r="AF19" s="169"/>
      <c r="AG19" s="75"/>
      <c r="AH19" s="205">
        <v>0</v>
      </c>
      <c r="AI19" s="255">
        <f>AH19/AH12</f>
        <v>0</v>
      </c>
      <c r="AJ19" s="293">
        <f t="shared" si="0"/>
        <v>0</v>
      </c>
      <c r="AK19" s="53">
        <f t="shared" si="1"/>
        <v>0</v>
      </c>
      <c r="AL19" s="53">
        <f t="shared" si="4"/>
        <v>0</v>
      </c>
      <c r="AM19" s="53">
        <f t="shared" si="6"/>
        <v>0</v>
      </c>
      <c r="AN19" s="53" t="e">
        <f>#REF!-AM19</f>
        <v>#REF!</v>
      </c>
      <c r="AO19" s="53"/>
    </row>
    <row r="20" spans="1:41">
      <c r="A20" s="3">
        <v>5505</v>
      </c>
      <c r="B20" s="116" t="s">
        <v>53</v>
      </c>
      <c r="C20" s="136">
        <f>BCC!C20+Sheet1!C20</f>
        <v>0</v>
      </c>
      <c r="D20" s="70"/>
      <c r="E20" s="136">
        <f>BCC!E20+Sheet1!E20</f>
        <v>0</v>
      </c>
      <c r="F20" s="70"/>
      <c r="G20" s="136">
        <f>BCC!G20+Sheet1!G20</f>
        <v>0</v>
      </c>
      <c r="H20" s="70"/>
      <c r="I20" s="136">
        <f>BCC!I20+Sheet1!I20</f>
        <v>0</v>
      </c>
      <c r="J20" s="70"/>
      <c r="K20" s="136">
        <f>BCC!K20+Sheet1!K20</f>
        <v>0</v>
      </c>
      <c r="L20" s="70"/>
      <c r="M20" s="136">
        <f>BCC!M20+Sheet1!M20</f>
        <v>0</v>
      </c>
      <c r="N20" s="70"/>
      <c r="O20" s="136">
        <f>BCC!O20+Sheet1!O20</f>
        <v>0</v>
      </c>
      <c r="P20" s="70"/>
      <c r="Q20" s="136">
        <f>BCC!Q20+Sheet1!Q20</f>
        <v>0</v>
      </c>
      <c r="R20" s="70"/>
      <c r="S20" s="136">
        <f>BCC!S20+Sheet1!S20</f>
        <v>0</v>
      </c>
      <c r="T20" s="70"/>
      <c r="U20" s="136">
        <f>BCC!U20+Sheet1!U20</f>
        <v>0</v>
      </c>
      <c r="V20" s="70"/>
      <c r="W20" s="136">
        <f>BCC!W20+Sheet1!W20</f>
        <v>0</v>
      </c>
      <c r="X20" s="70"/>
      <c r="Y20" s="136">
        <f>BCC!Y20+Sheet1!Y20</f>
        <v>0</v>
      </c>
      <c r="AA20" s="286">
        <f t="shared" si="2"/>
        <v>0</v>
      </c>
      <c r="AB20" s="213"/>
      <c r="AC20" s="205">
        <f t="shared" si="3"/>
        <v>0</v>
      </c>
      <c r="AD20" s="213"/>
      <c r="AE20" s="75"/>
      <c r="AF20" s="169"/>
      <c r="AG20" s="75"/>
      <c r="AH20" s="205">
        <v>0</v>
      </c>
      <c r="AI20" s="254"/>
      <c r="AJ20" s="293">
        <f t="shared" si="0"/>
        <v>0</v>
      </c>
      <c r="AK20" s="53">
        <f t="shared" si="1"/>
        <v>0</v>
      </c>
      <c r="AL20" s="53">
        <f t="shared" si="4"/>
        <v>0</v>
      </c>
      <c r="AM20" s="53">
        <f t="shared" si="6"/>
        <v>0</v>
      </c>
      <c r="AN20" s="53" t="e">
        <f>#REF!-AM20</f>
        <v>#REF!</v>
      </c>
      <c r="AO20" s="53"/>
    </row>
    <row r="21" spans="1:41" ht="15.75" thickBot="1">
      <c r="A21" s="7">
        <v>5599</v>
      </c>
      <c r="B21" s="123" t="s">
        <v>94</v>
      </c>
      <c r="C21" s="27">
        <f>BCC!C21+Sheet1!C21</f>
        <v>64086.423900000002</v>
      </c>
      <c r="D21" s="68"/>
      <c r="E21" s="27">
        <f>BCC!E21+Sheet1!E21</f>
        <v>45197.815331715625</v>
      </c>
      <c r="F21" s="68"/>
      <c r="G21" s="27">
        <f>BCC!G21+Sheet1!G21</f>
        <v>82705.565093079131</v>
      </c>
      <c r="H21" s="68"/>
      <c r="I21" s="27">
        <f>BCC!I21+Sheet1!I21</f>
        <v>63595.164172315817</v>
      </c>
      <c r="J21" s="68"/>
      <c r="K21" s="27">
        <f>BCC!K21+Sheet1!K21</f>
        <v>51868.650843916337</v>
      </c>
      <c r="L21" s="68"/>
      <c r="M21" s="27">
        <f>BCC!M21+Sheet1!M21</f>
        <v>100384.48520456541</v>
      </c>
      <c r="N21" s="68"/>
      <c r="O21" s="27">
        <f>BCC!O21+Sheet1!O21</f>
        <v>56987.368800601871</v>
      </c>
      <c r="P21" s="68"/>
      <c r="Q21" s="27">
        <f>BCC!Q21+Sheet1!Q21</f>
        <v>66771.365323091057</v>
      </c>
      <c r="R21" s="68"/>
      <c r="S21" s="27">
        <f>BCC!S21+Sheet1!S21</f>
        <v>78713.29638979731</v>
      </c>
      <c r="T21" s="68"/>
      <c r="U21" s="27">
        <f>BCC!U21+Sheet1!U21</f>
        <v>59257.345694939722</v>
      </c>
      <c r="V21" s="68"/>
      <c r="W21" s="27">
        <f>BCC!W21+Sheet1!W21</f>
        <v>48001.707984646389</v>
      </c>
      <c r="X21" s="68"/>
      <c r="Y21" s="27">
        <f>BCC!Y21+Sheet1!Y21</f>
        <v>90974.54863831363</v>
      </c>
      <c r="Z21" s="223"/>
      <c r="AA21" s="211">
        <f t="shared" si="2"/>
        <v>808543.73737698235</v>
      </c>
      <c r="AB21" s="245"/>
      <c r="AC21" s="210">
        <f t="shared" si="3"/>
        <v>67378.644781415191</v>
      </c>
      <c r="AD21" s="245"/>
      <c r="AE21" s="75"/>
      <c r="AF21" s="169"/>
      <c r="AG21" s="75"/>
      <c r="AH21" s="210">
        <f>SUM(AH17:AH20)</f>
        <v>402615.07500000001</v>
      </c>
      <c r="AI21" s="259">
        <f>AH21/AH12</f>
        <v>0.5</v>
      </c>
      <c r="AJ21" s="297">
        <f t="shared" si="0"/>
        <v>1278537.4571583977</v>
      </c>
      <c r="AK21" s="53">
        <f t="shared" si="1"/>
        <v>0</v>
      </c>
      <c r="AL21" s="53">
        <f t="shared" si="4"/>
        <v>808543.73737698235</v>
      </c>
      <c r="AM21" s="53">
        <f t="shared" si="6"/>
        <v>6573039.2825655071</v>
      </c>
      <c r="AN21" s="53" t="e">
        <f>#REF!-AM21</f>
        <v>#REF!</v>
      </c>
      <c r="AO21" s="53"/>
    </row>
    <row r="22" spans="1:41" ht="15.75" thickTop="1">
      <c r="A22" s="98">
        <v>5601</v>
      </c>
      <c r="B22" s="3" t="s">
        <v>54</v>
      </c>
      <c r="C22" s="18">
        <f>BCC!C22+Sheet1!C22</f>
        <v>0</v>
      </c>
      <c r="D22" s="49"/>
      <c r="E22" s="18">
        <f>BCC!E22+Sheet1!E22</f>
        <v>0</v>
      </c>
      <c r="F22" s="49"/>
      <c r="G22" s="18">
        <f>BCC!G22+Sheet1!G22</f>
        <v>0</v>
      </c>
      <c r="H22" s="49"/>
      <c r="I22" s="18">
        <f>BCC!I22+Sheet1!I22</f>
        <v>0</v>
      </c>
      <c r="J22" s="49"/>
      <c r="K22" s="18">
        <f>BCC!K22+Sheet1!K22</f>
        <v>0</v>
      </c>
      <c r="L22" s="49"/>
      <c r="M22" s="18">
        <f>BCC!M22+Sheet1!M22</f>
        <v>0</v>
      </c>
      <c r="N22" s="49"/>
      <c r="O22" s="18">
        <f>BCC!O22+Sheet1!O22</f>
        <v>0</v>
      </c>
      <c r="P22" s="49"/>
      <c r="Q22" s="18">
        <f>BCC!Q22+Sheet1!Q22</f>
        <v>0</v>
      </c>
      <c r="R22" s="49"/>
      <c r="S22" s="18">
        <f>BCC!S22+Sheet1!S22</f>
        <v>0</v>
      </c>
      <c r="T22" s="49"/>
      <c r="U22" s="18">
        <f>BCC!U22+Sheet1!U22</f>
        <v>0</v>
      </c>
      <c r="V22" s="49"/>
      <c r="W22" s="18">
        <f>BCC!W22+Sheet1!W22</f>
        <v>0</v>
      </c>
      <c r="X22" s="49"/>
      <c r="Y22" s="18">
        <f>BCC!Y22+Sheet1!Y22</f>
        <v>0</v>
      </c>
      <c r="Z22" s="179"/>
      <c r="AA22" s="286">
        <f t="shared" si="2"/>
        <v>0</v>
      </c>
      <c r="AB22" s="214"/>
      <c r="AC22" s="215">
        <f t="shared" si="3"/>
        <v>0</v>
      </c>
      <c r="AD22" s="214"/>
      <c r="AE22" s="75"/>
      <c r="AF22" s="169"/>
      <c r="AG22" s="75"/>
      <c r="AH22" s="215">
        <v>0</v>
      </c>
      <c r="AI22" s="255">
        <f>AH22/AH12</f>
        <v>0</v>
      </c>
      <c r="AJ22" s="293">
        <f t="shared" si="0"/>
        <v>0</v>
      </c>
      <c r="AK22" s="53">
        <f t="shared" si="1"/>
        <v>0</v>
      </c>
      <c r="AL22" s="53">
        <f t="shared" si="4"/>
        <v>0</v>
      </c>
      <c r="AM22" s="53">
        <f t="shared" si="6"/>
        <v>0</v>
      </c>
      <c r="AN22" s="53" t="e">
        <f>#REF!-AM22</f>
        <v>#REF!</v>
      </c>
      <c r="AO22" s="53"/>
    </row>
    <row r="23" spans="1:41">
      <c r="A23" s="3">
        <v>5602</v>
      </c>
      <c r="B23" s="3" t="s">
        <v>55</v>
      </c>
      <c r="C23" s="18">
        <f>BCC!C23+Sheet1!C23</f>
        <v>0</v>
      </c>
      <c r="D23" s="49"/>
      <c r="E23" s="18">
        <f>BCC!E23+Sheet1!E23</f>
        <v>0</v>
      </c>
      <c r="F23" s="49"/>
      <c r="G23" s="18">
        <f>BCC!G23+Sheet1!G23</f>
        <v>0</v>
      </c>
      <c r="H23" s="49"/>
      <c r="I23" s="18">
        <f>BCC!I23+Sheet1!I23</f>
        <v>0</v>
      </c>
      <c r="J23" s="49"/>
      <c r="K23" s="18">
        <f>BCC!K23+Sheet1!K23</f>
        <v>0</v>
      </c>
      <c r="L23" s="49"/>
      <c r="M23" s="18">
        <f>BCC!M23+Sheet1!M23</f>
        <v>0</v>
      </c>
      <c r="N23" s="49"/>
      <c r="O23" s="18">
        <f>BCC!O23+Sheet1!O23</f>
        <v>0</v>
      </c>
      <c r="P23" s="49"/>
      <c r="Q23" s="18">
        <f>BCC!Q23+Sheet1!Q23</f>
        <v>0</v>
      </c>
      <c r="R23" s="49"/>
      <c r="S23" s="18">
        <f>BCC!S23+Sheet1!S23</f>
        <v>0</v>
      </c>
      <c r="T23" s="49"/>
      <c r="U23" s="18">
        <f>BCC!U23+Sheet1!U23</f>
        <v>0</v>
      </c>
      <c r="V23" s="49"/>
      <c r="W23" s="18">
        <f>BCC!W23+Sheet1!W23</f>
        <v>0</v>
      </c>
      <c r="X23" s="49"/>
      <c r="Y23" s="18">
        <f>BCC!Y23+Sheet1!Y23</f>
        <v>0</v>
      </c>
      <c r="Z23" s="179"/>
      <c r="AA23" s="286">
        <f t="shared" si="2"/>
        <v>0</v>
      </c>
      <c r="AB23" s="214"/>
      <c r="AC23" s="215">
        <f t="shared" si="3"/>
        <v>0</v>
      </c>
      <c r="AD23" s="214"/>
      <c r="AE23" s="75"/>
      <c r="AF23" s="169"/>
      <c r="AG23" s="75"/>
      <c r="AH23" s="215">
        <v>0</v>
      </c>
      <c r="AI23" s="255">
        <f>AH23/AH12</f>
        <v>0</v>
      </c>
      <c r="AJ23" s="293">
        <f t="shared" si="0"/>
        <v>0</v>
      </c>
      <c r="AK23" s="53">
        <f t="shared" si="1"/>
        <v>0</v>
      </c>
      <c r="AL23" s="53">
        <f t="shared" si="4"/>
        <v>0</v>
      </c>
      <c r="AM23" s="53">
        <f t="shared" si="6"/>
        <v>0</v>
      </c>
      <c r="AN23" s="53" t="e">
        <f>#REF!-AM23</f>
        <v>#REF!</v>
      </c>
      <c r="AO23" s="53"/>
    </row>
    <row r="24" spans="1:41">
      <c r="A24" s="3">
        <v>5603</v>
      </c>
      <c r="B24" s="3" t="s">
        <v>56</v>
      </c>
      <c r="C24" s="18">
        <f>BCC!C24+Sheet1!C24</f>
        <v>0</v>
      </c>
      <c r="D24" s="49"/>
      <c r="E24" s="18">
        <f>BCC!E24+Sheet1!E24</f>
        <v>0</v>
      </c>
      <c r="F24" s="49"/>
      <c r="G24" s="18">
        <f>BCC!G24+Sheet1!G24</f>
        <v>0</v>
      </c>
      <c r="H24" s="49"/>
      <c r="I24" s="18">
        <f>BCC!I24+Sheet1!I24</f>
        <v>0</v>
      </c>
      <c r="J24" s="49"/>
      <c r="K24" s="18">
        <f>BCC!K24+Sheet1!K24</f>
        <v>0</v>
      </c>
      <c r="L24" s="49"/>
      <c r="M24" s="18">
        <f>BCC!M24+Sheet1!M24</f>
        <v>0</v>
      </c>
      <c r="N24" s="49"/>
      <c r="O24" s="18">
        <f>BCC!O24+Sheet1!O24</f>
        <v>0</v>
      </c>
      <c r="P24" s="49"/>
      <c r="Q24" s="18">
        <f>BCC!Q24+Sheet1!Q24</f>
        <v>0</v>
      </c>
      <c r="R24" s="49"/>
      <c r="S24" s="18">
        <f>BCC!S24+Sheet1!S24</f>
        <v>0</v>
      </c>
      <c r="T24" s="49"/>
      <c r="U24" s="18">
        <f>BCC!U24+Sheet1!U24</f>
        <v>0</v>
      </c>
      <c r="V24" s="49"/>
      <c r="W24" s="18">
        <f>BCC!W24+Sheet1!W24</f>
        <v>0</v>
      </c>
      <c r="X24" s="49"/>
      <c r="Y24" s="18">
        <f>BCC!Y24+Sheet1!Y24</f>
        <v>0</v>
      </c>
      <c r="Z24" s="179"/>
      <c r="AA24" s="286">
        <f t="shared" si="2"/>
        <v>0</v>
      </c>
      <c r="AB24" s="214"/>
      <c r="AC24" s="215">
        <f t="shared" si="3"/>
        <v>0</v>
      </c>
      <c r="AD24" s="214"/>
      <c r="AE24" s="75"/>
      <c r="AF24" s="169"/>
      <c r="AG24" s="75"/>
      <c r="AH24" s="215">
        <v>0</v>
      </c>
      <c r="AI24" s="255">
        <f>AH24/AH12</f>
        <v>0</v>
      </c>
      <c r="AJ24" s="293">
        <f t="shared" si="0"/>
        <v>0</v>
      </c>
      <c r="AK24" s="53">
        <f t="shared" si="1"/>
        <v>0</v>
      </c>
      <c r="AL24" s="53">
        <f t="shared" si="4"/>
        <v>0</v>
      </c>
      <c r="AM24" s="53">
        <f t="shared" si="6"/>
        <v>0</v>
      </c>
      <c r="AN24" s="53" t="e">
        <f>#REF!-AM24</f>
        <v>#REF!</v>
      </c>
      <c r="AO24" s="53"/>
    </row>
    <row r="25" spans="1:41">
      <c r="A25" s="3">
        <v>5604</v>
      </c>
      <c r="B25" s="3" t="s">
        <v>57</v>
      </c>
      <c r="C25" s="18">
        <f>BCC!C25+Sheet1!C25</f>
        <v>25</v>
      </c>
      <c r="D25" s="49"/>
      <c r="E25" s="18">
        <f>BCC!E25+Sheet1!E25</f>
        <v>25</v>
      </c>
      <c r="F25" s="49"/>
      <c r="G25" s="18">
        <f>BCC!G25+Sheet1!G25</f>
        <v>25</v>
      </c>
      <c r="H25" s="49"/>
      <c r="I25" s="18">
        <f>BCC!I25+Sheet1!I25</f>
        <v>25</v>
      </c>
      <c r="J25" s="49"/>
      <c r="K25" s="18">
        <f>BCC!K25+Sheet1!K25</f>
        <v>25</v>
      </c>
      <c r="L25" s="49"/>
      <c r="M25" s="18">
        <f>BCC!M25+Sheet1!M25</f>
        <v>25</v>
      </c>
      <c r="N25" s="49"/>
      <c r="O25" s="18">
        <f>BCC!O25+Sheet1!O25</f>
        <v>25</v>
      </c>
      <c r="P25" s="49"/>
      <c r="Q25" s="18">
        <f>BCC!Q25+Sheet1!Q25</f>
        <v>25</v>
      </c>
      <c r="R25" s="49"/>
      <c r="S25" s="18">
        <f>BCC!S25+Sheet1!S25</f>
        <v>25</v>
      </c>
      <c r="T25" s="49"/>
      <c r="U25" s="18">
        <f>BCC!U25+Sheet1!U25</f>
        <v>25</v>
      </c>
      <c r="V25" s="49"/>
      <c r="W25" s="18">
        <f>BCC!W25+Sheet1!W25</f>
        <v>25</v>
      </c>
      <c r="X25" s="49"/>
      <c r="Y25" s="18">
        <f>BCC!Y25+Sheet1!Y25</f>
        <v>25</v>
      </c>
      <c r="Z25" s="179"/>
      <c r="AA25" s="286">
        <f t="shared" si="2"/>
        <v>300</v>
      </c>
      <c r="AB25" s="214"/>
      <c r="AC25" s="215">
        <f t="shared" si="3"/>
        <v>25</v>
      </c>
      <c r="AD25" s="214"/>
      <c r="AE25" s="75"/>
      <c r="AF25" s="169"/>
      <c r="AG25" s="75"/>
      <c r="AH25" s="215">
        <v>600</v>
      </c>
      <c r="AI25" s="255">
        <f>AH25/AH12</f>
        <v>7.4512858218237356E-4</v>
      </c>
      <c r="AJ25" s="293">
        <f t="shared" si="0"/>
        <v>925</v>
      </c>
      <c r="AK25" s="53">
        <f t="shared" si="1"/>
        <v>0</v>
      </c>
      <c r="AL25" s="53">
        <f t="shared" si="4"/>
        <v>300</v>
      </c>
      <c r="AM25" s="53">
        <f t="shared" si="6"/>
        <v>2350</v>
      </c>
      <c r="AN25" s="53" t="e">
        <f>#REF!-AM25</f>
        <v>#REF!</v>
      </c>
      <c r="AO25" s="53" t="s">
        <v>228</v>
      </c>
    </row>
    <row r="26" spans="1:41">
      <c r="A26" s="3">
        <v>5605</v>
      </c>
      <c r="B26" s="3" t="s">
        <v>15</v>
      </c>
      <c r="C26" s="18">
        <f>BCC!C26+Sheet1!C26</f>
        <v>0</v>
      </c>
      <c r="D26" s="49"/>
      <c r="E26" s="18">
        <f>BCC!E26+Sheet1!E26</f>
        <v>0</v>
      </c>
      <c r="F26" s="49"/>
      <c r="G26" s="18">
        <f>BCC!G26+Sheet1!G26</f>
        <v>0</v>
      </c>
      <c r="H26" s="49"/>
      <c r="I26" s="18">
        <f>BCC!I26+Sheet1!I26</f>
        <v>0</v>
      </c>
      <c r="J26" s="49"/>
      <c r="K26" s="18">
        <f>BCC!K26+Sheet1!K26</f>
        <v>0</v>
      </c>
      <c r="L26" s="49"/>
      <c r="M26" s="18">
        <f>BCC!M26+Sheet1!M26</f>
        <v>0</v>
      </c>
      <c r="N26" s="49"/>
      <c r="O26" s="18">
        <f>BCC!O26+Sheet1!O26</f>
        <v>0</v>
      </c>
      <c r="P26" s="49"/>
      <c r="Q26" s="18">
        <f>BCC!Q26+Sheet1!Q26</f>
        <v>0</v>
      </c>
      <c r="R26" s="49"/>
      <c r="S26" s="18">
        <f>BCC!S26+Sheet1!S26</f>
        <v>0</v>
      </c>
      <c r="T26" s="49"/>
      <c r="U26" s="18">
        <f>BCC!U26+Sheet1!U26</f>
        <v>0</v>
      </c>
      <c r="V26" s="49"/>
      <c r="W26" s="18">
        <f>BCC!W26+Sheet1!W26</f>
        <v>0</v>
      </c>
      <c r="X26" s="49"/>
      <c r="Y26" s="18">
        <f>BCC!Y26+Sheet1!Y26</f>
        <v>0</v>
      </c>
      <c r="Z26" s="179"/>
      <c r="AA26" s="286">
        <f t="shared" si="2"/>
        <v>0</v>
      </c>
      <c r="AB26" s="214"/>
      <c r="AC26" s="215">
        <f t="shared" si="3"/>
        <v>0</v>
      </c>
      <c r="AD26" s="214"/>
      <c r="AE26" s="75"/>
      <c r="AF26" s="169"/>
      <c r="AG26" s="75"/>
      <c r="AH26" s="215">
        <v>0</v>
      </c>
      <c r="AI26" s="255">
        <f>AH26/AH12</f>
        <v>0</v>
      </c>
      <c r="AJ26" s="293">
        <f t="shared" si="0"/>
        <v>0</v>
      </c>
      <c r="AK26" s="53">
        <f t="shared" si="1"/>
        <v>0</v>
      </c>
      <c r="AL26" s="53">
        <f t="shared" si="4"/>
        <v>0</v>
      </c>
      <c r="AM26" s="53">
        <f t="shared" si="6"/>
        <v>0</v>
      </c>
      <c r="AN26" s="53" t="e">
        <f>#REF!-AM26</f>
        <v>#REF!</v>
      </c>
      <c r="AO26" s="53"/>
    </row>
    <row r="27" spans="1:41">
      <c r="A27" s="3">
        <v>5606</v>
      </c>
      <c r="B27" s="3" t="s">
        <v>77</v>
      </c>
      <c r="C27" s="18">
        <f>BCC!C27+Sheet1!C27</f>
        <v>440.20439999999996</v>
      </c>
      <c r="D27" s="49"/>
      <c r="E27" s="18">
        <f>BCC!E27+Sheet1!E27</f>
        <v>342.47976256404183</v>
      </c>
      <c r="F27" s="49"/>
      <c r="G27" s="18">
        <f>BCC!G27+Sheet1!G27</f>
        <v>568.09775679275879</v>
      </c>
      <c r="H27" s="49"/>
      <c r="I27" s="18">
        <f>BCC!I27+Sheet1!I27</f>
        <v>501.62706183246479</v>
      </c>
      <c r="J27" s="49"/>
      <c r="K27" s="18">
        <f>BCC!K27+Sheet1!K27</f>
        <v>458.78904923365798</v>
      </c>
      <c r="L27" s="49"/>
      <c r="M27" s="18">
        <f>BCC!M27+Sheet1!M27</f>
        <v>650.55651977756156</v>
      </c>
      <c r="N27" s="49"/>
      <c r="O27" s="18">
        <f>BCC!O27+Sheet1!O27</f>
        <v>411.87417723783722</v>
      </c>
      <c r="P27" s="49"/>
      <c r="Q27" s="18">
        <f>BCC!Q27+Sheet1!Q27</f>
        <v>511.44024502793155</v>
      </c>
      <c r="R27" s="49"/>
      <c r="S27" s="18">
        <f>BCC!S27+Sheet1!S27</f>
        <v>515.21430364230957</v>
      </c>
      <c r="T27" s="49"/>
      <c r="U27" s="18">
        <f>BCC!U27+Sheet1!U27</f>
        <v>408.67134962027393</v>
      </c>
      <c r="V27" s="49"/>
      <c r="W27" s="18">
        <f>BCC!W27+Sheet1!W27</f>
        <v>415.79920294688878</v>
      </c>
      <c r="X27" s="49"/>
      <c r="Y27" s="18">
        <f>BCC!Y27+Sheet1!Y27</f>
        <v>628.13267184106076</v>
      </c>
      <c r="Z27" s="179"/>
      <c r="AA27" s="286">
        <f t="shared" si="2"/>
        <v>5852.8865005167872</v>
      </c>
      <c r="AB27" s="214"/>
      <c r="AC27" s="215">
        <f t="shared" si="3"/>
        <v>487.74054170973227</v>
      </c>
      <c r="AD27" s="214"/>
      <c r="AE27" s="75" t="s">
        <v>161</v>
      </c>
      <c r="AF27" s="169">
        <v>-1689</v>
      </c>
      <c r="AG27" s="75" t="s">
        <v>162</v>
      </c>
      <c r="AH27" s="215">
        <f>AA27</f>
        <v>5852.8865005167872</v>
      </c>
      <c r="AI27" s="255">
        <f>AH27/AH12</f>
        <v>7.2685883663407124E-3</v>
      </c>
      <c r="AJ27" s="293">
        <f t="shared" si="0"/>
        <v>12193.513542743307</v>
      </c>
      <c r="AK27" s="53">
        <f t="shared" si="1"/>
        <v>0</v>
      </c>
      <c r="AL27" s="53">
        <f t="shared" si="4"/>
        <v>5852.8865005167872</v>
      </c>
      <c r="AM27" s="53">
        <f t="shared" si="6"/>
        <v>47659.901976755806</v>
      </c>
      <c r="AN27" s="53" t="e">
        <f>#REF!-AM27</f>
        <v>#REF!</v>
      </c>
      <c r="AO27" s="53" t="s">
        <v>229</v>
      </c>
    </row>
    <row r="28" spans="1:41">
      <c r="A28" s="3">
        <v>5607</v>
      </c>
      <c r="B28" s="116" t="s">
        <v>58</v>
      </c>
      <c r="C28" s="136">
        <f>BCC!C28+Sheet1!C28</f>
        <v>0</v>
      </c>
      <c r="D28" s="49"/>
      <c r="E28" s="136">
        <f>BCC!E28+Sheet1!E28</f>
        <v>0</v>
      </c>
      <c r="F28" s="49"/>
      <c r="G28" s="136">
        <f>BCC!G28+Sheet1!G28</f>
        <v>0</v>
      </c>
      <c r="H28" s="49"/>
      <c r="I28" s="136">
        <f>BCC!I28+Sheet1!I28</f>
        <v>0</v>
      </c>
      <c r="J28" s="49"/>
      <c r="K28" s="136">
        <f>BCC!K28+Sheet1!K28</f>
        <v>0</v>
      </c>
      <c r="L28" s="49"/>
      <c r="M28" s="136">
        <f>BCC!M28+Sheet1!M28</f>
        <v>0</v>
      </c>
      <c r="N28" s="49"/>
      <c r="O28" s="136">
        <f>BCC!O28+Sheet1!O28</f>
        <v>0</v>
      </c>
      <c r="P28" s="49"/>
      <c r="Q28" s="136">
        <f>BCC!Q28+Sheet1!Q28</f>
        <v>0</v>
      </c>
      <c r="R28" s="49"/>
      <c r="S28" s="136">
        <f>BCC!S28+Sheet1!S28</f>
        <v>0</v>
      </c>
      <c r="T28" s="49"/>
      <c r="U28" s="136">
        <f>BCC!U28+Sheet1!U28</f>
        <v>0</v>
      </c>
      <c r="V28" s="49"/>
      <c r="W28" s="136">
        <f>BCC!W28+Sheet1!W28</f>
        <v>0</v>
      </c>
      <c r="X28" s="49"/>
      <c r="Y28" s="136">
        <f>BCC!Y28+Sheet1!Y28</f>
        <v>0</v>
      </c>
      <c r="Z28" s="179"/>
      <c r="AA28" s="286">
        <f t="shared" si="2"/>
        <v>0</v>
      </c>
      <c r="AB28" s="214"/>
      <c r="AC28" s="205">
        <f t="shared" si="3"/>
        <v>0</v>
      </c>
      <c r="AD28" s="214"/>
      <c r="AE28" s="75"/>
      <c r="AF28" s="169"/>
      <c r="AG28" s="75"/>
      <c r="AH28" s="205">
        <v>0</v>
      </c>
      <c r="AI28" s="255">
        <f>AH28/AH12</f>
        <v>0</v>
      </c>
      <c r="AJ28" s="293">
        <f t="shared" si="0"/>
        <v>0</v>
      </c>
      <c r="AK28" s="53">
        <f t="shared" si="1"/>
        <v>0</v>
      </c>
      <c r="AL28" s="53">
        <f t="shared" si="4"/>
        <v>0</v>
      </c>
      <c r="AM28" s="53">
        <f t="shared" si="6"/>
        <v>0</v>
      </c>
      <c r="AN28" s="53" t="e">
        <f>#REF!-AM28</f>
        <v>#REF!</v>
      </c>
      <c r="AO28" s="53"/>
    </row>
    <row r="29" spans="1:41">
      <c r="A29" s="3">
        <v>5608</v>
      </c>
      <c r="B29" s="116" t="s">
        <v>59</v>
      </c>
      <c r="C29" s="136">
        <f>BCC!C29+Sheet1!C29</f>
        <v>0</v>
      </c>
      <c r="D29" s="49"/>
      <c r="E29" s="136">
        <f>BCC!E29+Sheet1!E29</f>
        <v>0</v>
      </c>
      <c r="F29" s="49"/>
      <c r="G29" s="136">
        <f>BCC!G29+Sheet1!G29</f>
        <v>0</v>
      </c>
      <c r="H29" s="49"/>
      <c r="I29" s="136">
        <f>BCC!I29+Sheet1!I29</f>
        <v>0</v>
      </c>
      <c r="J29" s="49"/>
      <c r="K29" s="136">
        <f>BCC!K29+Sheet1!K29</f>
        <v>0</v>
      </c>
      <c r="L29" s="49"/>
      <c r="M29" s="136">
        <f>BCC!M29+Sheet1!M29</f>
        <v>0</v>
      </c>
      <c r="N29" s="49"/>
      <c r="O29" s="136">
        <f>BCC!O29+Sheet1!O29</f>
        <v>0</v>
      </c>
      <c r="P29" s="49"/>
      <c r="Q29" s="136">
        <f>BCC!Q29+Sheet1!Q29</f>
        <v>0</v>
      </c>
      <c r="R29" s="49"/>
      <c r="S29" s="136">
        <f>BCC!S29+Sheet1!S29</f>
        <v>0</v>
      </c>
      <c r="T29" s="49"/>
      <c r="U29" s="136">
        <f>BCC!U29+Sheet1!U29</f>
        <v>0</v>
      </c>
      <c r="V29" s="49"/>
      <c r="W29" s="136">
        <f>BCC!W29+Sheet1!W29</f>
        <v>0</v>
      </c>
      <c r="X29" s="49"/>
      <c r="Y29" s="136">
        <f>BCC!Y29+Sheet1!Y29</f>
        <v>0</v>
      </c>
      <c r="Z29" s="179"/>
      <c r="AA29" s="286">
        <f t="shared" si="2"/>
        <v>0</v>
      </c>
      <c r="AB29" s="214"/>
      <c r="AC29" s="205">
        <f t="shared" si="3"/>
        <v>0</v>
      </c>
      <c r="AD29" s="214"/>
      <c r="AE29" s="75"/>
      <c r="AF29" s="169"/>
      <c r="AG29" s="75"/>
      <c r="AH29" s="205">
        <v>0</v>
      </c>
      <c r="AI29" s="255">
        <f>AH29/AH12</f>
        <v>0</v>
      </c>
      <c r="AJ29" s="293">
        <f t="shared" si="0"/>
        <v>0</v>
      </c>
      <c r="AK29" s="53">
        <f t="shared" si="1"/>
        <v>0</v>
      </c>
      <c r="AL29" s="53">
        <f t="shared" si="4"/>
        <v>0</v>
      </c>
      <c r="AM29" s="53">
        <f t="shared" si="6"/>
        <v>0</v>
      </c>
      <c r="AN29" s="53" t="e">
        <f>#REF!-AM29</f>
        <v>#REF!</v>
      </c>
      <c r="AO29" s="53"/>
    </row>
    <row r="30" spans="1:41">
      <c r="A30" s="3">
        <v>5609</v>
      </c>
      <c r="B30" s="116" t="s">
        <v>60</v>
      </c>
      <c r="C30" s="136">
        <f>BCC!C30+Sheet1!C30</f>
        <v>0</v>
      </c>
      <c r="D30" s="49"/>
      <c r="E30" s="136">
        <f>BCC!E30+Sheet1!E30</f>
        <v>0</v>
      </c>
      <c r="F30" s="49"/>
      <c r="G30" s="136">
        <f>BCC!G30+Sheet1!G30</f>
        <v>0</v>
      </c>
      <c r="H30" s="49"/>
      <c r="I30" s="136">
        <f>BCC!I30+Sheet1!I30</f>
        <v>0</v>
      </c>
      <c r="J30" s="49"/>
      <c r="K30" s="136">
        <f>BCC!K30+Sheet1!K30</f>
        <v>0</v>
      </c>
      <c r="L30" s="49"/>
      <c r="M30" s="136">
        <f>BCC!M30+Sheet1!M30</f>
        <v>0</v>
      </c>
      <c r="N30" s="49"/>
      <c r="O30" s="136">
        <f>BCC!O30+Sheet1!O30</f>
        <v>0</v>
      </c>
      <c r="P30" s="49"/>
      <c r="Q30" s="136">
        <f>BCC!Q30+Sheet1!Q30</f>
        <v>0</v>
      </c>
      <c r="R30" s="49"/>
      <c r="S30" s="136">
        <f>BCC!S30+Sheet1!S30</f>
        <v>0</v>
      </c>
      <c r="T30" s="49"/>
      <c r="U30" s="136">
        <f>BCC!U30+Sheet1!U30</f>
        <v>0</v>
      </c>
      <c r="V30" s="49"/>
      <c r="W30" s="136">
        <f>BCC!W30+Sheet1!W30</f>
        <v>0</v>
      </c>
      <c r="X30" s="49"/>
      <c r="Y30" s="136">
        <f>BCC!Y30+Sheet1!Y30</f>
        <v>0</v>
      </c>
      <c r="Z30" s="179"/>
      <c r="AA30" s="286">
        <f t="shared" si="2"/>
        <v>0</v>
      </c>
      <c r="AB30" s="214"/>
      <c r="AC30" s="205">
        <f t="shared" si="3"/>
        <v>0</v>
      </c>
      <c r="AD30" s="214"/>
      <c r="AE30" s="75"/>
      <c r="AF30" s="169"/>
      <c r="AG30" s="75"/>
      <c r="AH30" s="205">
        <v>0</v>
      </c>
      <c r="AI30" s="255">
        <f>AH30/AH12</f>
        <v>0</v>
      </c>
      <c r="AJ30" s="293">
        <f t="shared" si="0"/>
        <v>0</v>
      </c>
      <c r="AK30" s="53">
        <f t="shared" si="1"/>
        <v>0</v>
      </c>
      <c r="AL30" s="53">
        <f t="shared" si="4"/>
        <v>0</v>
      </c>
      <c r="AM30" s="53">
        <f t="shared" si="6"/>
        <v>0</v>
      </c>
      <c r="AN30" s="53" t="e">
        <f>#REF!-AM30</f>
        <v>#REF!</v>
      </c>
      <c r="AO30" s="53"/>
    </row>
    <row r="31" spans="1:41">
      <c r="A31" s="3">
        <v>5610</v>
      </c>
      <c r="B31" s="116" t="s">
        <v>61</v>
      </c>
      <c r="C31" s="136">
        <f>BCC!C31+Sheet1!C31</f>
        <v>0</v>
      </c>
      <c r="D31" s="49"/>
      <c r="E31" s="136">
        <f>BCC!E31+Sheet1!E31</f>
        <v>0</v>
      </c>
      <c r="F31" s="49"/>
      <c r="G31" s="136">
        <f>BCC!G31+Sheet1!G31</f>
        <v>0</v>
      </c>
      <c r="H31" s="49"/>
      <c r="I31" s="136">
        <f>BCC!I31+Sheet1!I31</f>
        <v>0</v>
      </c>
      <c r="J31" s="49"/>
      <c r="K31" s="136">
        <f>BCC!K31+Sheet1!K31</f>
        <v>0</v>
      </c>
      <c r="L31" s="49"/>
      <c r="M31" s="136">
        <f>BCC!M31+Sheet1!M31</f>
        <v>0</v>
      </c>
      <c r="N31" s="49"/>
      <c r="O31" s="136">
        <f>BCC!O31+Sheet1!O31</f>
        <v>0</v>
      </c>
      <c r="P31" s="49"/>
      <c r="Q31" s="136">
        <f>BCC!Q31+Sheet1!Q31</f>
        <v>0</v>
      </c>
      <c r="R31" s="49"/>
      <c r="S31" s="136">
        <f>BCC!S31+Sheet1!S31</f>
        <v>0</v>
      </c>
      <c r="T31" s="49"/>
      <c r="U31" s="136">
        <f>BCC!U31+Sheet1!U31</f>
        <v>0</v>
      </c>
      <c r="V31" s="49"/>
      <c r="W31" s="136">
        <f>BCC!W31+Sheet1!W31</f>
        <v>0</v>
      </c>
      <c r="X31" s="49"/>
      <c r="Y31" s="136">
        <f>BCC!Y31+Sheet1!Y31</f>
        <v>0</v>
      </c>
      <c r="Z31" s="179"/>
      <c r="AA31" s="286">
        <f t="shared" si="2"/>
        <v>0</v>
      </c>
      <c r="AB31" s="214"/>
      <c r="AC31" s="205">
        <f t="shared" si="3"/>
        <v>0</v>
      </c>
      <c r="AD31" s="214"/>
      <c r="AE31" s="75"/>
      <c r="AF31" s="169"/>
      <c r="AG31" s="75"/>
      <c r="AH31" s="205">
        <v>0</v>
      </c>
      <c r="AI31" s="255">
        <f>AH31/AH12</f>
        <v>0</v>
      </c>
      <c r="AJ31" s="293">
        <f t="shared" si="0"/>
        <v>0</v>
      </c>
      <c r="AK31" s="53">
        <f t="shared" si="1"/>
        <v>0</v>
      </c>
      <c r="AL31" s="53">
        <f t="shared" si="4"/>
        <v>0</v>
      </c>
      <c r="AM31" s="53">
        <f t="shared" si="6"/>
        <v>0</v>
      </c>
      <c r="AN31" s="53" t="e">
        <f>#REF!-AM31</f>
        <v>#REF!</v>
      </c>
      <c r="AO31" s="53"/>
    </row>
    <row r="32" spans="1:41">
      <c r="A32" s="3">
        <v>5611</v>
      </c>
      <c r="B32" s="116" t="s">
        <v>95</v>
      </c>
      <c r="C32" s="136">
        <f>BCC!C32+Sheet1!C32</f>
        <v>0</v>
      </c>
      <c r="D32" s="49"/>
      <c r="E32" s="136">
        <f>BCC!E32+Sheet1!E32</f>
        <v>0</v>
      </c>
      <c r="F32" s="49"/>
      <c r="G32" s="136">
        <f>BCC!G32+Sheet1!G32</f>
        <v>0</v>
      </c>
      <c r="H32" s="49"/>
      <c r="I32" s="136">
        <f>BCC!I32+Sheet1!I32</f>
        <v>0</v>
      </c>
      <c r="J32" s="49"/>
      <c r="K32" s="136">
        <f>BCC!K32+Sheet1!K32</f>
        <v>0</v>
      </c>
      <c r="L32" s="49"/>
      <c r="M32" s="136">
        <f>BCC!M32+Sheet1!M32</f>
        <v>0</v>
      </c>
      <c r="N32" s="49"/>
      <c r="O32" s="136">
        <f>BCC!O32+Sheet1!O32</f>
        <v>0</v>
      </c>
      <c r="P32" s="49"/>
      <c r="Q32" s="136">
        <f>BCC!Q32+Sheet1!Q32</f>
        <v>0</v>
      </c>
      <c r="R32" s="49"/>
      <c r="S32" s="136">
        <f>BCC!S32+Sheet1!S32</f>
        <v>0</v>
      </c>
      <c r="T32" s="49"/>
      <c r="U32" s="136">
        <f>BCC!U32+Sheet1!U32</f>
        <v>0</v>
      </c>
      <c r="V32" s="49"/>
      <c r="W32" s="136">
        <f>BCC!W32+Sheet1!W32</f>
        <v>0</v>
      </c>
      <c r="X32" s="49"/>
      <c r="Y32" s="136">
        <f>BCC!Y32+Sheet1!Y32</f>
        <v>0</v>
      </c>
      <c r="Z32" s="179"/>
      <c r="AA32" s="286">
        <f t="shared" si="2"/>
        <v>0</v>
      </c>
      <c r="AB32" s="214"/>
      <c r="AC32" s="205">
        <f t="shared" si="3"/>
        <v>0</v>
      </c>
      <c r="AD32" s="214"/>
      <c r="AE32" s="75"/>
      <c r="AF32" s="169"/>
      <c r="AG32" s="75"/>
      <c r="AH32" s="205">
        <v>0</v>
      </c>
      <c r="AI32" s="255">
        <f>AH32/AH12</f>
        <v>0</v>
      </c>
      <c r="AJ32" s="293">
        <f t="shared" si="0"/>
        <v>0</v>
      </c>
      <c r="AK32" s="53">
        <f t="shared" si="1"/>
        <v>0</v>
      </c>
      <c r="AL32" s="53">
        <f t="shared" si="4"/>
        <v>0</v>
      </c>
      <c r="AM32" s="53">
        <f t="shared" si="6"/>
        <v>0</v>
      </c>
      <c r="AN32" s="53" t="e">
        <f>#REF!-AM32</f>
        <v>#REF!</v>
      </c>
      <c r="AO32" s="53"/>
    </row>
    <row r="33" spans="1:41">
      <c r="A33" s="3">
        <v>5612</v>
      </c>
      <c r="B33" s="116" t="s">
        <v>62</v>
      </c>
      <c r="C33" s="136">
        <f>BCC!C33+Sheet1!C33</f>
        <v>0</v>
      </c>
      <c r="D33" s="49"/>
      <c r="E33" s="136">
        <f>BCC!E33+Sheet1!E33</f>
        <v>0</v>
      </c>
      <c r="F33" s="49"/>
      <c r="G33" s="136">
        <f>BCC!G33+Sheet1!G33</f>
        <v>0</v>
      </c>
      <c r="H33" s="49"/>
      <c r="I33" s="136">
        <f>BCC!I33+Sheet1!I33</f>
        <v>0</v>
      </c>
      <c r="J33" s="49"/>
      <c r="K33" s="136">
        <f>BCC!K33+Sheet1!K33</f>
        <v>0</v>
      </c>
      <c r="L33" s="49"/>
      <c r="M33" s="136">
        <f>BCC!M33+Sheet1!M33</f>
        <v>0</v>
      </c>
      <c r="N33" s="49"/>
      <c r="O33" s="136">
        <f>BCC!O33+Sheet1!O33</f>
        <v>0</v>
      </c>
      <c r="P33" s="49"/>
      <c r="Q33" s="136">
        <f>BCC!Q33+Sheet1!Q33</f>
        <v>0</v>
      </c>
      <c r="R33" s="49"/>
      <c r="S33" s="136">
        <f>BCC!S33+Sheet1!S33</f>
        <v>0</v>
      </c>
      <c r="T33" s="49"/>
      <c r="U33" s="136">
        <f>BCC!U33+Sheet1!U33</f>
        <v>0</v>
      </c>
      <c r="V33" s="49"/>
      <c r="W33" s="136">
        <f>BCC!W33+Sheet1!W33</f>
        <v>0</v>
      </c>
      <c r="X33" s="49"/>
      <c r="Y33" s="136">
        <f>BCC!Y33+Sheet1!Y33</f>
        <v>0</v>
      </c>
      <c r="Z33" s="179"/>
      <c r="AA33" s="286">
        <f t="shared" si="2"/>
        <v>0</v>
      </c>
      <c r="AB33" s="214"/>
      <c r="AC33" s="205">
        <f t="shared" si="3"/>
        <v>0</v>
      </c>
      <c r="AD33" s="214"/>
      <c r="AE33" s="75"/>
      <c r="AF33" s="169"/>
      <c r="AG33" s="75"/>
      <c r="AH33" s="205">
        <v>0</v>
      </c>
      <c r="AI33" s="255">
        <f>AH33/AH12</f>
        <v>0</v>
      </c>
      <c r="AJ33" s="293">
        <f t="shared" si="0"/>
        <v>0</v>
      </c>
      <c r="AK33" s="53">
        <f t="shared" si="1"/>
        <v>0</v>
      </c>
      <c r="AL33" s="53">
        <f t="shared" si="4"/>
        <v>0</v>
      </c>
      <c r="AM33" s="53">
        <f t="shared" si="6"/>
        <v>0</v>
      </c>
      <c r="AN33" s="53" t="e">
        <f>#REF!-AM33</f>
        <v>#REF!</v>
      </c>
      <c r="AO33" s="53"/>
    </row>
    <row r="34" spans="1:41">
      <c r="A34" s="3">
        <v>5613</v>
      </c>
      <c r="B34" s="116" t="s">
        <v>63</v>
      </c>
      <c r="C34" s="136">
        <f>BCC!C34+Sheet1!C34</f>
        <v>0</v>
      </c>
      <c r="D34" s="49"/>
      <c r="E34" s="136">
        <f>BCC!E34+Sheet1!E34</f>
        <v>0</v>
      </c>
      <c r="F34" s="49"/>
      <c r="G34" s="136">
        <f>BCC!G34+Sheet1!G34</f>
        <v>0</v>
      </c>
      <c r="H34" s="49"/>
      <c r="I34" s="136">
        <f>BCC!I34+Sheet1!I34</f>
        <v>0</v>
      </c>
      <c r="J34" s="49"/>
      <c r="K34" s="136">
        <f>BCC!K34+Sheet1!K34</f>
        <v>0</v>
      </c>
      <c r="L34" s="49"/>
      <c r="M34" s="136">
        <f>BCC!M34+Sheet1!M34</f>
        <v>0</v>
      </c>
      <c r="N34" s="49"/>
      <c r="O34" s="136">
        <f>BCC!O34+Sheet1!O34</f>
        <v>0</v>
      </c>
      <c r="P34" s="49"/>
      <c r="Q34" s="136">
        <f>BCC!Q34+Sheet1!Q34</f>
        <v>0</v>
      </c>
      <c r="R34" s="49"/>
      <c r="S34" s="136">
        <f>BCC!S34+Sheet1!S34</f>
        <v>0</v>
      </c>
      <c r="T34" s="49"/>
      <c r="U34" s="136">
        <f>BCC!U34+Sheet1!U34</f>
        <v>0</v>
      </c>
      <c r="V34" s="49"/>
      <c r="W34" s="136">
        <f>BCC!W34+Sheet1!W34</f>
        <v>0</v>
      </c>
      <c r="X34" s="49"/>
      <c r="Y34" s="136">
        <f>BCC!Y34+Sheet1!Y34</f>
        <v>0</v>
      </c>
      <c r="Z34" s="179"/>
      <c r="AA34" s="286">
        <f t="shared" si="2"/>
        <v>0</v>
      </c>
      <c r="AB34" s="214"/>
      <c r="AC34" s="205">
        <f t="shared" si="3"/>
        <v>0</v>
      </c>
      <c r="AD34" s="214"/>
      <c r="AE34" s="75"/>
      <c r="AF34" s="169"/>
      <c r="AG34" s="75"/>
      <c r="AH34" s="205">
        <v>0</v>
      </c>
      <c r="AI34" s="255">
        <f>AH34/AH12</f>
        <v>0</v>
      </c>
      <c r="AJ34" s="293">
        <f t="shared" si="0"/>
        <v>0</v>
      </c>
      <c r="AK34" s="53">
        <f t="shared" si="1"/>
        <v>0</v>
      </c>
      <c r="AL34" s="53">
        <f t="shared" si="4"/>
        <v>0</v>
      </c>
      <c r="AM34" s="53">
        <f t="shared" si="6"/>
        <v>0</v>
      </c>
      <c r="AN34" s="53" t="e">
        <f>#REF!-AM34</f>
        <v>#REF!</v>
      </c>
      <c r="AO34" s="53"/>
    </row>
    <row r="35" spans="1:41">
      <c r="A35" s="8">
        <v>5699</v>
      </c>
      <c r="B35" s="117" t="s">
        <v>96</v>
      </c>
      <c r="C35" s="29">
        <f>BCC!C35+Sheet1!C35</f>
        <v>465.20439999999996</v>
      </c>
      <c r="D35" s="66"/>
      <c r="E35" s="29">
        <f>BCC!E35+Sheet1!E35</f>
        <v>367.47976256404183</v>
      </c>
      <c r="F35" s="66"/>
      <c r="G35" s="29">
        <f>BCC!G35+Sheet1!G35</f>
        <v>593.09775679275879</v>
      </c>
      <c r="H35" s="66"/>
      <c r="I35" s="29">
        <f>BCC!I35+Sheet1!I35</f>
        <v>526.62706183246473</v>
      </c>
      <c r="J35" s="66"/>
      <c r="K35" s="29">
        <f>BCC!K35+Sheet1!K35</f>
        <v>483.78904923365798</v>
      </c>
      <c r="L35" s="66"/>
      <c r="M35" s="29">
        <f>BCC!M35+Sheet1!M35</f>
        <v>675.55651977756156</v>
      </c>
      <c r="N35" s="66"/>
      <c r="O35" s="29">
        <f>BCC!O35+Sheet1!O35</f>
        <v>436.87417723783722</v>
      </c>
      <c r="P35" s="66"/>
      <c r="Q35" s="29">
        <f>BCC!Q35+Sheet1!Q35</f>
        <v>536.4402450279315</v>
      </c>
      <c r="R35" s="66"/>
      <c r="S35" s="29">
        <f>BCC!S35+Sheet1!S35</f>
        <v>540.21430364230957</v>
      </c>
      <c r="T35" s="66"/>
      <c r="U35" s="29">
        <f>BCC!U35+Sheet1!U35</f>
        <v>433.67134962027393</v>
      </c>
      <c r="V35" s="66"/>
      <c r="W35" s="29">
        <f>BCC!W35+Sheet1!W35</f>
        <v>440.79920294688878</v>
      </c>
      <c r="X35" s="66"/>
      <c r="Y35" s="29">
        <f>BCC!Y35+Sheet1!Y35</f>
        <v>653.13267184106076</v>
      </c>
      <c r="Z35" s="224"/>
      <c r="AA35" s="211">
        <f t="shared" si="2"/>
        <v>6152.8865005167863</v>
      </c>
      <c r="AB35" s="245"/>
      <c r="AC35" s="246">
        <f t="shared" si="3"/>
        <v>512.74054170973216</v>
      </c>
      <c r="AD35" s="245"/>
      <c r="AE35" s="75"/>
      <c r="AF35" s="169"/>
      <c r="AG35" s="75"/>
      <c r="AH35" s="246">
        <f>SUM(AH22:AH34)</f>
        <v>6452.8865005167872</v>
      </c>
      <c r="AI35" s="259">
        <f>AH35/AH12</f>
        <v>8.0137169485230871E-3</v>
      </c>
      <c r="AJ35" s="297">
        <f t="shared" si="0"/>
        <v>13118.513542743305</v>
      </c>
      <c r="AK35" s="53">
        <f t="shared" si="1"/>
        <v>0</v>
      </c>
      <c r="AL35" s="53">
        <f t="shared" si="4"/>
        <v>6152.8865005167863</v>
      </c>
      <c r="AM35" s="53">
        <f t="shared" si="6"/>
        <v>50009.901976755798</v>
      </c>
      <c r="AN35" s="53" t="e">
        <f>#REF!-AM35</f>
        <v>#REF!</v>
      </c>
      <c r="AO35" s="53"/>
    </row>
    <row r="36" spans="1:41">
      <c r="A36" s="8">
        <v>5999</v>
      </c>
      <c r="B36" s="117" t="s">
        <v>97</v>
      </c>
      <c r="C36" s="29">
        <f>BCC!C36+Sheet1!C36</f>
        <v>64551.628300000004</v>
      </c>
      <c r="D36" s="66"/>
      <c r="E36" s="29">
        <f>BCC!E36+Sheet1!E36</f>
        <v>45565.295094279667</v>
      </c>
      <c r="F36" s="66"/>
      <c r="G36" s="29">
        <f>BCC!G36+Sheet1!G36</f>
        <v>83298.662849871893</v>
      </c>
      <c r="H36" s="66"/>
      <c r="I36" s="29">
        <f>BCC!I36+Sheet1!I36</f>
        <v>64121.791234148281</v>
      </c>
      <c r="J36" s="66"/>
      <c r="K36" s="29">
        <f>BCC!K36+Sheet1!K36</f>
        <v>52352.439893149996</v>
      </c>
      <c r="L36" s="66"/>
      <c r="M36" s="29">
        <f>BCC!M36+Sheet1!M36</f>
        <v>101060.04172434297</v>
      </c>
      <c r="N36" s="66"/>
      <c r="O36" s="29">
        <f>BCC!O36+Sheet1!O36</f>
        <v>57424.242977839705</v>
      </c>
      <c r="P36" s="66"/>
      <c r="Q36" s="29">
        <f>BCC!Q36+Sheet1!Q36</f>
        <v>67307.805568118987</v>
      </c>
      <c r="R36" s="66"/>
      <c r="S36" s="29">
        <f>BCC!S36+Sheet1!S36</f>
        <v>79253.510693439617</v>
      </c>
      <c r="T36" s="66"/>
      <c r="U36" s="29">
        <f>BCC!U36+Sheet1!U36</f>
        <v>59691.017044559994</v>
      </c>
      <c r="V36" s="66"/>
      <c r="W36" s="29">
        <f>BCC!W36+Sheet1!W36</f>
        <v>48442.507187593277</v>
      </c>
      <c r="X36" s="66"/>
      <c r="Y36" s="29">
        <f>BCC!Y36+Sheet1!Y36</f>
        <v>91627.681310154687</v>
      </c>
      <c r="Z36" s="224"/>
      <c r="AA36" s="211">
        <f t="shared" si="2"/>
        <v>814696.62387749902</v>
      </c>
      <c r="AB36" s="245"/>
      <c r="AC36" s="246">
        <f t="shared" si="3"/>
        <v>67891.385323124923</v>
      </c>
      <c r="AD36" s="245"/>
      <c r="AE36" s="75"/>
      <c r="AF36" s="169"/>
      <c r="AG36" s="75"/>
      <c r="AH36" s="246">
        <f>AH35+AH21</f>
        <v>409067.9615005168</v>
      </c>
      <c r="AI36" s="259">
        <f>AH36/AH12</f>
        <v>0.50801371694852304</v>
      </c>
      <c r="AJ36" s="297">
        <f t="shared" si="0"/>
        <v>1291655.9707011408</v>
      </c>
      <c r="AK36" s="53">
        <f t="shared" si="1"/>
        <v>0</v>
      </c>
      <c r="AL36" s="53">
        <f t="shared" si="4"/>
        <v>814696.62387749902</v>
      </c>
      <c r="AM36" s="53">
        <f t="shared" si="6"/>
        <v>6623049.184542262</v>
      </c>
      <c r="AN36" s="53" t="e">
        <f>#REF!-AM36</f>
        <v>#REF!</v>
      </c>
      <c r="AO36" s="53"/>
    </row>
    <row r="37" spans="1:41" ht="15.75" thickBot="1">
      <c r="A37" s="9"/>
      <c r="B37" s="118" t="s">
        <v>69</v>
      </c>
      <c r="C37" s="28">
        <f>BCC!C37+Sheet1!C37</f>
        <v>57727.371699999996</v>
      </c>
      <c r="D37" s="67"/>
      <c r="E37" s="28">
        <f>BCC!E37+Sheet1!E37</f>
        <v>49567.972284620839</v>
      </c>
      <c r="F37" s="67"/>
      <c r="G37" s="28">
        <f>BCC!G37+Sheet1!G37</f>
        <v>74506.269592561104</v>
      </c>
      <c r="H37" s="67"/>
      <c r="I37" s="28">
        <f>BCC!I37+Sheet1!I37</f>
        <v>75219.059274869709</v>
      </c>
      <c r="J37" s="67"/>
      <c r="K37" s="28">
        <f>BCC!K37+Sheet1!K37</f>
        <v>75088.962671754998</v>
      </c>
      <c r="L37" s="67"/>
      <c r="M37" s="28">
        <f>BCC!M37+Sheet1!M37</f>
        <v>79650.10265831303</v>
      </c>
      <c r="N37" s="67"/>
      <c r="O37" s="28">
        <f>BCC!O37+Sheet1!O37</f>
        <v>56985.250699337295</v>
      </c>
      <c r="P37" s="67"/>
      <c r="Q37" s="28">
        <f>BCC!Q37+Sheet1!Q37</f>
        <v>74758.929161862005</v>
      </c>
      <c r="R37" s="67"/>
      <c r="S37" s="28">
        <f>BCC!S37+Sheet1!S37</f>
        <v>63861.573651646395</v>
      </c>
      <c r="T37" s="67"/>
      <c r="U37" s="28">
        <f>BCC!U37+Sheet1!U37</f>
        <v>53828.802294404988</v>
      </c>
      <c r="V37" s="67"/>
      <c r="W37" s="28">
        <f>BCC!W37+Sheet1!W37</f>
        <v>67057.271408764718</v>
      </c>
      <c r="X37" s="67"/>
      <c r="Y37" s="28">
        <f>BCC!Y37+Sheet1!Y37</f>
        <v>82853.616423473301</v>
      </c>
      <c r="Z37" s="225"/>
      <c r="AA37" s="288">
        <f t="shared" si="2"/>
        <v>811105.18182160833</v>
      </c>
      <c r="AB37" s="247"/>
      <c r="AC37" s="243">
        <f t="shared" si="3"/>
        <v>67592.098485134033</v>
      </c>
      <c r="AD37" s="247"/>
      <c r="AE37" s="75"/>
      <c r="AF37" s="169"/>
      <c r="AG37" s="75"/>
      <c r="AH37" s="243">
        <f>(AH16-AH36)</f>
        <v>396162.18849948322</v>
      </c>
      <c r="AI37" s="260">
        <f>AH37/AH12</f>
        <v>0.4919862830514769</v>
      </c>
      <c r="AJ37" s="298">
        <f t="shared" si="0"/>
        <v>1274859.4688062256</v>
      </c>
      <c r="AK37" s="53">
        <f t="shared" si="1"/>
        <v>0</v>
      </c>
      <c r="AL37" s="53">
        <f t="shared" si="4"/>
        <v>811105.18182160833</v>
      </c>
      <c r="AM37" s="53">
        <f t="shared" si="6"/>
        <v>6615812.4756676843</v>
      </c>
      <c r="AN37" s="53" t="e">
        <f>#REF!-AM37</f>
        <v>#REF!</v>
      </c>
      <c r="AO37" s="53"/>
    </row>
    <row r="38" spans="1:41" ht="15.75" thickTop="1">
      <c r="A38" s="2">
        <v>6002</v>
      </c>
      <c r="B38" s="112" t="s">
        <v>46</v>
      </c>
      <c r="C38" s="136">
        <f>BCC!C38+Sheet1!C38</f>
        <v>0</v>
      </c>
      <c r="D38" s="49"/>
      <c r="E38" s="136">
        <f>BCC!E38+Sheet1!E38</f>
        <v>0</v>
      </c>
      <c r="F38" s="49"/>
      <c r="G38" s="136">
        <f>BCC!G38+Sheet1!G38</f>
        <v>0</v>
      </c>
      <c r="H38" s="49"/>
      <c r="I38" s="136">
        <f>BCC!I38+Sheet1!I38</f>
        <v>0</v>
      </c>
      <c r="J38" s="49"/>
      <c r="K38" s="136">
        <f>BCC!K38+Sheet1!K38</f>
        <v>0</v>
      </c>
      <c r="L38" s="49"/>
      <c r="M38" s="136">
        <f>BCC!M38+Sheet1!M38</f>
        <v>0</v>
      </c>
      <c r="N38" s="49"/>
      <c r="O38" s="136">
        <f>BCC!O38+Sheet1!O38</f>
        <v>0</v>
      </c>
      <c r="P38" s="49"/>
      <c r="Q38" s="136">
        <f>BCC!Q38+Sheet1!Q38</f>
        <v>0</v>
      </c>
      <c r="R38" s="49"/>
      <c r="S38" s="136">
        <f>BCC!S38+Sheet1!S38</f>
        <v>0</v>
      </c>
      <c r="T38" s="49"/>
      <c r="U38" s="136">
        <f>BCC!U38+Sheet1!U38</f>
        <v>0</v>
      </c>
      <c r="V38" s="49"/>
      <c r="W38" s="136">
        <f>BCC!W38+Sheet1!W38</f>
        <v>0</v>
      </c>
      <c r="X38" s="49"/>
      <c r="Y38" s="136">
        <f>BCC!Y38+Sheet1!Y38</f>
        <v>0</v>
      </c>
      <c r="Z38" s="179"/>
      <c r="AA38" s="286">
        <f t="shared" si="2"/>
        <v>0</v>
      </c>
      <c r="AB38" s="214"/>
      <c r="AC38" s="205">
        <f t="shared" si="3"/>
        <v>0</v>
      </c>
      <c r="AD38" s="214"/>
      <c r="AE38" s="75"/>
      <c r="AF38" s="169"/>
      <c r="AG38" s="75"/>
      <c r="AH38" s="205">
        <v>0</v>
      </c>
      <c r="AI38" s="255">
        <f>AH38/AH12</f>
        <v>0</v>
      </c>
      <c r="AJ38" s="293">
        <f t="shared" si="0"/>
        <v>0</v>
      </c>
      <c r="AK38" s="53">
        <f t="shared" si="1"/>
        <v>0</v>
      </c>
      <c r="AL38" s="53">
        <f t="shared" si="4"/>
        <v>0</v>
      </c>
      <c r="AM38" s="53">
        <f t="shared" si="6"/>
        <v>0</v>
      </c>
      <c r="AN38" s="53" t="e">
        <f>#REF!-AM38</f>
        <v>#REF!</v>
      </c>
      <c r="AO38" s="53"/>
    </row>
    <row r="39" spans="1:41">
      <c r="A39" s="2">
        <v>6003</v>
      </c>
      <c r="B39" s="2" t="s">
        <v>0</v>
      </c>
      <c r="C39" s="18">
        <f>BCC!C39+Sheet1!C39</f>
        <v>0</v>
      </c>
      <c r="D39" s="49"/>
      <c r="E39" s="18">
        <f>BCC!E39+Sheet1!E39</f>
        <v>0</v>
      </c>
      <c r="F39" s="49"/>
      <c r="G39" s="18">
        <f>BCC!G39+Sheet1!G39</f>
        <v>0</v>
      </c>
      <c r="H39" s="49"/>
      <c r="I39" s="18">
        <f>BCC!I39+Sheet1!I39</f>
        <v>0</v>
      </c>
      <c r="J39" s="49"/>
      <c r="K39" s="18">
        <f>BCC!K39+Sheet1!K39</f>
        <v>0</v>
      </c>
      <c r="L39" s="49"/>
      <c r="M39" s="18">
        <f>BCC!M39+Sheet1!M39</f>
        <v>0</v>
      </c>
      <c r="N39" s="49"/>
      <c r="O39" s="18">
        <f>BCC!O39+Sheet1!O39</f>
        <v>0</v>
      </c>
      <c r="P39" s="49"/>
      <c r="Q39" s="18">
        <f>BCC!Q39+Sheet1!Q39</f>
        <v>0</v>
      </c>
      <c r="R39" s="49"/>
      <c r="S39" s="18">
        <f>BCC!S39+Sheet1!S39</f>
        <v>0</v>
      </c>
      <c r="T39" s="49"/>
      <c r="U39" s="18">
        <f>BCC!U39+Sheet1!U39</f>
        <v>0</v>
      </c>
      <c r="V39" s="49"/>
      <c r="W39" s="18">
        <f>BCC!W39+Sheet1!W39</f>
        <v>0</v>
      </c>
      <c r="X39" s="49"/>
      <c r="Y39" s="18">
        <f>BCC!Y39+Sheet1!Y39</f>
        <v>0</v>
      </c>
      <c r="Z39" s="179"/>
      <c r="AA39" s="286">
        <f t="shared" si="2"/>
        <v>0</v>
      </c>
      <c r="AB39" s="214"/>
      <c r="AC39" s="205">
        <f t="shared" si="3"/>
        <v>0</v>
      </c>
      <c r="AD39" s="214"/>
      <c r="AE39" s="75"/>
      <c r="AF39" s="169"/>
      <c r="AG39" s="75"/>
      <c r="AH39" s="205">
        <v>0</v>
      </c>
      <c r="AI39" s="255">
        <f>AH39/AH12</f>
        <v>0</v>
      </c>
      <c r="AJ39" s="293">
        <f t="shared" si="0"/>
        <v>0</v>
      </c>
      <c r="AK39" s="53">
        <f t="shared" si="1"/>
        <v>0</v>
      </c>
      <c r="AL39" s="53">
        <f t="shared" si="4"/>
        <v>0</v>
      </c>
      <c r="AM39" s="53">
        <f t="shared" si="6"/>
        <v>0</v>
      </c>
      <c r="AN39" s="53" t="e">
        <f>#REF!-AM39</f>
        <v>#REF!</v>
      </c>
      <c r="AO39" s="53"/>
    </row>
    <row r="40" spans="1:41">
      <c r="A40" s="2">
        <v>6004</v>
      </c>
      <c r="B40" s="112" t="s">
        <v>1</v>
      </c>
      <c r="C40" s="136">
        <f>BCC!C40+Sheet1!C40</f>
        <v>0</v>
      </c>
      <c r="D40" s="49"/>
      <c r="E40" s="136">
        <f>BCC!E40+Sheet1!E40</f>
        <v>0</v>
      </c>
      <c r="F40" s="49"/>
      <c r="G40" s="136">
        <f>BCC!G40+Sheet1!G40</f>
        <v>0</v>
      </c>
      <c r="H40" s="49"/>
      <c r="I40" s="136">
        <f>BCC!I40+Sheet1!I40</f>
        <v>0</v>
      </c>
      <c r="J40" s="49"/>
      <c r="K40" s="136">
        <f>BCC!K40+Sheet1!K40</f>
        <v>0</v>
      </c>
      <c r="L40" s="49"/>
      <c r="M40" s="136">
        <f>BCC!M40+Sheet1!M40</f>
        <v>0</v>
      </c>
      <c r="N40" s="49"/>
      <c r="O40" s="136">
        <f>BCC!O40+Sheet1!O40</f>
        <v>0</v>
      </c>
      <c r="P40" s="49"/>
      <c r="Q40" s="136">
        <f>BCC!Q40+Sheet1!Q40</f>
        <v>0</v>
      </c>
      <c r="R40" s="49"/>
      <c r="S40" s="136">
        <f>BCC!S40+Sheet1!S40</f>
        <v>0</v>
      </c>
      <c r="T40" s="49"/>
      <c r="U40" s="136">
        <f>BCC!U40+Sheet1!U40</f>
        <v>0</v>
      </c>
      <c r="V40" s="49"/>
      <c r="W40" s="136">
        <f>BCC!W40+Sheet1!W40</f>
        <v>0</v>
      </c>
      <c r="X40" s="49"/>
      <c r="Y40" s="136">
        <f>BCC!Y40+Sheet1!Y40</f>
        <v>0</v>
      </c>
      <c r="Z40" s="179"/>
      <c r="AA40" s="286">
        <f t="shared" si="2"/>
        <v>0</v>
      </c>
      <c r="AB40" s="214"/>
      <c r="AC40" s="205">
        <f t="shared" si="3"/>
        <v>0</v>
      </c>
      <c r="AD40" s="214"/>
      <c r="AE40" s="75"/>
      <c r="AF40" s="169"/>
      <c r="AG40" s="75"/>
      <c r="AH40" s="205">
        <v>0</v>
      </c>
      <c r="AI40" s="255">
        <f>AH40/AH12</f>
        <v>0</v>
      </c>
      <c r="AJ40" s="293">
        <f t="shared" si="0"/>
        <v>0</v>
      </c>
      <c r="AK40" s="53">
        <f t="shared" si="1"/>
        <v>0</v>
      </c>
      <c r="AL40" s="53">
        <f t="shared" si="4"/>
        <v>0</v>
      </c>
      <c r="AM40" s="53">
        <f t="shared" si="6"/>
        <v>0</v>
      </c>
      <c r="AN40" s="53" t="e">
        <f>#REF!-AM40</f>
        <v>#REF!</v>
      </c>
      <c r="AO40" s="53"/>
    </row>
    <row r="41" spans="1:41" ht="15.75" thickBot="1">
      <c r="A41" s="4">
        <v>6099</v>
      </c>
      <c r="B41" s="113" t="s">
        <v>98</v>
      </c>
      <c r="C41" s="27">
        <f>BCC!C41+Sheet1!C41</f>
        <v>0</v>
      </c>
      <c r="D41" s="68"/>
      <c r="E41" s="27">
        <f>BCC!E41+Sheet1!E41</f>
        <v>0</v>
      </c>
      <c r="F41" s="68"/>
      <c r="G41" s="27">
        <f>BCC!G41+Sheet1!G41</f>
        <v>0</v>
      </c>
      <c r="H41" s="68"/>
      <c r="I41" s="27">
        <f>BCC!I41+Sheet1!I41</f>
        <v>0</v>
      </c>
      <c r="J41" s="68"/>
      <c r="K41" s="27">
        <f>BCC!K41+Sheet1!K41</f>
        <v>0</v>
      </c>
      <c r="L41" s="68"/>
      <c r="M41" s="27">
        <f>BCC!M41+Sheet1!M41</f>
        <v>0</v>
      </c>
      <c r="N41" s="68"/>
      <c r="O41" s="27">
        <f>BCC!O41+Sheet1!O41</f>
        <v>0</v>
      </c>
      <c r="P41" s="68"/>
      <c r="Q41" s="27">
        <f>BCC!Q41+Sheet1!Q41</f>
        <v>0</v>
      </c>
      <c r="R41" s="68"/>
      <c r="S41" s="27">
        <f>BCC!S41+Sheet1!S41</f>
        <v>0</v>
      </c>
      <c r="T41" s="68"/>
      <c r="U41" s="27">
        <f>BCC!U41+Sheet1!U41</f>
        <v>0</v>
      </c>
      <c r="V41" s="68"/>
      <c r="W41" s="27">
        <f>BCC!W41+Sheet1!W41</f>
        <v>0</v>
      </c>
      <c r="X41" s="68"/>
      <c r="Y41" s="27">
        <f>BCC!Y41+Sheet1!Y41</f>
        <v>0</v>
      </c>
      <c r="Z41" s="223"/>
      <c r="AA41" s="287">
        <f t="shared" si="2"/>
        <v>0</v>
      </c>
      <c r="AB41" s="245"/>
      <c r="AC41" s="210">
        <f t="shared" si="3"/>
        <v>0</v>
      </c>
      <c r="AD41" s="245"/>
      <c r="AE41" s="75"/>
      <c r="AF41" s="169"/>
      <c r="AG41" s="75"/>
      <c r="AH41" s="210">
        <v>0</v>
      </c>
      <c r="AI41" s="259">
        <f>AH41/AH12</f>
        <v>0</v>
      </c>
      <c r="AJ41" s="293">
        <f t="shared" si="0"/>
        <v>0</v>
      </c>
      <c r="AK41" s="53">
        <f t="shared" si="1"/>
        <v>0</v>
      </c>
      <c r="AL41" s="53">
        <f t="shared" si="4"/>
        <v>0</v>
      </c>
      <c r="AM41" s="53">
        <f t="shared" si="6"/>
        <v>0</v>
      </c>
      <c r="AN41" s="53" t="e">
        <f>#REF!-AM41</f>
        <v>#REF!</v>
      </c>
      <c r="AO41" s="53"/>
    </row>
    <row r="42" spans="1:41" ht="15.75" thickTop="1">
      <c r="A42" s="99">
        <v>6101</v>
      </c>
      <c r="B42" s="111" t="s">
        <v>2</v>
      </c>
      <c r="C42" s="18">
        <f>BCC!C42+Sheet1!C42</f>
        <v>23651.25</v>
      </c>
      <c r="D42" s="49"/>
      <c r="E42" s="18">
        <f>BCC!E42+Sheet1!E42</f>
        <v>23651.25</v>
      </c>
      <c r="F42" s="49"/>
      <c r="G42" s="18">
        <f>BCC!G42+Sheet1!G42</f>
        <v>23651.25</v>
      </c>
      <c r="H42" s="49"/>
      <c r="I42" s="18">
        <f>BCC!I42+Sheet1!I42</f>
        <v>23651.25</v>
      </c>
      <c r="J42" s="49"/>
      <c r="K42" s="18">
        <f>BCC!K42+Sheet1!K42</f>
        <v>23651.25</v>
      </c>
      <c r="L42" s="49"/>
      <c r="M42" s="18">
        <f>BCC!M42+Sheet1!M42</f>
        <v>23651.25</v>
      </c>
      <c r="N42" s="49"/>
      <c r="O42" s="18">
        <f>BCC!O42+Sheet1!O42</f>
        <v>23651.25</v>
      </c>
      <c r="P42" s="49"/>
      <c r="Q42" s="18">
        <f>BCC!Q42+Sheet1!Q42</f>
        <v>23651.25</v>
      </c>
      <c r="R42" s="49"/>
      <c r="S42" s="18">
        <f>BCC!S42+Sheet1!S42</f>
        <v>23651.25</v>
      </c>
      <c r="T42" s="49"/>
      <c r="U42" s="18">
        <f>BCC!U42+Sheet1!U42</f>
        <v>23651.25</v>
      </c>
      <c r="V42" s="49"/>
      <c r="W42" s="18">
        <f>BCC!W42+Sheet1!W42</f>
        <v>23651.25</v>
      </c>
      <c r="X42" s="49"/>
      <c r="Y42" s="18">
        <f>BCC!Y42+Sheet1!Y42</f>
        <v>24833.81</v>
      </c>
      <c r="Z42" s="179"/>
      <c r="AA42" s="286">
        <f t="shared" si="2"/>
        <v>284997.56</v>
      </c>
      <c r="AB42" s="214"/>
      <c r="AC42" s="205">
        <f t="shared" si="3"/>
        <v>23749.796666666665</v>
      </c>
      <c r="AD42" s="214"/>
      <c r="AE42" s="75"/>
      <c r="AF42" s="169"/>
      <c r="AG42" s="75"/>
      <c r="AH42" s="205">
        <v>90000</v>
      </c>
      <c r="AI42" s="255">
        <f>AH42/AH12</f>
        <v>0.11176928732735603</v>
      </c>
      <c r="AJ42" s="293">
        <f t="shared" si="0"/>
        <v>398747.35666666669</v>
      </c>
      <c r="AK42" s="53">
        <f t="shared" si="1"/>
        <v>0</v>
      </c>
      <c r="AL42" s="53">
        <f t="shared" si="4"/>
        <v>284997.56</v>
      </c>
      <c r="AM42" s="53">
        <f t="shared" si="6"/>
        <v>2234333.5640000002</v>
      </c>
      <c r="AN42" s="53" t="e">
        <f>#REF!-AM42</f>
        <v>#REF!</v>
      </c>
      <c r="AO42" s="53"/>
    </row>
    <row r="43" spans="1:41">
      <c r="A43" s="99">
        <v>6102</v>
      </c>
      <c r="B43" s="111" t="s">
        <v>3</v>
      </c>
      <c r="C43" s="18">
        <f>BCC!C43+Sheet1!C43</f>
        <v>1200</v>
      </c>
      <c r="D43" s="49"/>
      <c r="E43" s="18">
        <f>BCC!E43+Sheet1!E43</f>
        <v>1200</v>
      </c>
      <c r="F43" s="49"/>
      <c r="G43" s="18">
        <f>BCC!G43+Sheet1!G43</f>
        <v>1200</v>
      </c>
      <c r="H43" s="49"/>
      <c r="I43" s="18">
        <f>BCC!I43+Sheet1!I43</f>
        <v>1200</v>
      </c>
      <c r="J43" s="49"/>
      <c r="K43" s="18">
        <f>BCC!K43+Sheet1!K43</f>
        <v>1200</v>
      </c>
      <c r="L43" s="49"/>
      <c r="M43" s="18">
        <f>BCC!M43+Sheet1!M43</f>
        <v>1200</v>
      </c>
      <c r="N43" s="49"/>
      <c r="O43" s="18">
        <f>BCC!O43+Sheet1!O43</f>
        <v>1200</v>
      </c>
      <c r="P43" s="49"/>
      <c r="Q43" s="18">
        <f>BCC!Q43+Sheet1!Q43</f>
        <v>1200</v>
      </c>
      <c r="R43" s="49"/>
      <c r="S43" s="18">
        <f>BCC!S43+Sheet1!S43</f>
        <v>1200</v>
      </c>
      <c r="T43" s="49"/>
      <c r="U43" s="18">
        <f>BCC!U43+Sheet1!U43</f>
        <v>1200</v>
      </c>
      <c r="V43" s="49"/>
      <c r="W43" s="18">
        <f>BCC!W43+Sheet1!W43</f>
        <v>1200</v>
      </c>
      <c r="X43" s="49"/>
      <c r="Y43" s="18">
        <f>BCC!Y43+Sheet1!Y43</f>
        <v>1200</v>
      </c>
      <c r="Z43" s="179"/>
      <c r="AA43" s="286">
        <f t="shared" ref="AA43:AA106" si="7">C43+E43+G43+I43+K43+M43+O43+Q43+S43+U43+W43+Y43</f>
        <v>14400</v>
      </c>
      <c r="AB43" s="214"/>
      <c r="AC43" s="205">
        <f t="shared" ref="AC43:AC106" si="8">AA43/12</f>
        <v>1200</v>
      </c>
      <c r="AD43" s="214"/>
      <c r="AE43" s="75"/>
      <c r="AF43" s="169"/>
      <c r="AG43" s="75"/>
      <c r="AH43" s="206">
        <v>23000</v>
      </c>
      <c r="AI43" s="255">
        <f>AH43/AH12</f>
        <v>2.8563262316990985E-2</v>
      </c>
      <c r="AJ43" s="293">
        <f t="shared" si="0"/>
        <v>38600</v>
      </c>
      <c r="AK43" s="53">
        <f t="shared" si="1"/>
        <v>0</v>
      </c>
      <c r="AL43" s="53">
        <f t="shared" si="4"/>
        <v>14400</v>
      </c>
      <c r="AM43" s="53">
        <f t="shared" si="6"/>
        <v>112800</v>
      </c>
      <c r="AN43" s="53" t="e">
        <f>#REF!-AM43</f>
        <v>#REF!</v>
      </c>
      <c r="AO43" s="53"/>
    </row>
    <row r="44" spans="1:41">
      <c r="A44" s="99">
        <v>6103</v>
      </c>
      <c r="B44" s="111" t="s">
        <v>4</v>
      </c>
      <c r="C44" s="18">
        <f>BCC!C44+Sheet1!C44</f>
        <v>0</v>
      </c>
      <c r="D44" s="49"/>
      <c r="E44" s="18">
        <f>BCC!E44+Sheet1!E44</f>
        <v>0</v>
      </c>
      <c r="F44" s="49"/>
      <c r="G44" s="18">
        <f>BCC!G44+Sheet1!G44</f>
        <v>0</v>
      </c>
      <c r="H44" s="49"/>
      <c r="I44" s="18">
        <f>BCC!I44+Sheet1!I44</f>
        <v>0</v>
      </c>
      <c r="J44" s="49"/>
      <c r="K44" s="18">
        <f>BCC!K44+Sheet1!K44</f>
        <v>0</v>
      </c>
      <c r="L44" s="49"/>
      <c r="M44" s="18">
        <f>BCC!M44+Sheet1!M44</f>
        <v>0</v>
      </c>
      <c r="N44" s="49"/>
      <c r="O44" s="18">
        <f>BCC!O44+Sheet1!O44</f>
        <v>0</v>
      </c>
      <c r="P44" s="49"/>
      <c r="Q44" s="18">
        <f>BCC!Q44+Sheet1!Q44</f>
        <v>0</v>
      </c>
      <c r="R44" s="49"/>
      <c r="S44" s="18">
        <f>BCC!S44+Sheet1!S44</f>
        <v>0</v>
      </c>
      <c r="T44" s="49"/>
      <c r="U44" s="18">
        <f>BCC!U44+Sheet1!U44</f>
        <v>0</v>
      </c>
      <c r="V44" s="49"/>
      <c r="W44" s="18">
        <f>BCC!W44+Sheet1!W44</f>
        <v>0</v>
      </c>
      <c r="X44" s="49"/>
      <c r="Y44" s="18">
        <f>BCC!Y44+Sheet1!Y44</f>
        <v>0</v>
      </c>
      <c r="Z44" s="179"/>
      <c r="AA44" s="286">
        <f t="shared" si="7"/>
        <v>0</v>
      </c>
      <c r="AB44" s="214"/>
      <c r="AC44" s="205">
        <f t="shared" si="8"/>
        <v>0</v>
      </c>
      <c r="AD44" s="214"/>
      <c r="AE44" s="75"/>
      <c r="AF44" s="169"/>
      <c r="AG44" s="75"/>
      <c r="AH44" s="205">
        <v>0</v>
      </c>
      <c r="AI44" s="255">
        <f>AH44/AH12</f>
        <v>0</v>
      </c>
      <c r="AJ44" s="293">
        <f t="shared" si="0"/>
        <v>0</v>
      </c>
      <c r="AK44" s="53">
        <f t="shared" si="1"/>
        <v>0</v>
      </c>
      <c r="AL44" s="53">
        <f t="shared" si="4"/>
        <v>0</v>
      </c>
      <c r="AM44" s="53">
        <f t="shared" si="6"/>
        <v>0</v>
      </c>
      <c r="AN44" s="53" t="e">
        <f>#REF!-AM44</f>
        <v>#REF!</v>
      </c>
      <c r="AO44" s="53"/>
    </row>
    <row r="45" spans="1:41">
      <c r="A45" s="99">
        <v>6104</v>
      </c>
      <c r="B45" s="111" t="s">
        <v>5</v>
      </c>
      <c r="C45" s="18">
        <f>BCC!C45+Sheet1!C45</f>
        <v>150</v>
      </c>
      <c r="D45" s="49"/>
      <c r="E45" s="18">
        <f>BCC!E45+Sheet1!E45</f>
        <v>150</v>
      </c>
      <c r="F45" s="49"/>
      <c r="G45" s="18">
        <f>BCC!G45+Sheet1!G45</f>
        <v>150</v>
      </c>
      <c r="H45" s="49"/>
      <c r="I45" s="18">
        <f>BCC!I45+Sheet1!I45</f>
        <v>150</v>
      </c>
      <c r="J45" s="49"/>
      <c r="K45" s="18">
        <f>BCC!K45+Sheet1!K45</f>
        <v>150</v>
      </c>
      <c r="L45" s="49"/>
      <c r="M45" s="18">
        <f>BCC!M45+Sheet1!M45</f>
        <v>150</v>
      </c>
      <c r="N45" s="49"/>
      <c r="O45" s="18">
        <f>BCC!O45+Sheet1!O45</f>
        <v>150</v>
      </c>
      <c r="P45" s="49"/>
      <c r="Q45" s="18">
        <f>BCC!Q45+Sheet1!Q45</f>
        <v>150</v>
      </c>
      <c r="R45" s="49"/>
      <c r="S45" s="18">
        <f>BCC!S45+Sheet1!S45</f>
        <v>150</v>
      </c>
      <c r="T45" s="49"/>
      <c r="U45" s="18">
        <f>BCC!U45+Sheet1!U45</f>
        <v>150</v>
      </c>
      <c r="V45" s="49"/>
      <c r="W45" s="18">
        <f>BCC!W45+Sheet1!W45</f>
        <v>150</v>
      </c>
      <c r="X45" s="49"/>
      <c r="Y45" s="18">
        <f>BCC!Y45+Sheet1!Y45</f>
        <v>150</v>
      </c>
      <c r="Z45" s="179"/>
      <c r="AA45" s="286">
        <f t="shared" si="7"/>
        <v>1800</v>
      </c>
      <c r="AB45" s="214"/>
      <c r="AC45" s="205">
        <f t="shared" si="8"/>
        <v>150</v>
      </c>
      <c r="AD45" s="214"/>
      <c r="AE45" s="75"/>
      <c r="AF45" s="169"/>
      <c r="AG45" s="75"/>
      <c r="AH45" s="207">
        <v>2359.6289999999999</v>
      </c>
      <c r="AI45" s="255">
        <f>AH45/AH12</f>
        <v>2.9303783520773529E-3</v>
      </c>
      <c r="AJ45" s="293">
        <f t="shared" si="0"/>
        <v>4309.6289999999999</v>
      </c>
      <c r="AK45" s="53">
        <f t="shared" si="1"/>
        <v>0</v>
      </c>
      <c r="AL45" s="53">
        <f t="shared" si="4"/>
        <v>1800</v>
      </c>
      <c r="AM45" s="53">
        <f t="shared" si="6"/>
        <v>14100</v>
      </c>
      <c r="AN45" s="53" t="e">
        <f>#REF!-AM45</f>
        <v>#REF!</v>
      </c>
      <c r="AO45" s="53"/>
    </row>
    <row r="46" spans="1:41">
      <c r="A46" s="99">
        <v>6105</v>
      </c>
      <c r="B46" s="111" t="s">
        <v>40</v>
      </c>
      <c r="C46" s="18">
        <f>BCC!C46+Sheet1!C46</f>
        <v>300</v>
      </c>
      <c r="D46" s="49"/>
      <c r="E46" s="18">
        <f>BCC!E46+Sheet1!E46</f>
        <v>300</v>
      </c>
      <c r="F46" s="49"/>
      <c r="G46" s="18">
        <f>BCC!G46+Sheet1!G46</f>
        <v>300</v>
      </c>
      <c r="H46" s="49"/>
      <c r="I46" s="18">
        <f>BCC!I46+Sheet1!I46</f>
        <v>300</v>
      </c>
      <c r="J46" s="49"/>
      <c r="K46" s="18">
        <f>BCC!K46+Sheet1!K46</f>
        <v>300</v>
      </c>
      <c r="L46" s="49"/>
      <c r="M46" s="18">
        <f>BCC!M46+Sheet1!M46</f>
        <v>300</v>
      </c>
      <c r="N46" s="49"/>
      <c r="O46" s="18">
        <f>BCC!O46+Sheet1!O46</f>
        <v>300</v>
      </c>
      <c r="P46" s="49"/>
      <c r="Q46" s="18">
        <f>BCC!Q46+Sheet1!Q46</f>
        <v>300</v>
      </c>
      <c r="R46" s="49"/>
      <c r="S46" s="18">
        <f>BCC!S46+Sheet1!S46</f>
        <v>300</v>
      </c>
      <c r="T46" s="49"/>
      <c r="U46" s="18">
        <f>BCC!U46+Sheet1!U46</f>
        <v>300</v>
      </c>
      <c r="V46" s="49"/>
      <c r="W46" s="18">
        <f>BCC!W46+Sheet1!W46</f>
        <v>300</v>
      </c>
      <c r="X46" s="49"/>
      <c r="Y46" s="18">
        <f>BCC!Y46+Sheet1!Y46</f>
        <v>300</v>
      </c>
      <c r="Z46" s="179"/>
      <c r="AA46" s="286">
        <f t="shared" si="7"/>
        <v>3600</v>
      </c>
      <c r="AB46" s="214"/>
      <c r="AC46" s="205">
        <f t="shared" si="8"/>
        <v>300</v>
      </c>
      <c r="AD46" s="214"/>
      <c r="AE46" s="75"/>
      <c r="AF46" s="169"/>
      <c r="AG46" s="75"/>
      <c r="AH46" s="207">
        <v>0</v>
      </c>
      <c r="AI46" s="255">
        <f>AH46/AH12</f>
        <v>0</v>
      </c>
      <c r="AJ46" s="293">
        <f t="shared" si="0"/>
        <v>3900</v>
      </c>
      <c r="AK46" s="53">
        <f t="shared" si="1"/>
        <v>0</v>
      </c>
      <c r="AL46" s="53">
        <f t="shared" si="4"/>
        <v>3600</v>
      </c>
      <c r="AM46" s="53">
        <f t="shared" si="6"/>
        <v>28200</v>
      </c>
      <c r="AN46" s="53" t="e">
        <f>#REF!-AM46</f>
        <v>#REF!</v>
      </c>
      <c r="AO46" s="53"/>
    </row>
    <row r="47" spans="1:41">
      <c r="A47" s="99">
        <v>6106</v>
      </c>
      <c r="B47" s="111" t="s">
        <v>7</v>
      </c>
      <c r="C47" s="18">
        <f>BCC!C47+Sheet1!C47</f>
        <v>50</v>
      </c>
      <c r="D47" s="49"/>
      <c r="E47" s="18">
        <f>BCC!E47+Sheet1!E47</f>
        <v>50</v>
      </c>
      <c r="F47" s="49"/>
      <c r="G47" s="18">
        <f>BCC!G47+Sheet1!G47</f>
        <v>50</v>
      </c>
      <c r="H47" s="49"/>
      <c r="I47" s="18">
        <f>BCC!I47+Sheet1!I47</f>
        <v>50</v>
      </c>
      <c r="J47" s="49"/>
      <c r="K47" s="18">
        <f>BCC!K47+Sheet1!K47</f>
        <v>50</v>
      </c>
      <c r="L47" s="49"/>
      <c r="M47" s="18">
        <f>BCC!M47+Sheet1!M47</f>
        <v>50</v>
      </c>
      <c r="N47" s="49"/>
      <c r="O47" s="18">
        <f>BCC!O47+Sheet1!O47</f>
        <v>50</v>
      </c>
      <c r="P47" s="49"/>
      <c r="Q47" s="18">
        <f>BCC!Q47+Sheet1!Q47</f>
        <v>50</v>
      </c>
      <c r="R47" s="49"/>
      <c r="S47" s="18">
        <f>BCC!S47+Sheet1!S47</f>
        <v>50</v>
      </c>
      <c r="T47" s="49"/>
      <c r="U47" s="18">
        <f>BCC!U47+Sheet1!U47</f>
        <v>50</v>
      </c>
      <c r="V47" s="49"/>
      <c r="W47" s="18">
        <f>BCC!W47+Sheet1!W47</f>
        <v>50</v>
      </c>
      <c r="X47" s="49"/>
      <c r="Y47" s="18">
        <f>BCC!Y47+Sheet1!Y47</f>
        <v>50</v>
      </c>
      <c r="Z47" s="179"/>
      <c r="AA47" s="286">
        <f t="shared" si="7"/>
        <v>600</v>
      </c>
      <c r="AB47" s="214"/>
      <c r="AC47" s="205">
        <f t="shared" si="8"/>
        <v>50</v>
      </c>
      <c r="AD47" s="214"/>
      <c r="AE47" s="75"/>
      <c r="AF47" s="169"/>
      <c r="AG47" s="75"/>
      <c r="AH47" s="207">
        <v>0</v>
      </c>
      <c r="AI47" s="255">
        <f>AH47/AH12</f>
        <v>0</v>
      </c>
      <c r="AJ47" s="293">
        <f t="shared" si="0"/>
        <v>650</v>
      </c>
      <c r="AK47" s="53">
        <f t="shared" si="1"/>
        <v>0</v>
      </c>
      <c r="AL47" s="53">
        <f t="shared" si="4"/>
        <v>600</v>
      </c>
      <c r="AM47" s="53">
        <f t="shared" si="6"/>
        <v>4700</v>
      </c>
      <c r="AN47" s="53" t="e">
        <f>#REF!-AM47</f>
        <v>#REF!</v>
      </c>
      <c r="AO47" s="53"/>
    </row>
    <row r="48" spans="1:41">
      <c r="A48" s="99">
        <v>6107</v>
      </c>
      <c r="B48" s="111" t="s">
        <v>8</v>
      </c>
      <c r="C48" s="18">
        <f>BCC!C48+Sheet1!C48</f>
        <v>0</v>
      </c>
      <c r="D48" s="49"/>
      <c r="E48" s="18">
        <f>BCC!E48+Sheet1!E48</f>
        <v>0</v>
      </c>
      <c r="F48" s="49"/>
      <c r="G48" s="18">
        <f>BCC!G48+Sheet1!G48</f>
        <v>0</v>
      </c>
      <c r="H48" s="49"/>
      <c r="I48" s="18">
        <f>BCC!I48+Sheet1!I48</f>
        <v>0</v>
      </c>
      <c r="J48" s="49"/>
      <c r="K48" s="18">
        <f>BCC!K48+Sheet1!K48</f>
        <v>0</v>
      </c>
      <c r="L48" s="49"/>
      <c r="M48" s="18">
        <f>BCC!M48+Sheet1!M48</f>
        <v>0</v>
      </c>
      <c r="N48" s="49"/>
      <c r="O48" s="18">
        <f>BCC!O48+Sheet1!O48</f>
        <v>0</v>
      </c>
      <c r="P48" s="49"/>
      <c r="Q48" s="18">
        <f>BCC!Q48+Sheet1!Q48</f>
        <v>0</v>
      </c>
      <c r="R48" s="49"/>
      <c r="S48" s="18">
        <f>BCC!S48+Sheet1!S48</f>
        <v>0</v>
      </c>
      <c r="T48" s="49"/>
      <c r="U48" s="18">
        <f>BCC!U48+Sheet1!U48</f>
        <v>0</v>
      </c>
      <c r="V48" s="49"/>
      <c r="W48" s="18">
        <f>BCC!W48+Sheet1!W48</f>
        <v>0</v>
      </c>
      <c r="X48" s="49"/>
      <c r="Y48" s="18">
        <f>BCC!Y48+Sheet1!Y48</f>
        <v>0</v>
      </c>
      <c r="Z48" s="179"/>
      <c r="AA48" s="286">
        <f t="shared" si="7"/>
        <v>0</v>
      </c>
      <c r="AB48" s="214"/>
      <c r="AC48" s="205">
        <f t="shared" si="8"/>
        <v>0</v>
      </c>
      <c r="AD48" s="214"/>
      <c r="AE48" s="75"/>
      <c r="AF48" s="169"/>
      <c r="AG48" s="75"/>
      <c r="AH48" s="207">
        <v>0</v>
      </c>
      <c r="AI48" s="255">
        <f>AH48/AH12</f>
        <v>0</v>
      </c>
      <c r="AJ48" s="293">
        <f t="shared" si="0"/>
        <v>0</v>
      </c>
      <c r="AK48" s="53">
        <f t="shared" si="1"/>
        <v>0</v>
      </c>
      <c r="AL48" s="53">
        <f t="shared" si="4"/>
        <v>0</v>
      </c>
      <c r="AM48" s="53">
        <f t="shared" si="6"/>
        <v>0</v>
      </c>
      <c r="AN48" s="53" t="e">
        <f>#REF!-AM48</f>
        <v>#REF!</v>
      </c>
      <c r="AO48" s="53"/>
    </row>
    <row r="49" spans="1:42">
      <c r="A49" s="99">
        <v>6108</v>
      </c>
      <c r="B49" s="111" t="s">
        <v>9</v>
      </c>
      <c r="C49" s="18">
        <f>BCC!C49+Sheet1!C49</f>
        <v>0</v>
      </c>
      <c r="D49" s="49"/>
      <c r="E49" s="18">
        <f>BCC!E49+Sheet1!E49</f>
        <v>0</v>
      </c>
      <c r="F49" s="49"/>
      <c r="G49" s="18">
        <f>BCC!G49+Sheet1!G49</f>
        <v>0</v>
      </c>
      <c r="H49" s="49"/>
      <c r="I49" s="18">
        <f>BCC!I49+Sheet1!I49</f>
        <v>0</v>
      </c>
      <c r="J49" s="49"/>
      <c r="K49" s="18">
        <f>BCC!K49+Sheet1!K49</f>
        <v>0</v>
      </c>
      <c r="L49" s="49"/>
      <c r="M49" s="18">
        <f>BCC!M49+Sheet1!M49</f>
        <v>0</v>
      </c>
      <c r="N49" s="49"/>
      <c r="O49" s="18">
        <f>BCC!O49+Sheet1!O49</f>
        <v>0</v>
      </c>
      <c r="P49" s="49"/>
      <c r="Q49" s="18">
        <f>BCC!Q49+Sheet1!Q49</f>
        <v>0</v>
      </c>
      <c r="R49" s="49"/>
      <c r="S49" s="18">
        <f>BCC!S49+Sheet1!S49</f>
        <v>0</v>
      </c>
      <c r="T49" s="49"/>
      <c r="U49" s="18">
        <f>BCC!U49+Sheet1!U49</f>
        <v>0</v>
      </c>
      <c r="V49" s="49"/>
      <c r="W49" s="18">
        <f>BCC!W49+Sheet1!W49</f>
        <v>0</v>
      </c>
      <c r="X49" s="49"/>
      <c r="Y49" s="18">
        <f>BCC!Y49+Sheet1!Y49</f>
        <v>0</v>
      </c>
      <c r="Z49" s="179"/>
      <c r="AA49" s="286">
        <f t="shared" si="7"/>
        <v>0</v>
      </c>
      <c r="AB49" s="214"/>
      <c r="AC49" s="205">
        <f t="shared" si="8"/>
        <v>0</v>
      </c>
      <c r="AD49" s="214"/>
      <c r="AE49" s="75"/>
      <c r="AF49" s="169"/>
      <c r="AG49" s="75"/>
      <c r="AH49" s="207">
        <v>0</v>
      </c>
      <c r="AI49" s="255">
        <f>AH49/AH12</f>
        <v>0</v>
      </c>
      <c r="AJ49" s="293">
        <f t="shared" si="0"/>
        <v>0</v>
      </c>
      <c r="AK49" s="53">
        <f t="shared" si="1"/>
        <v>0</v>
      </c>
      <c r="AL49" s="53">
        <f t="shared" si="4"/>
        <v>0</v>
      </c>
      <c r="AM49" s="53">
        <f t="shared" si="6"/>
        <v>0</v>
      </c>
      <c r="AN49" s="53" t="e">
        <f>#REF!-AM49</f>
        <v>#REF!</v>
      </c>
      <c r="AO49" s="53"/>
    </row>
    <row r="50" spans="1:42">
      <c r="A50" s="99">
        <v>6109</v>
      </c>
      <c r="B50" s="111" t="s">
        <v>79</v>
      </c>
      <c r="C50" s="18">
        <f>BCC!C50+Sheet1!C50</f>
        <v>0</v>
      </c>
      <c r="D50" s="49"/>
      <c r="E50" s="18">
        <f>BCC!E50+Sheet1!E50</f>
        <v>0</v>
      </c>
      <c r="F50" s="49"/>
      <c r="G50" s="18">
        <f>BCC!G50+Sheet1!G50</f>
        <v>0</v>
      </c>
      <c r="H50" s="49"/>
      <c r="I50" s="18">
        <f>BCC!I50+Sheet1!I50</f>
        <v>0</v>
      </c>
      <c r="J50" s="49"/>
      <c r="K50" s="18">
        <f>BCC!K50+Sheet1!K50</f>
        <v>0</v>
      </c>
      <c r="L50" s="49"/>
      <c r="M50" s="18">
        <f>BCC!M50+Sheet1!M50</f>
        <v>0</v>
      </c>
      <c r="N50" s="49"/>
      <c r="O50" s="18">
        <f>BCC!O50+Sheet1!O50</f>
        <v>0</v>
      </c>
      <c r="P50" s="49"/>
      <c r="Q50" s="18">
        <f>BCC!Q50+Sheet1!Q50</f>
        <v>0</v>
      </c>
      <c r="R50" s="49"/>
      <c r="S50" s="18">
        <f>BCC!S50+Sheet1!S50</f>
        <v>0</v>
      </c>
      <c r="T50" s="49"/>
      <c r="U50" s="18">
        <f>BCC!U50+Sheet1!U50</f>
        <v>0</v>
      </c>
      <c r="V50" s="49"/>
      <c r="W50" s="18">
        <f>BCC!W50+Sheet1!W50</f>
        <v>0</v>
      </c>
      <c r="X50" s="49"/>
      <c r="Y50" s="18">
        <f>BCC!Y50+Sheet1!Y50</f>
        <v>0</v>
      </c>
      <c r="Z50" s="179"/>
      <c r="AA50" s="286">
        <f t="shared" si="7"/>
        <v>0</v>
      </c>
      <c r="AB50" s="214"/>
      <c r="AC50" s="205">
        <f t="shared" si="8"/>
        <v>0</v>
      </c>
      <c r="AD50" s="214"/>
      <c r="AE50" s="75"/>
      <c r="AF50" s="169"/>
      <c r="AG50" s="75"/>
      <c r="AH50" s="207">
        <v>0</v>
      </c>
      <c r="AI50" s="255">
        <f>AH50/AH12</f>
        <v>0</v>
      </c>
      <c r="AJ50" s="293">
        <f t="shared" si="0"/>
        <v>0</v>
      </c>
      <c r="AK50" s="53">
        <f t="shared" si="1"/>
        <v>0</v>
      </c>
      <c r="AL50" s="53">
        <f t="shared" si="4"/>
        <v>0</v>
      </c>
      <c r="AM50" s="53">
        <f t="shared" si="6"/>
        <v>0</v>
      </c>
      <c r="AN50" s="53" t="e">
        <f>#REF!-AM50</f>
        <v>#REF!</v>
      </c>
      <c r="AO50" s="53"/>
    </row>
    <row r="51" spans="1:42">
      <c r="A51" s="99">
        <v>6110</v>
      </c>
      <c r="B51" s="111" t="s">
        <v>10</v>
      </c>
      <c r="C51" s="18">
        <f>BCC!C51+Sheet1!C51</f>
        <v>30</v>
      </c>
      <c r="D51" s="49"/>
      <c r="E51" s="18">
        <f>BCC!E51+Sheet1!E51</f>
        <v>30</v>
      </c>
      <c r="F51" s="49"/>
      <c r="G51" s="18">
        <f>BCC!G51+Sheet1!G51</f>
        <v>30</v>
      </c>
      <c r="H51" s="49"/>
      <c r="I51" s="18">
        <f>BCC!I51+Sheet1!I51</f>
        <v>30</v>
      </c>
      <c r="J51" s="49"/>
      <c r="K51" s="18">
        <f>BCC!K51+Sheet1!K51</f>
        <v>30</v>
      </c>
      <c r="L51" s="49"/>
      <c r="M51" s="18">
        <f>BCC!M51+Sheet1!M51</f>
        <v>30</v>
      </c>
      <c r="N51" s="49"/>
      <c r="O51" s="18">
        <f>BCC!O51+Sheet1!O51</f>
        <v>30</v>
      </c>
      <c r="P51" s="49"/>
      <c r="Q51" s="18">
        <f>BCC!Q51+Sheet1!Q51</f>
        <v>30</v>
      </c>
      <c r="R51" s="49"/>
      <c r="S51" s="18">
        <f>BCC!S51+Sheet1!S51</f>
        <v>30</v>
      </c>
      <c r="T51" s="49"/>
      <c r="U51" s="18">
        <f>BCC!U51+Sheet1!U51</f>
        <v>30</v>
      </c>
      <c r="V51" s="49"/>
      <c r="W51" s="18">
        <f>BCC!W51+Sheet1!W51</f>
        <v>30</v>
      </c>
      <c r="X51" s="49"/>
      <c r="Y51" s="18">
        <f>BCC!Y51+Sheet1!Y51</f>
        <v>30</v>
      </c>
      <c r="Z51" s="179"/>
      <c r="AA51" s="286">
        <f t="shared" si="7"/>
        <v>360</v>
      </c>
      <c r="AB51" s="214"/>
      <c r="AC51" s="205">
        <f t="shared" si="8"/>
        <v>30</v>
      </c>
      <c r="AD51" s="214"/>
      <c r="AE51" s="75"/>
      <c r="AF51" s="169"/>
      <c r="AG51" s="75"/>
      <c r="AH51" s="207">
        <v>600</v>
      </c>
      <c r="AI51" s="255">
        <f>AH51/AH12</f>
        <v>7.4512858218237356E-4</v>
      </c>
      <c r="AJ51" s="293">
        <f t="shared" si="0"/>
        <v>990</v>
      </c>
      <c r="AK51" s="53">
        <f t="shared" si="1"/>
        <v>0</v>
      </c>
      <c r="AL51" s="53">
        <f t="shared" si="4"/>
        <v>360</v>
      </c>
      <c r="AM51" s="53">
        <f t="shared" si="6"/>
        <v>2820</v>
      </c>
      <c r="AN51" s="53" t="e">
        <f>#REF!-AM51</f>
        <v>#REF!</v>
      </c>
      <c r="AO51" s="53"/>
    </row>
    <row r="52" spans="1:42">
      <c r="A52" s="99">
        <v>6111</v>
      </c>
      <c r="B52" s="111" t="s">
        <v>11</v>
      </c>
      <c r="C52" s="18">
        <f>BCC!C52+Sheet1!C52</f>
        <v>5201.79</v>
      </c>
      <c r="D52" s="49"/>
      <c r="E52" s="18">
        <f>BCC!E52+Sheet1!E52</f>
        <v>5201.79</v>
      </c>
      <c r="F52" s="49"/>
      <c r="G52" s="18">
        <f>BCC!G52+Sheet1!G52</f>
        <v>5201.79</v>
      </c>
      <c r="H52" s="49"/>
      <c r="I52" s="18">
        <f>BCC!I52+Sheet1!I52</f>
        <v>5201.79</v>
      </c>
      <c r="J52" s="49"/>
      <c r="K52" s="18">
        <f>BCC!K52+Sheet1!K52</f>
        <v>5201.79</v>
      </c>
      <c r="L52" s="49"/>
      <c r="M52" s="18">
        <f>BCC!M52+Sheet1!M52</f>
        <v>5201.79</v>
      </c>
      <c r="N52" s="49"/>
      <c r="O52" s="18">
        <f>BCC!O52+Sheet1!O52</f>
        <v>5201.79</v>
      </c>
      <c r="P52" s="49"/>
      <c r="Q52" s="18">
        <f>BCC!Q52+Sheet1!Q52</f>
        <v>5201.79</v>
      </c>
      <c r="R52" s="49"/>
      <c r="S52" s="18">
        <f>BCC!S52+Sheet1!S52</f>
        <v>5201.79</v>
      </c>
      <c r="T52" s="49"/>
      <c r="U52" s="18">
        <f>BCC!U52+Sheet1!U52</f>
        <v>5201.79</v>
      </c>
      <c r="V52" s="49"/>
      <c r="W52" s="18">
        <f>BCC!W52+Sheet1!W52</f>
        <v>5201.79</v>
      </c>
      <c r="X52" s="49"/>
      <c r="Y52" s="18">
        <f>BCC!Y52+Sheet1!Y52</f>
        <v>5357.9750000000004</v>
      </c>
      <c r="Z52" s="179"/>
      <c r="AA52" s="286">
        <f t="shared" si="7"/>
        <v>62577.665000000001</v>
      </c>
      <c r="AB52" s="214"/>
      <c r="AC52" s="205">
        <f t="shared" si="8"/>
        <v>5214.805416666667</v>
      </c>
      <c r="AD52" s="214"/>
      <c r="AE52" s="75"/>
      <c r="AF52" s="169"/>
      <c r="AG52" s="75"/>
      <c r="AH52" s="205">
        <v>0</v>
      </c>
      <c r="AI52" s="255">
        <f>AH52/AH12</f>
        <v>0</v>
      </c>
      <c r="AJ52" s="293">
        <f t="shared" si="0"/>
        <v>67792.470416666663</v>
      </c>
      <c r="AK52" s="53">
        <f t="shared" si="1"/>
        <v>0</v>
      </c>
      <c r="AL52" s="53">
        <f t="shared" si="4"/>
        <v>62577.665000000001</v>
      </c>
      <c r="AM52" s="53">
        <f t="shared" si="6"/>
        <v>490436.39900000003</v>
      </c>
      <c r="AN52" s="53" t="e">
        <f>#REF!-AM52</f>
        <v>#REF!</v>
      </c>
      <c r="AO52" s="53"/>
    </row>
    <row r="53" spans="1:42">
      <c r="A53" s="99">
        <v>6112</v>
      </c>
      <c r="B53" s="111" t="s">
        <v>12</v>
      </c>
      <c r="C53" s="18">
        <f>BCC!C53+Sheet1!C53</f>
        <v>322</v>
      </c>
      <c r="D53" s="49"/>
      <c r="E53" s="18">
        <f>BCC!E53+Sheet1!E53</f>
        <v>322</v>
      </c>
      <c r="F53" s="49"/>
      <c r="G53" s="18">
        <f>BCC!G53+Sheet1!G53</f>
        <v>322</v>
      </c>
      <c r="H53" s="49"/>
      <c r="I53" s="18">
        <f>BCC!I53+Sheet1!I53</f>
        <v>322</v>
      </c>
      <c r="J53" s="49"/>
      <c r="K53" s="18">
        <f>BCC!K53+Sheet1!K53</f>
        <v>322</v>
      </c>
      <c r="L53" s="49"/>
      <c r="M53" s="18">
        <f>BCC!M53+Sheet1!M53</f>
        <v>322</v>
      </c>
      <c r="N53" s="49"/>
      <c r="O53" s="18">
        <f>BCC!O53+Sheet1!O53</f>
        <v>322</v>
      </c>
      <c r="P53" s="49"/>
      <c r="Q53" s="18">
        <f>BCC!Q53+Sheet1!Q53</f>
        <v>322</v>
      </c>
      <c r="R53" s="49"/>
      <c r="S53" s="18">
        <f>BCC!S53+Sheet1!S53</f>
        <v>322</v>
      </c>
      <c r="T53" s="49"/>
      <c r="U53" s="18">
        <f>BCC!U53+Sheet1!U53</f>
        <v>322</v>
      </c>
      <c r="V53" s="49"/>
      <c r="W53" s="18">
        <f>BCC!W53+Sheet1!W53</f>
        <v>322</v>
      </c>
      <c r="X53" s="49"/>
      <c r="Y53" s="18">
        <f>BCC!Y53+Sheet1!Y53</f>
        <v>322</v>
      </c>
      <c r="Z53" s="179"/>
      <c r="AA53" s="286">
        <f t="shared" si="7"/>
        <v>3864</v>
      </c>
      <c r="AB53" s="214"/>
      <c r="AC53" s="205">
        <f t="shared" si="8"/>
        <v>322</v>
      </c>
      <c r="AD53" s="214"/>
      <c r="AE53" s="75"/>
      <c r="AF53" s="169"/>
      <c r="AG53" s="75"/>
      <c r="AH53" s="205">
        <v>5160</v>
      </c>
      <c r="AI53" s="255">
        <f>AH53/AH12</f>
        <v>6.4081058067684124E-3</v>
      </c>
      <c r="AJ53" s="293">
        <f t="shared" si="0"/>
        <v>9346</v>
      </c>
      <c r="AK53" s="53">
        <f t="shared" si="1"/>
        <v>0</v>
      </c>
      <c r="AL53" s="53">
        <f t="shared" si="4"/>
        <v>3864</v>
      </c>
      <c r="AM53" s="53">
        <f t="shared" si="6"/>
        <v>30267.999999999996</v>
      </c>
      <c r="AN53" s="53" t="e">
        <f>#REF!-AM53</f>
        <v>#REF!</v>
      </c>
      <c r="AO53" s="53"/>
    </row>
    <row r="54" spans="1:42">
      <c r="A54" s="99">
        <v>6113</v>
      </c>
      <c r="B54" s="111" t="s">
        <v>13</v>
      </c>
      <c r="C54" s="18">
        <f>BCC!C54+Sheet1!C54</f>
        <v>285</v>
      </c>
      <c r="D54" s="49"/>
      <c r="E54" s="18">
        <f>BCC!E54+Sheet1!E54</f>
        <v>285</v>
      </c>
      <c r="F54" s="49"/>
      <c r="G54" s="18">
        <f>BCC!G54+Sheet1!G54</f>
        <v>285</v>
      </c>
      <c r="H54" s="49"/>
      <c r="I54" s="18">
        <f>BCC!I54+Sheet1!I54</f>
        <v>285</v>
      </c>
      <c r="J54" s="49"/>
      <c r="K54" s="18">
        <f>BCC!K54+Sheet1!K54</f>
        <v>137.9</v>
      </c>
      <c r="L54" s="49"/>
      <c r="M54" s="18">
        <f>BCC!M54+Sheet1!M54</f>
        <v>0</v>
      </c>
      <c r="N54" s="49"/>
      <c r="O54" s="18">
        <f>BCC!O54+Sheet1!O54</f>
        <v>0</v>
      </c>
      <c r="P54" s="49"/>
      <c r="Q54" s="18">
        <f>BCC!Q54+Sheet1!Q54</f>
        <v>0</v>
      </c>
      <c r="R54" s="49"/>
      <c r="S54" s="18">
        <f>BCC!S54+Sheet1!S54</f>
        <v>0</v>
      </c>
      <c r="T54" s="49"/>
      <c r="U54" s="18">
        <f>BCC!U54+Sheet1!U54</f>
        <v>0</v>
      </c>
      <c r="V54" s="49"/>
      <c r="W54" s="18">
        <f>BCC!W54+Sheet1!W54</f>
        <v>0</v>
      </c>
      <c r="X54" s="49"/>
      <c r="Y54" s="18">
        <f>BCC!Y54+Sheet1!Y54</f>
        <v>0</v>
      </c>
      <c r="Z54" s="179"/>
      <c r="AA54" s="286">
        <f t="shared" si="7"/>
        <v>1277.9000000000001</v>
      </c>
      <c r="AB54" s="214"/>
      <c r="AC54" s="205">
        <f t="shared" si="8"/>
        <v>106.49166666666667</v>
      </c>
      <c r="AD54" s="214"/>
      <c r="AE54" s="75"/>
      <c r="AF54" s="169"/>
      <c r="AG54" s="75"/>
      <c r="AH54" s="205">
        <v>0</v>
      </c>
      <c r="AI54" s="255">
        <f>AH54/AH12</f>
        <v>0</v>
      </c>
      <c r="AJ54" s="293">
        <f t="shared" si="0"/>
        <v>1384.3916666666669</v>
      </c>
      <c r="AK54" s="53">
        <f t="shared" si="1"/>
        <v>0</v>
      </c>
      <c r="AL54" s="53">
        <f t="shared" si="4"/>
        <v>1277.9000000000001</v>
      </c>
      <c r="AM54" s="53">
        <f t="shared" si="6"/>
        <v>6654.26</v>
      </c>
      <c r="AN54" s="53" t="e">
        <f>#REF!-AM54</f>
        <v>#REF!</v>
      </c>
      <c r="AO54" s="53"/>
    </row>
    <row r="55" spans="1:42">
      <c r="A55" s="99">
        <v>6114</v>
      </c>
      <c r="B55" s="111" t="s">
        <v>88</v>
      </c>
      <c r="C55" s="18">
        <f>BCC!C55+Sheet1!C55</f>
        <v>550</v>
      </c>
      <c r="D55" s="49"/>
      <c r="E55" s="18">
        <f>BCC!E55+Sheet1!E55</f>
        <v>550</v>
      </c>
      <c r="F55" s="49"/>
      <c r="G55" s="18">
        <f>BCC!G55+Sheet1!G55</f>
        <v>550</v>
      </c>
      <c r="H55" s="49"/>
      <c r="I55" s="18">
        <f>BCC!I55+Sheet1!I55</f>
        <v>550</v>
      </c>
      <c r="J55" s="49"/>
      <c r="K55" s="18">
        <f>BCC!K55+Sheet1!K55</f>
        <v>550</v>
      </c>
      <c r="L55" s="49"/>
      <c r="M55" s="18">
        <f>BCC!M55+Sheet1!M55</f>
        <v>550</v>
      </c>
      <c r="N55" s="49"/>
      <c r="O55" s="18">
        <f>BCC!O55+Sheet1!O55</f>
        <v>550</v>
      </c>
      <c r="P55" s="49"/>
      <c r="Q55" s="18">
        <f>BCC!Q55+Sheet1!Q55</f>
        <v>550</v>
      </c>
      <c r="R55" s="49"/>
      <c r="S55" s="18">
        <f>BCC!S55+Sheet1!S55</f>
        <v>550</v>
      </c>
      <c r="T55" s="49"/>
      <c r="U55" s="18">
        <f>BCC!U55+Sheet1!U55</f>
        <v>550</v>
      </c>
      <c r="V55" s="49"/>
      <c r="W55" s="18">
        <f>BCC!W55+Sheet1!W55</f>
        <v>550</v>
      </c>
      <c r="X55" s="49"/>
      <c r="Y55" s="18">
        <f>BCC!Y55+Sheet1!Y55</f>
        <v>550</v>
      </c>
      <c r="Z55" s="179"/>
      <c r="AA55" s="286">
        <f t="shared" si="7"/>
        <v>6600</v>
      </c>
      <c r="AB55" s="214"/>
      <c r="AC55" s="205">
        <f t="shared" si="8"/>
        <v>550</v>
      </c>
      <c r="AD55" s="214"/>
      <c r="AE55" s="75"/>
      <c r="AF55" s="169"/>
      <c r="AG55" s="75"/>
      <c r="AH55" s="207">
        <v>2750</v>
      </c>
      <c r="AI55" s="255">
        <f>AH55/AH12</f>
        <v>3.4151726683358786E-3</v>
      </c>
      <c r="AJ55" s="293">
        <f t="shared" si="0"/>
        <v>9900</v>
      </c>
      <c r="AK55" s="53">
        <f t="shared" si="1"/>
        <v>0</v>
      </c>
      <c r="AL55" s="53">
        <f t="shared" si="4"/>
        <v>6600</v>
      </c>
      <c r="AM55" s="53">
        <f t="shared" si="6"/>
        <v>51700</v>
      </c>
      <c r="AN55" s="53" t="e">
        <f>#REF!-AM55</f>
        <v>#REF!</v>
      </c>
      <c r="AO55" s="53"/>
    </row>
    <row r="56" spans="1:42">
      <c r="A56" s="99">
        <v>6115</v>
      </c>
      <c r="B56" s="111" t="s">
        <v>14</v>
      </c>
      <c r="C56" s="18">
        <f>BCC!C56+Sheet1!C56</f>
        <v>70</v>
      </c>
      <c r="D56" s="49"/>
      <c r="E56" s="18">
        <f>BCC!E56+Sheet1!E56</f>
        <v>70</v>
      </c>
      <c r="F56" s="49"/>
      <c r="G56" s="18">
        <f>BCC!G56+Sheet1!G56</f>
        <v>70</v>
      </c>
      <c r="H56" s="49"/>
      <c r="I56" s="18">
        <f>BCC!I56+Sheet1!I56</f>
        <v>70</v>
      </c>
      <c r="J56" s="49"/>
      <c r="K56" s="18">
        <f>BCC!K56+Sheet1!K56</f>
        <v>70</v>
      </c>
      <c r="L56" s="49"/>
      <c r="M56" s="18">
        <f>BCC!M56+Sheet1!M56</f>
        <v>70</v>
      </c>
      <c r="N56" s="49"/>
      <c r="O56" s="18">
        <f>BCC!O56+Sheet1!O56</f>
        <v>70</v>
      </c>
      <c r="P56" s="49"/>
      <c r="Q56" s="18">
        <f>BCC!Q56+Sheet1!Q56</f>
        <v>70</v>
      </c>
      <c r="R56" s="49"/>
      <c r="S56" s="18">
        <f>BCC!S56+Sheet1!S56</f>
        <v>70</v>
      </c>
      <c r="T56" s="49"/>
      <c r="U56" s="18">
        <f>BCC!U56+Sheet1!U56</f>
        <v>70</v>
      </c>
      <c r="V56" s="49"/>
      <c r="W56" s="18">
        <f>BCC!W56+Sheet1!W56</f>
        <v>70</v>
      </c>
      <c r="X56" s="49"/>
      <c r="Y56" s="18">
        <f>BCC!Y56+Sheet1!Y56</f>
        <v>70</v>
      </c>
      <c r="Z56" s="179"/>
      <c r="AA56" s="286">
        <f t="shared" si="7"/>
        <v>840</v>
      </c>
      <c r="AB56" s="214"/>
      <c r="AC56" s="205">
        <f t="shared" si="8"/>
        <v>70</v>
      </c>
      <c r="AD56" s="214"/>
      <c r="AE56" s="75"/>
      <c r="AF56" s="169"/>
      <c r="AG56" s="75"/>
      <c r="AH56" s="207">
        <v>900</v>
      </c>
      <c r="AI56" s="255">
        <f>AH56/AH12</f>
        <v>1.1176928732735602E-3</v>
      </c>
      <c r="AJ56" s="293">
        <f t="shared" si="0"/>
        <v>1810</v>
      </c>
      <c r="AK56" s="53">
        <f t="shared" si="1"/>
        <v>0</v>
      </c>
      <c r="AL56" s="53">
        <f t="shared" si="4"/>
        <v>840</v>
      </c>
      <c r="AM56" s="53">
        <f t="shared" si="6"/>
        <v>6580</v>
      </c>
      <c r="AN56" s="53" t="e">
        <f>#REF!-AM56</f>
        <v>#REF!</v>
      </c>
      <c r="AO56" s="53"/>
    </row>
    <row r="57" spans="1:42">
      <c r="A57" s="99">
        <v>6116</v>
      </c>
      <c r="B57" s="111" t="s">
        <v>15</v>
      </c>
      <c r="C57" s="18">
        <f>BCC!C57+Sheet1!C57</f>
        <v>188</v>
      </c>
      <c r="D57" s="49"/>
      <c r="E57" s="18">
        <f>BCC!E57+Sheet1!E57</f>
        <v>188</v>
      </c>
      <c r="F57" s="49"/>
      <c r="G57" s="18">
        <f>BCC!G57+Sheet1!G57</f>
        <v>188</v>
      </c>
      <c r="H57" s="49"/>
      <c r="I57" s="18">
        <f>BCC!I57+Sheet1!I57</f>
        <v>188</v>
      </c>
      <c r="J57" s="49"/>
      <c r="K57" s="18">
        <f>BCC!K57+Sheet1!K57</f>
        <v>188</v>
      </c>
      <c r="L57" s="49"/>
      <c r="M57" s="18">
        <f>BCC!M57+Sheet1!M57</f>
        <v>188</v>
      </c>
      <c r="N57" s="49"/>
      <c r="O57" s="18">
        <f>BCC!O57+Sheet1!O57</f>
        <v>188</v>
      </c>
      <c r="P57" s="49"/>
      <c r="Q57" s="18">
        <f>BCC!Q57+Sheet1!Q57</f>
        <v>188</v>
      </c>
      <c r="R57" s="49"/>
      <c r="S57" s="18">
        <f>BCC!S57+Sheet1!S57</f>
        <v>188</v>
      </c>
      <c r="T57" s="49"/>
      <c r="U57" s="18">
        <f>BCC!U57+Sheet1!U57</f>
        <v>188</v>
      </c>
      <c r="V57" s="49"/>
      <c r="W57" s="18">
        <f>BCC!W57+Sheet1!W57</f>
        <v>188</v>
      </c>
      <c r="X57" s="49"/>
      <c r="Y57" s="18">
        <f>BCC!Y57+Sheet1!Y57</f>
        <v>188</v>
      </c>
      <c r="Z57" s="179"/>
      <c r="AA57" s="286">
        <f t="shared" si="7"/>
        <v>2256</v>
      </c>
      <c r="AB57" s="214"/>
      <c r="AC57" s="205">
        <f t="shared" si="8"/>
        <v>188</v>
      </c>
      <c r="AD57" s="214"/>
      <c r="AE57" s="75"/>
      <c r="AF57" s="169"/>
      <c r="AG57" s="75"/>
      <c r="AH57" s="207">
        <v>1200</v>
      </c>
      <c r="AI57" s="255">
        <f>AH57/AH12</f>
        <v>1.4902571643647471E-3</v>
      </c>
      <c r="AJ57" s="293">
        <f t="shared" si="0"/>
        <v>3644</v>
      </c>
      <c r="AK57" s="53">
        <f t="shared" si="1"/>
        <v>0</v>
      </c>
      <c r="AL57" s="53">
        <f t="shared" si="4"/>
        <v>2256</v>
      </c>
      <c r="AM57" s="53">
        <f t="shared" si="6"/>
        <v>17672.000000000004</v>
      </c>
      <c r="AN57" s="53" t="e">
        <f>#REF!-AM57</f>
        <v>#REF!</v>
      </c>
      <c r="AO57" s="53">
        <v>2097</v>
      </c>
      <c r="AP57" s="1" t="s">
        <v>230</v>
      </c>
    </row>
    <row r="58" spans="1:42">
      <c r="A58" s="99">
        <v>6117</v>
      </c>
      <c r="B58" s="111" t="s">
        <v>16</v>
      </c>
      <c r="C58" s="18">
        <f>BCC!C58+Sheet1!C58</f>
        <v>0</v>
      </c>
      <c r="D58" s="49"/>
      <c r="E58" s="18">
        <f>BCC!E58+Sheet1!E58</f>
        <v>0</v>
      </c>
      <c r="F58" s="49"/>
      <c r="G58" s="18">
        <f>BCC!G58+Sheet1!G58</f>
        <v>0</v>
      </c>
      <c r="H58" s="49"/>
      <c r="I58" s="18">
        <f>BCC!I58+Sheet1!I58</f>
        <v>0</v>
      </c>
      <c r="J58" s="49"/>
      <c r="K58" s="18">
        <f>BCC!K58+Sheet1!K58</f>
        <v>0</v>
      </c>
      <c r="L58" s="49"/>
      <c r="M58" s="18">
        <f>BCC!M58+Sheet1!M58</f>
        <v>0</v>
      </c>
      <c r="N58" s="49"/>
      <c r="O58" s="18">
        <f>BCC!O58+Sheet1!O58</f>
        <v>0</v>
      </c>
      <c r="P58" s="49"/>
      <c r="Q58" s="18">
        <f>BCC!Q58+Sheet1!Q58</f>
        <v>0</v>
      </c>
      <c r="R58" s="49"/>
      <c r="S58" s="18">
        <f>BCC!S58+Sheet1!S58</f>
        <v>0</v>
      </c>
      <c r="T58" s="49"/>
      <c r="U58" s="18">
        <f>BCC!U58+Sheet1!U58</f>
        <v>0</v>
      </c>
      <c r="V58" s="49"/>
      <c r="W58" s="18">
        <f>BCC!W58+Sheet1!W58</f>
        <v>0</v>
      </c>
      <c r="X58" s="49"/>
      <c r="Y58" s="18">
        <f>BCC!Y58+Sheet1!Y58</f>
        <v>0</v>
      </c>
      <c r="Z58" s="179"/>
      <c r="AA58" s="286">
        <f t="shared" si="7"/>
        <v>0</v>
      </c>
      <c r="AB58" s="214"/>
      <c r="AC58" s="205">
        <f t="shared" si="8"/>
        <v>0</v>
      </c>
      <c r="AD58" s="214"/>
      <c r="AE58" s="75"/>
      <c r="AF58" s="169"/>
      <c r="AG58" s="75"/>
      <c r="AH58" s="205">
        <v>0</v>
      </c>
      <c r="AI58" s="255">
        <f>AH58/AH12</f>
        <v>0</v>
      </c>
      <c r="AJ58" s="293">
        <f t="shared" si="0"/>
        <v>0</v>
      </c>
      <c r="AK58" s="53">
        <f t="shared" si="1"/>
        <v>0</v>
      </c>
      <c r="AL58" s="53">
        <f t="shared" si="4"/>
        <v>0</v>
      </c>
      <c r="AM58" s="53">
        <f t="shared" si="6"/>
        <v>0</v>
      </c>
      <c r="AN58" s="53" t="e">
        <f>#REF!-AM58</f>
        <v>#REF!</v>
      </c>
      <c r="AO58" s="53"/>
    </row>
    <row r="59" spans="1:42">
      <c r="A59" s="99">
        <v>6118</v>
      </c>
      <c r="B59" s="112" t="s">
        <v>17</v>
      </c>
      <c r="C59" s="18">
        <f>BCC!C59+Sheet1!C59</f>
        <v>1250</v>
      </c>
      <c r="D59" s="49"/>
      <c r="E59" s="18">
        <f>BCC!E59+Sheet1!E59</f>
        <v>1250</v>
      </c>
      <c r="F59" s="49"/>
      <c r="G59" s="18">
        <f>BCC!G59+Sheet1!G59</f>
        <v>1250</v>
      </c>
      <c r="H59" s="49"/>
      <c r="I59" s="18">
        <f>BCC!I59+Sheet1!I59</f>
        <v>1250</v>
      </c>
      <c r="J59" s="49"/>
      <c r="K59" s="18">
        <f>BCC!K59+Sheet1!K59</f>
        <v>1250</v>
      </c>
      <c r="L59" s="49"/>
      <c r="M59" s="18">
        <f>BCC!M59+Sheet1!M59</f>
        <v>1250</v>
      </c>
      <c r="N59" s="49"/>
      <c r="O59" s="18">
        <f>BCC!O59+Sheet1!O59</f>
        <v>1250</v>
      </c>
      <c r="P59" s="49"/>
      <c r="Q59" s="18">
        <f>BCC!Q59+Sheet1!Q59</f>
        <v>1250</v>
      </c>
      <c r="R59" s="49"/>
      <c r="S59" s="18">
        <f>BCC!S59+Sheet1!S59</f>
        <v>1250</v>
      </c>
      <c r="T59" s="49"/>
      <c r="U59" s="18">
        <f>BCC!U59+Sheet1!U59</f>
        <v>1250</v>
      </c>
      <c r="V59" s="49"/>
      <c r="W59" s="18">
        <f>BCC!W59+Sheet1!W59</f>
        <v>1250</v>
      </c>
      <c r="X59" s="49"/>
      <c r="Y59" s="18">
        <f>BCC!Y59+Sheet1!Y59</f>
        <v>1250</v>
      </c>
      <c r="Z59" s="179"/>
      <c r="AA59" s="286">
        <f t="shared" si="7"/>
        <v>15000</v>
      </c>
      <c r="AB59" s="214"/>
      <c r="AC59" s="205">
        <f t="shared" si="8"/>
        <v>1250</v>
      </c>
      <c r="AD59" s="214"/>
      <c r="AE59" s="170"/>
      <c r="AF59" s="170"/>
      <c r="AG59" s="170"/>
      <c r="AH59" s="207">
        <v>0</v>
      </c>
      <c r="AI59" s="255">
        <f t="shared" ref="AI59" si="9">AH59/AH$5</f>
        <v>0</v>
      </c>
      <c r="AJ59" s="293">
        <f t="shared" si="0"/>
        <v>16250</v>
      </c>
      <c r="AK59" s="53">
        <f t="shared" si="1"/>
        <v>0</v>
      </c>
      <c r="AL59" s="53">
        <f t="shared" si="4"/>
        <v>15000</v>
      </c>
      <c r="AM59" s="53">
        <f t="shared" si="6"/>
        <v>117500</v>
      </c>
      <c r="AN59" s="53" t="e">
        <f>#REF!-AM59</f>
        <v>#REF!</v>
      </c>
      <c r="AO59" s="53" t="s">
        <v>231</v>
      </c>
    </row>
    <row r="60" spans="1:42">
      <c r="A60" s="99">
        <v>6119</v>
      </c>
      <c r="B60" s="111" t="s">
        <v>18</v>
      </c>
      <c r="C60" s="18">
        <f>BCC!C60+Sheet1!C60</f>
        <v>0</v>
      </c>
      <c r="D60" s="49"/>
      <c r="E60" s="18">
        <f>BCC!E60+Sheet1!E60</f>
        <v>0</v>
      </c>
      <c r="F60" s="49"/>
      <c r="G60" s="18">
        <f>BCC!G60+Sheet1!G60</f>
        <v>0</v>
      </c>
      <c r="H60" s="49"/>
      <c r="I60" s="18">
        <f>BCC!I60+Sheet1!I60</f>
        <v>0</v>
      </c>
      <c r="J60" s="49"/>
      <c r="K60" s="18">
        <f>BCC!K60+Sheet1!K60</f>
        <v>0</v>
      </c>
      <c r="L60" s="49"/>
      <c r="M60" s="18">
        <f>BCC!M60+Sheet1!M60</f>
        <v>0</v>
      </c>
      <c r="N60" s="49"/>
      <c r="O60" s="18">
        <f>BCC!O60+Sheet1!O60</f>
        <v>0</v>
      </c>
      <c r="P60" s="49"/>
      <c r="Q60" s="18">
        <f>BCC!Q60+Sheet1!Q60</f>
        <v>0</v>
      </c>
      <c r="R60" s="49"/>
      <c r="S60" s="18">
        <f>BCC!S60+Sheet1!S60</f>
        <v>0</v>
      </c>
      <c r="T60" s="49"/>
      <c r="U60" s="18">
        <f>BCC!U60+Sheet1!U60</f>
        <v>0</v>
      </c>
      <c r="V60" s="49"/>
      <c r="W60" s="18">
        <f>BCC!W60+Sheet1!W60</f>
        <v>0</v>
      </c>
      <c r="X60" s="49"/>
      <c r="Y60" s="18">
        <f>BCC!Y60+Sheet1!Y60</f>
        <v>0</v>
      </c>
      <c r="Z60" s="179"/>
      <c r="AA60" s="286">
        <f t="shared" si="7"/>
        <v>0</v>
      </c>
      <c r="AB60" s="214"/>
      <c r="AC60" s="205">
        <f t="shared" si="8"/>
        <v>0</v>
      </c>
      <c r="AD60" s="214"/>
      <c r="AE60" s="75"/>
      <c r="AF60" s="169"/>
      <c r="AG60" s="75"/>
      <c r="AH60" s="205">
        <v>0</v>
      </c>
      <c r="AI60" s="255">
        <f>AH60/AH12</f>
        <v>0</v>
      </c>
      <c r="AJ60" s="293">
        <f t="shared" si="0"/>
        <v>0</v>
      </c>
      <c r="AK60" s="53">
        <f t="shared" si="1"/>
        <v>0</v>
      </c>
      <c r="AL60" s="53">
        <f t="shared" si="4"/>
        <v>0</v>
      </c>
      <c r="AM60" s="53">
        <f t="shared" si="6"/>
        <v>0</v>
      </c>
      <c r="AN60" s="53" t="e">
        <f>#REF!-AM60</f>
        <v>#REF!</v>
      </c>
      <c r="AO60" s="53"/>
    </row>
    <row r="61" spans="1:42">
      <c r="A61" s="99">
        <v>6120</v>
      </c>
      <c r="B61" s="111" t="s">
        <v>19</v>
      </c>
      <c r="C61" s="18">
        <f>BCC!C61+Sheet1!C61</f>
        <v>0</v>
      </c>
      <c r="D61" s="49"/>
      <c r="E61" s="18">
        <f>BCC!E61+Sheet1!E61</f>
        <v>0</v>
      </c>
      <c r="F61" s="49"/>
      <c r="G61" s="18">
        <f>BCC!G61+Sheet1!G61</f>
        <v>0</v>
      </c>
      <c r="H61" s="49"/>
      <c r="I61" s="18">
        <f>BCC!I61+Sheet1!I61</f>
        <v>0</v>
      </c>
      <c r="J61" s="49"/>
      <c r="K61" s="18">
        <f>BCC!K61+Sheet1!K61</f>
        <v>0</v>
      </c>
      <c r="L61" s="49"/>
      <c r="M61" s="18">
        <f>BCC!M61+Sheet1!M61</f>
        <v>0</v>
      </c>
      <c r="N61" s="49"/>
      <c r="O61" s="18">
        <f>BCC!O61+Sheet1!O61</f>
        <v>0</v>
      </c>
      <c r="P61" s="49"/>
      <c r="Q61" s="18">
        <f>BCC!Q61+Sheet1!Q61</f>
        <v>0</v>
      </c>
      <c r="R61" s="49"/>
      <c r="S61" s="18">
        <f>BCC!S61+Sheet1!S61</f>
        <v>0</v>
      </c>
      <c r="T61" s="49"/>
      <c r="U61" s="18">
        <f>BCC!U61+Sheet1!U61</f>
        <v>0</v>
      </c>
      <c r="V61" s="49"/>
      <c r="W61" s="18">
        <f>BCC!W61+Sheet1!W61</f>
        <v>0</v>
      </c>
      <c r="X61" s="49"/>
      <c r="Y61" s="18">
        <f>BCC!Y61+Sheet1!Y61</f>
        <v>0</v>
      </c>
      <c r="Z61" s="179"/>
      <c r="AA61" s="286">
        <f t="shared" si="7"/>
        <v>0</v>
      </c>
      <c r="AB61" s="214"/>
      <c r="AC61" s="205">
        <f t="shared" si="8"/>
        <v>0</v>
      </c>
      <c r="AD61" s="214"/>
      <c r="AE61" s="75"/>
      <c r="AF61" s="169"/>
      <c r="AG61" s="75"/>
      <c r="AH61" s="205">
        <v>0</v>
      </c>
      <c r="AI61" s="255">
        <f>AH61/AH12</f>
        <v>0</v>
      </c>
      <c r="AJ61" s="293">
        <f t="shared" si="0"/>
        <v>0</v>
      </c>
      <c r="AK61" s="53">
        <f t="shared" si="1"/>
        <v>0</v>
      </c>
      <c r="AL61" s="53">
        <f t="shared" si="4"/>
        <v>0</v>
      </c>
      <c r="AM61" s="53">
        <f t="shared" si="6"/>
        <v>0</v>
      </c>
      <c r="AN61" s="53" t="e">
        <f>#REF!-AM61</f>
        <v>#REF!</v>
      </c>
      <c r="AO61" s="53"/>
    </row>
    <row r="62" spans="1:42">
      <c r="A62" s="2">
        <v>6121</v>
      </c>
      <c r="B62" s="111" t="s">
        <v>20</v>
      </c>
      <c r="C62" s="18">
        <f>BCC!C62+Sheet1!C62</f>
        <v>30</v>
      </c>
      <c r="D62" s="49"/>
      <c r="E62" s="18">
        <f>BCC!E62+Sheet1!E62</f>
        <v>30</v>
      </c>
      <c r="F62" s="49"/>
      <c r="G62" s="18">
        <f>BCC!G62+Sheet1!G62</f>
        <v>30</v>
      </c>
      <c r="H62" s="49"/>
      <c r="I62" s="18">
        <f>BCC!I62+Sheet1!I62</f>
        <v>30</v>
      </c>
      <c r="J62" s="49"/>
      <c r="K62" s="18">
        <f>BCC!K62+Sheet1!K62</f>
        <v>30</v>
      </c>
      <c r="L62" s="49"/>
      <c r="M62" s="18">
        <f>BCC!M62+Sheet1!M62</f>
        <v>30</v>
      </c>
      <c r="N62" s="49"/>
      <c r="O62" s="18">
        <f>BCC!O62+Sheet1!O62</f>
        <v>30</v>
      </c>
      <c r="P62" s="49"/>
      <c r="Q62" s="18">
        <f>BCC!Q62+Sheet1!Q62</f>
        <v>30</v>
      </c>
      <c r="R62" s="49"/>
      <c r="S62" s="18">
        <f>BCC!S62+Sheet1!S62</f>
        <v>30</v>
      </c>
      <c r="T62" s="49"/>
      <c r="U62" s="18">
        <f>BCC!U62+Sheet1!U62</f>
        <v>30</v>
      </c>
      <c r="V62" s="49"/>
      <c r="W62" s="18">
        <f>BCC!W62+Sheet1!W62</f>
        <v>30</v>
      </c>
      <c r="X62" s="49"/>
      <c r="Y62" s="18">
        <f>BCC!Y62+Sheet1!Y62</f>
        <v>30</v>
      </c>
      <c r="Z62" s="179"/>
      <c r="AA62" s="286">
        <f t="shared" si="7"/>
        <v>360</v>
      </c>
      <c r="AB62" s="214"/>
      <c r="AC62" s="205">
        <f t="shared" si="8"/>
        <v>30</v>
      </c>
      <c r="AD62" s="214"/>
      <c r="AE62" s="75"/>
      <c r="AF62" s="169"/>
      <c r="AG62" s="75"/>
      <c r="AH62" s="205">
        <v>600</v>
      </c>
      <c r="AI62" s="255">
        <f>AH62/AH12</f>
        <v>7.4512858218237356E-4</v>
      </c>
      <c r="AJ62" s="293">
        <f t="shared" si="0"/>
        <v>990</v>
      </c>
      <c r="AK62" s="53">
        <f t="shared" si="1"/>
        <v>0</v>
      </c>
      <c r="AL62" s="53">
        <f t="shared" si="4"/>
        <v>360</v>
      </c>
      <c r="AM62" s="53">
        <f t="shared" si="6"/>
        <v>2820</v>
      </c>
      <c r="AN62" s="53" t="e">
        <f>#REF!-AM62</f>
        <v>#REF!</v>
      </c>
      <c r="AO62" s="53"/>
    </row>
    <row r="63" spans="1:42">
      <c r="A63" s="2">
        <v>6122</v>
      </c>
      <c r="B63" s="111" t="s">
        <v>21</v>
      </c>
      <c r="C63" s="18">
        <f>BCC!C63+Sheet1!C63</f>
        <v>0</v>
      </c>
      <c r="D63" s="49"/>
      <c r="E63" s="18">
        <f>BCC!E63+Sheet1!E63</f>
        <v>0</v>
      </c>
      <c r="F63" s="49"/>
      <c r="G63" s="18">
        <f>BCC!G63+Sheet1!G63</f>
        <v>0</v>
      </c>
      <c r="H63" s="49"/>
      <c r="I63" s="18">
        <f>BCC!I63+Sheet1!I63</f>
        <v>0</v>
      </c>
      <c r="J63" s="49"/>
      <c r="K63" s="18">
        <f>BCC!K63+Sheet1!K63</f>
        <v>0</v>
      </c>
      <c r="L63" s="49"/>
      <c r="M63" s="18">
        <f>BCC!M63+Sheet1!M63</f>
        <v>0</v>
      </c>
      <c r="N63" s="49"/>
      <c r="O63" s="18">
        <f>BCC!O63+Sheet1!O63</f>
        <v>0</v>
      </c>
      <c r="P63" s="49"/>
      <c r="Q63" s="18">
        <f>BCC!Q63+Sheet1!Q63</f>
        <v>0</v>
      </c>
      <c r="R63" s="49"/>
      <c r="S63" s="18">
        <f>BCC!S63+Sheet1!S63</f>
        <v>0</v>
      </c>
      <c r="T63" s="49"/>
      <c r="U63" s="18">
        <f>BCC!U63+Sheet1!U63</f>
        <v>0</v>
      </c>
      <c r="V63" s="49"/>
      <c r="W63" s="18">
        <f>BCC!W63+Sheet1!W63</f>
        <v>0</v>
      </c>
      <c r="X63" s="49"/>
      <c r="Y63" s="18">
        <f>BCC!Y63+Sheet1!Y63</f>
        <v>0</v>
      </c>
      <c r="Z63" s="179"/>
      <c r="AA63" s="286">
        <f t="shared" si="7"/>
        <v>0</v>
      </c>
      <c r="AB63" s="214"/>
      <c r="AC63" s="205">
        <f t="shared" si="8"/>
        <v>0</v>
      </c>
      <c r="AD63" s="214"/>
      <c r="AE63" s="75"/>
      <c r="AF63" s="169"/>
      <c r="AG63" s="75"/>
      <c r="AH63" s="205">
        <v>0</v>
      </c>
      <c r="AI63" s="255">
        <f>AH63/AH12</f>
        <v>0</v>
      </c>
      <c r="AJ63" s="293">
        <f t="shared" si="0"/>
        <v>0</v>
      </c>
      <c r="AK63" s="53">
        <f t="shared" si="1"/>
        <v>0</v>
      </c>
      <c r="AL63" s="53">
        <f t="shared" si="4"/>
        <v>0</v>
      </c>
      <c r="AM63" s="53">
        <f t="shared" si="6"/>
        <v>0</v>
      </c>
      <c r="AN63" s="53" t="e">
        <f>#REF!-AM63</f>
        <v>#REF!</v>
      </c>
      <c r="AO63" s="53"/>
    </row>
    <row r="64" spans="1:42">
      <c r="A64" s="2">
        <v>6123</v>
      </c>
      <c r="B64" s="111" t="s">
        <v>22</v>
      </c>
      <c r="C64" s="18">
        <f>BCC!C64+Sheet1!C64</f>
        <v>0</v>
      </c>
      <c r="D64" s="49"/>
      <c r="E64" s="18">
        <f>BCC!E64+Sheet1!E64</f>
        <v>0</v>
      </c>
      <c r="F64" s="49"/>
      <c r="G64" s="18">
        <f>BCC!G64+Sheet1!G64</f>
        <v>0</v>
      </c>
      <c r="H64" s="49"/>
      <c r="I64" s="18">
        <f>BCC!I64+Sheet1!I64</f>
        <v>0</v>
      </c>
      <c r="J64" s="49"/>
      <c r="K64" s="18">
        <f>BCC!K64+Sheet1!K64</f>
        <v>0</v>
      </c>
      <c r="L64" s="49"/>
      <c r="M64" s="18">
        <f>BCC!M64+Sheet1!M64</f>
        <v>0</v>
      </c>
      <c r="N64" s="49"/>
      <c r="O64" s="18">
        <f>BCC!O64+Sheet1!O64</f>
        <v>0</v>
      </c>
      <c r="P64" s="49"/>
      <c r="Q64" s="18">
        <f>BCC!Q64+Sheet1!Q64</f>
        <v>0</v>
      </c>
      <c r="R64" s="49"/>
      <c r="S64" s="18">
        <f>BCC!S64+Sheet1!S64</f>
        <v>0</v>
      </c>
      <c r="T64" s="49"/>
      <c r="U64" s="18">
        <f>BCC!U64+Sheet1!U64</f>
        <v>0</v>
      </c>
      <c r="V64" s="49"/>
      <c r="W64" s="18">
        <f>BCC!W64+Sheet1!W64</f>
        <v>0</v>
      </c>
      <c r="X64" s="49"/>
      <c r="Y64" s="18">
        <f>BCC!Y64+Sheet1!Y64</f>
        <v>0</v>
      </c>
      <c r="Z64" s="179"/>
      <c r="AA64" s="286">
        <f t="shared" si="7"/>
        <v>0</v>
      </c>
      <c r="AB64" s="214"/>
      <c r="AC64" s="205">
        <f t="shared" si="8"/>
        <v>0</v>
      </c>
      <c r="AD64" s="214"/>
      <c r="AE64" s="75"/>
      <c r="AF64" s="169"/>
      <c r="AG64" s="75"/>
      <c r="AH64" s="205">
        <v>0</v>
      </c>
      <c r="AI64" s="255">
        <f>AH64/AH12</f>
        <v>0</v>
      </c>
      <c r="AJ64" s="293">
        <f t="shared" si="0"/>
        <v>0</v>
      </c>
      <c r="AK64" s="53">
        <f t="shared" si="1"/>
        <v>0</v>
      </c>
      <c r="AL64" s="53">
        <f t="shared" si="4"/>
        <v>0</v>
      </c>
      <c r="AM64" s="53">
        <f t="shared" si="6"/>
        <v>0</v>
      </c>
      <c r="AN64" s="53" t="e">
        <f>#REF!-AM64</f>
        <v>#REF!</v>
      </c>
      <c r="AO64" s="53"/>
    </row>
    <row r="65" spans="1:41">
      <c r="A65" s="99">
        <v>6124</v>
      </c>
      <c r="B65" s="111" t="s">
        <v>23</v>
      </c>
      <c r="C65" s="18">
        <f>BCC!C65+Sheet1!C65</f>
        <v>2800</v>
      </c>
      <c r="D65" s="49"/>
      <c r="E65" s="18">
        <f>BCC!E65+Sheet1!E65</f>
        <v>2800</v>
      </c>
      <c r="F65" s="49"/>
      <c r="G65" s="18">
        <f>BCC!G65+Sheet1!G65</f>
        <v>2800</v>
      </c>
      <c r="H65" s="49"/>
      <c r="I65" s="18">
        <f>BCC!I65+Sheet1!I65</f>
        <v>2800</v>
      </c>
      <c r="J65" s="49"/>
      <c r="K65" s="18">
        <f>BCC!K65+Sheet1!K65</f>
        <v>2800</v>
      </c>
      <c r="L65" s="49"/>
      <c r="M65" s="18">
        <f>BCC!M65+Sheet1!M65</f>
        <v>2800</v>
      </c>
      <c r="N65" s="49"/>
      <c r="O65" s="18">
        <f>BCC!O65+Sheet1!O65</f>
        <v>2800</v>
      </c>
      <c r="P65" s="49"/>
      <c r="Q65" s="18">
        <f>BCC!Q65+Sheet1!Q65</f>
        <v>2800</v>
      </c>
      <c r="R65" s="49"/>
      <c r="S65" s="18">
        <f>BCC!S65+Sheet1!S65</f>
        <v>2800</v>
      </c>
      <c r="T65" s="49"/>
      <c r="U65" s="18">
        <f>BCC!U65+Sheet1!U65</f>
        <v>2800</v>
      </c>
      <c r="V65" s="49"/>
      <c r="W65" s="18">
        <f>BCC!W65+Sheet1!W65</f>
        <v>2800</v>
      </c>
      <c r="X65" s="49"/>
      <c r="Y65" s="18">
        <f>BCC!Y65+Sheet1!Y65</f>
        <v>2800</v>
      </c>
      <c r="Z65" s="179"/>
      <c r="AA65" s="286">
        <f t="shared" si="7"/>
        <v>33600</v>
      </c>
      <c r="AB65" s="214"/>
      <c r="AC65" s="205">
        <f t="shared" si="8"/>
        <v>2800</v>
      </c>
      <c r="AD65" s="214"/>
      <c r="AE65" s="75"/>
      <c r="AF65" s="169"/>
      <c r="AG65" s="75"/>
      <c r="AH65" s="205">
        <v>1200</v>
      </c>
      <c r="AI65" s="255">
        <f>AH65/AH12</f>
        <v>1.4902571643647471E-3</v>
      </c>
      <c r="AJ65" s="293">
        <f t="shared" si="0"/>
        <v>37600</v>
      </c>
      <c r="AK65" s="53">
        <f t="shared" si="1"/>
        <v>0</v>
      </c>
      <c r="AL65" s="53">
        <f t="shared" si="4"/>
        <v>33600</v>
      </c>
      <c r="AM65" s="53">
        <f t="shared" si="6"/>
        <v>263200</v>
      </c>
      <c r="AN65" s="53" t="e">
        <f>#REF!-AM65</f>
        <v>#REF!</v>
      </c>
      <c r="AO65" s="53"/>
    </row>
    <row r="66" spans="1:41">
      <c r="A66" s="99">
        <v>6125</v>
      </c>
      <c r="B66" s="111" t="s">
        <v>78</v>
      </c>
      <c r="C66" s="18">
        <f>BCC!C66+Sheet1!C66</f>
        <v>43.35761359694763</v>
      </c>
      <c r="D66" s="49"/>
      <c r="E66" s="18">
        <f>BCC!E66+Sheet1!E66</f>
        <v>43.35761359694763</v>
      </c>
      <c r="F66" s="49"/>
      <c r="G66" s="18">
        <f>BCC!G66+Sheet1!G66</f>
        <v>43.35761359694763</v>
      </c>
      <c r="H66" s="49"/>
      <c r="I66" s="18">
        <f>BCC!I66+Sheet1!I66</f>
        <v>43.35761359694763</v>
      </c>
      <c r="J66" s="49"/>
      <c r="K66" s="18">
        <f>BCC!K66+Sheet1!K66</f>
        <v>43.35761359694763</v>
      </c>
      <c r="L66" s="49"/>
      <c r="M66" s="18">
        <f>BCC!M66+Sheet1!M66</f>
        <v>43.35761359694763</v>
      </c>
      <c r="N66" s="49"/>
      <c r="O66" s="18">
        <f>BCC!O66+Sheet1!O66</f>
        <v>43.35761359694763</v>
      </c>
      <c r="P66" s="49"/>
      <c r="Q66" s="18">
        <f>BCC!Q66+Sheet1!Q66</f>
        <v>43.35761359694763</v>
      </c>
      <c r="R66" s="49"/>
      <c r="S66" s="18">
        <f>BCC!S66+Sheet1!S66</f>
        <v>43.35761359694763</v>
      </c>
      <c r="T66" s="49"/>
      <c r="U66" s="18">
        <f>BCC!U66+Sheet1!U66</f>
        <v>43.35761359694763</v>
      </c>
      <c r="V66" s="49"/>
      <c r="W66" s="18">
        <f>BCC!W66+Sheet1!W66</f>
        <v>43.35761359694763</v>
      </c>
      <c r="X66" s="49"/>
      <c r="Y66" s="18">
        <f>BCC!Y66+Sheet1!Y66</f>
        <v>43.35761359694763</v>
      </c>
      <c r="Z66" s="179"/>
      <c r="AA66" s="286">
        <f t="shared" si="7"/>
        <v>520.29136316337167</v>
      </c>
      <c r="AB66" s="214"/>
      <c r="AC66" s="205">
        <f t="shared" si="8"/>
        <v>43.357613596947637</v>
      </c>
      <c r="AD66" s="214"/>
      <c r="AE66" s="75"/>
      <c r="AF66" s="169"/>
      <c r="AG66" s="75"/>
      <c r="AH66" s="205">
        <v>1375</v>
      </c>
      <c r="AI66" s="255">
        <f>AH66/AH12</f>
        <v>1.7075863341679393E-3</v>
      </c>
      <c r="AJ66" s="293">
        <f t="shared" si="0"/>
        <v>1938.6489767603193</v>
      </c>
      <c r="AK66" s="53">
        <f t="shared" si="1"/>
        <v>0</v>
      </c>
      <c r="AL66" s="53">
        <f t="shared" si="4"/>
        <v>520.29136316337167</v>
      </c>
      <c r="AM66" s="53">
        <f t="shared" si="6"/>
        <v>4075.6156781130771</v>
      </c>
      <c r="AN66" s="53" t="e">
        <f>#REF!-AM66</f>
        <v>#REF!</v>
      </c>
      <c r="AO66" s="53"/>
    </row>
    <row r="67" spans="1:41">
      <c r="A67" s="2">
        <v>6126</v>
      </c>
      <c r="B67" s="111" t="s">
        <v>104</v>
      </c>
      <c r="C67" s="18">
        <f>BCC!C67+Sheet1!C67</f>
        <v>0</v>
      </c>
      <c r="D67" s="49"/>
      <c r="E67" s="18">
        <f>BCC!E67+Sheet1!E67</f>
        <v>0</v>
      </c>
      <c r="F67" s="49"/>
      <c r="G67" s="18">
        <f>BCC!G67+Sheet1!G67</f>
        <v>0</v>
      </c>
      <c r="H67" s="49"/>
      <c r="I67" s="18">
        <f>BCC!I67+Sheet1!I67</f>
        <v>0</v>
      </c>
      <c r="J67" s="49"/>
      <c r="K67" s="18">
        <f>BCC!K67+Sheet1!K67</f>
        <v>0</v>
      </c>
      <c r="L67" s="49"/>
      <c r="M67" s="18">
        <f>BCC!M67+Sheet1!M67</f>
        <v>0</v>
      </c>
      <c r="N67" s="49"/>
      <c r="O67" s="18">
        <f>BCC!O67+Sheet1!O67</f>
        <v>0</v>
      </c>
      <c r="P67" s="49"/>
      <c r="Q67" s="18">
        <f>BCC!Q67+Sheet1!Q67</f>
        <v>0</v>
      </c>
      <c r="R67" s="49"/>
      <c r="S67" s="18">
        <f>BCC!S67+Sheet1!S67</f>
        <v>0</v>
      </c>
      <c r="T67" s="49"/>
      <c r="U67" s="18">
        <f>BCC!U67+Sheet1!U67</f>
        <v>0</v>
      </c>
      <c r="V67" s="49"/>
      <c r="W67" s="18">
        <f>BCC!W67+Sheet1!W67</f>
        <v>0</v>
      </c>
      <c r="X67" s="49"/>
      <c r="Y67" s="18">
        <f>BCC!Y67+Sheet1!Y67</f>
        <v>0</v>
      </c>
      <c r="Z67" s="179"/>
      <c r="AA67" s="286">
        <f t="shared" si="7"/>
        <v>0</v>
      </c>
      <c r="AB67" s="214"/>
      <c r="AC67" s="205">
        <f t="shared" si="8"/>
        <v>0</v>
      </c>
      <c r="AD67" s="214"/>
      <c r="AE67" s="75"/>
      <c r="AF67" s="169"/>
      <c r="AG67" s="75"/>
      <c r="AH67" s="205">
        <v>0</v>
      </c>
      <c r="AI67" s="255">
        <f>AH67/AH12</f>
        <v>0</v>
      </c>
      <c r="AJ67" s="293">
        <f t="shared" si="0"/>
        <v>0</v>
      </c>
      <c r="AK67" s="53">
        <f t="shared" si="1"/>
        <v>0</v>
      </c>
      <c r="AL67" s="53">
        <f t="shared" si="4"/>
        <v>0</v>
      </c>
      <c r="AM67" s="53">
        <f t="shared" si="6"/>
        <v>0</v>
      </c>
      <c r="AN67" s="53" t="e">
        <f>#REF!-AM67</f>
        <v>#REF!</v>
      </c>
      <c r="AO67" s="53"/>
    </row>
    <row r="68" spans="1:41">
      <c r="A68" s="99">
        <v>6127</v>
      </c>
      <c r="B68" s="111" t="s">
        <v>76</v>
      </c>
      <c r="C68" s="18">
        <f>BCC!C68+Sheet1!C68</f>
        <v>304</v>
      </c>
      <c r="D68" s="49"/>
      <c r="E68" s="18">
        <f>BCC!E68+Sheet1!E68</f>
        <v>304</v>
      </c>
      <c r="F68" s="49"/>
      <c r="G68" s="18">
        <f>BCC!G68+Sheet1!G68</f>
        <v>304</v>
      </c>
      <c r="H68" s="49"/>
      <c r="I68" s="18">
        <f>BCC!I68+Sheet1!I68</f>
        <v>304</v>
      </c>
      <c r="J68" s="49"/>
      <c r="K68" s="18">
        <f>BCC!K68+Sheet1!K68</f>
        <v>304</v>
      </c>
      <c r="L68" s="49"/>
      <c r="M68" s="18">
        <f>BCC!M68+Sheet1!M68</f>
        <v>304</v>
      </c>
      <c r="N68" s="49"/>
      <c r="O68" s="18">
        <f>BCC!O68+Sheet1!O68</f>
        <v>304</v>
      </c>
      <c r="P68" s="49"/>
      <c r="Q68" s="18">
        <f>BCC!Q68+Sheet1!Q68</f>
        <v>304</v>
      </c>
      <c r="R68" s="49"/>
      <c r="S68" s="18">
        <f>BCC!S68+Sheet1!S68</f>
        <v>304</v>
      </c>
      <c r="T68" s="49"/>
      <c r="U68" s="18">
        <f>BCC!U68+Sheet1!U68</f>
        <v>304</v>
      </c>
      <c r="V68" s="49"/>
      <c r="W68" s="18">
        <f>BCC!W68+Sheet1!W68</f>
        <v>304</v>
      </c>
      <c r="X68" s="49"/>
      <c r="Y68" s="18">
        <f>BCC!Y68+Sheet1!Y68</f>
        <v>304</v>
      </c>
      <c r="Z68" s="179"/>
      <c r="AA68" s="286">
        <f t="shared" si="7"/>
        <v>3648</v>
      </c>
      <c r="AB68" s="214"/>
      <c r="AC68" s="205">
        <f t="shared" si="8"/>
        <v>304</v>
      </c>
      <c r="AD68" s="214"/>
      <c r="AE68" s="75"/>
      <c r="AF68" s="169"/>
      <c r="AG68" s="75"/>
      <c r="AH68" s="205">
        <v>6000</v>
      </c>
      <c r="AI68" s="255">
        <f>AH68/AH12</f>
        <v>7.4512858218237351E-3</v>
      </c>
      <c r="AJ68" s="293">
        <f t="shared" si="0"/>
        <v>9952</v>
      </c>
      <c r="AK68" s="53">
        <f t="shared" si="1"/>
        <v>0</v>
      </c>
      <c r="AL68" s="53">
        <f t="shared" si="4"/>
        <v>3648</v>
      </c>
      <c r="AM68" s="53">
        <f t="shared" si="6"/>
        <v>28575.999999999993</v>
      </c>
      <c r="AN68" s="53" t="e">
        <f>#REF!-AM68</f>
        <v>#REF!</v>
      </c>
      <c r="AO68" s="53"/>
    </row>
    <row r="69" spans="1:41">
      <c r="A69" s="2">
        <v>6128</v>
      </c>
      <c r="B69" s="111" t="s">
        <v>215</v>
      </c>
      <c r="C69" s="18">
        <f>BCC!C69+Sheet1!C69</f>
        <v>0</v>
      </c>
      <c r="D69" s="49"/>
      <c r="E69" s="18">
        <f>BCC!E69+Sheet1!E69</f>
        <v>0</v>
      </c>
      <c r="F69" s="49"/>
      <c r="G69" s="18">
        <f>BCC!G69+Sheet1!G69</f>
        <v>0</v>
      </c>
      <c r="H69" s="49"/>
      <c r="I69" s="18">
        <f>BCC!I69+Sheet1!I69</f>
        <v>0</v>
      </c>
      <c r="J69" s="49"/>
      <c r="K69" s="18">
        <f>BCC!K69+Sheet1!K69</f>
        <v>0</v>
      </c>
      <c r="L69" s="49"/>
      <c r="M69" s="18">
        <f>BCC!M69+Sheet1!M69</f>
        <v>0</v>
      </c>
      <c r="N69" s="49"/>
      <c r="O69" s="18">
        <f>BCC!O69+Sheet1!O69</f>
        <v>0</v>
      </c>
      <c r="P69" s="49"/>
      <c r="Q69" s="18">
        <f>BCC!Q69+Sheet1!Q69</f>
        <v>0</v>
      </c>
      <c r="R69" s="49"/>
      <c r="S69" s="18">
        <f>BCC!S69+Sheet1!S69</f>
        <v>0</v>
      </c>
      <c r="T69" s="49"/>
      <c r="U69" s="18">
        <f>BCC!U69+Sheet1!U69</f>
        <v>0</v>
      </c>
      <c r="V69" s="49"/>
      <c r="W69" s="18">
        <f>BCC!W69+Sheet1!W69</f>
        <v>0</v>
      </c>
      <c r="X69" s="49"/>
      <c r="Y69" s="18">
        <f>BCC!Y69+Sheet1!Y69</f>
        <v>0</v>
      </c>
      <c r="Z69" s="179"/>
      <c r="AA69" s="286">
        <f t="shared" si="7"/>
        <v>0</v>
      </c>
      <c r="AB69" s="214"/>
      <c r="AC69" s="205">
        <f t="shared" si="8"/>
        <v>0</v>
      </c>
      <c r="AD69" s="214"/>
      <c r="AE69" s="75"/>
      <c r="AF69" s="169"/>
      <c r="AG69" s="75"/>
      <c r="AH69" s="205">
        <v>0</v>
      </c>
      <c r="AI69" s="255"/>
      <c r="AJ69" s="293">
        <f t="shared" ref="AJ69:AJ115" si="10">SUM(AA69+AC69+AH69)</f>
        <v>0</v>
      </c>
      <c r="AK69" s="53">
        <f t="shared" ref="AK69:AK148" si="11">AA69-AL69</f>
        <v>0</v>
      </c>
      <c r="AL69" s="53">
        <f t="shared" si="4"/>
        <v>0</v>
      </c>
      <c r="AM69" s="53">
        <f t="shared" si="6"/>
        <v>0</v>
      </c>
      <c r="AN69" s="53" t="e">
        <f>#REF!-AM69</f>
        <v>#REF!</v>
      </c>
      <c r="AO69" s="53"/>
    </row>
    <row r="70" spans="1:41" s="408" customFormat="1">
      <c r="A70" s="2">
        <v>6131</v>
      </c>
      <c r="B70" s="111" t="s">
        <v>319</v>
      </c>
      <c r="C70" s="18">
        <f>BCC!C70+Sheet1!C70</f>
        <v>69.372181755116202</v>
      </c>
      <c r="D70" s="49"/>
      <c r="E70" s="18">
        <f>BCC!E70+Sheet1!E70</f>
        <v>69.372181755116202</v>
      </c>
      <c r="F70" s="49"/>
      <c r="G70" s="18">
        <f>BCC!G70+Sheet1!G70</f>
        <v>69.372181755116202</v>
      </c>
      <c r="H70" s="49"/>
      <c r="I70" s="18">
        <f>BCC!I70+Sheet1!I70</f>
        <v>69.372181755116202</v>
      </c>
      <c r="J70" s="49"/>
      <c r="K70" s="18">
        <f>BCC!K70+Sheet1!K70</f>
        <v>69.372181755116202</v>
      </c>
      <c r="L70" s="49"/>
      <c r="M70" s="18">
        <f>BCC!M70+Sheet1!M70</f>
        <v>69.372181755116202</v>
      </c>
      <c r="N70" s="49"/>
      <c r="O70" s="18">
        <f>BCC!O70+Sheet1!O70</f>
        <v>69.372181755116202</v>
      </c>
      <c r="P70" s="49"/>
      <c r="Q70" s="18">
        <f>BCC!Q70+Sheet1!Q70</f>
        <v>69.372181755116202</v>
      </c>
      <c r="R70" s="49"/>
      <c r="S70" s="18">
        <f>BCC!S70+Sheet1!S70</f>
        <v>69.372181755116202</v>
      </c>
      <c r="T70" s="49"/>
      <c r="U70" s="18">
        <f>BCC!U70+Sheet1!U70</f>
        <v>69.372181755116202</v>
      </c>
      <c r="V70" s="49"/>
      <c r="W70" s="18">
        <f>BCC!W70+Sheet1!W70</f>
        <v>69.372181755116202</v>
      </c>
      <c r="X70" s="49"/>
      <c r="Y70" s="18">
        <f>BCC!Y70+Sheet1!Y70</f>
        <v>69.372181755116202</v>
      </c>
      <c r="Z70" s="179"/>
      <c r="AA70" s="286">
        <f t="shared" si="7"/>
        <v>832.46618106139465</v>
      </c>
      <c r="AB70" s="214"/>
      <c r="AC70" s="205">
        <f t="shared" si="8"/>
        <v>69.372181755116216</v>
      </c>
      <c r="AD70" s="214"/>
      <c r="AE70" s="75"/>
      <c r="AF70" s="169"/>
      <c r="AG70" s="75"/>
      <c r="AH70" s="462"/>
      <c r="AI70" s="255"/>
      <c r="AJ70" s="293"/>
      <c r="AK70" s="53"/>
      <c r="AL70" s="53"/>
      <c r="AM70" s="53"/>
      <c r="AN70" s="53"/>
      <c r="AO70" s="53"/>
    </row>
    <row r="71" spans="1:41" s="408" customFormat="1">
      <c r="A71" s="2">
        <v>6132</v>
      </c>
      <c r="B71" s="111" t="s">
        <v>320</v>
      </c>
      <c r="C71" s="18">
        <f>BCC!C71+Sheet1!C71</f>
        <v>4.7693374956642387</v>
      </c>
      <c r="D71" s="49"/>
      <c r="E71" s="18">
        <f>BCC!E71+Sheet1!E71</f>
        <v>4.7693374956642387</v>
      </c>
      <c r="F71" s="49"/>
      <c r="G71" s="18">
        <f>BCC!G71+Sheet1!G71</f>
        <v>4.7693374956642387</v>
      </c>
      <c r="H71" s="49"/>
      <c r="I71" s="18">
        <f>BCC!I71+Sheet1!I71</f>
        <v>4.7693374956642387</v>
      </c>
      <c r="J71" s="49"/>
      <c r="K71" s="18">
        <f>BCC!K71+Sheet1!K71</f>
        <v>4.7693374956642387</v>
      </c>
      <c r="L71" s="49"/>
      <c r="M71" s="18">
        <f>BCC!M71+Sheet1!M71</f>
        <v>4.7693374956642387</v>
      </c>
      <c r="N71" s="49"/>
      <c r="O71" s="18">
        <f>BCC!O71+Sheet1!O71</f>
        <v>4.7693374956642387</v>
      </c>
      <c r="P71" s="49"/>
      <c r="Q71" s="18">
        <f>BCC!Q71+Sheet1!Q71</f>
        <v>4.7693374956642387</v>
      </c>
      <c r="R71" s="49"/>
      <c r="S71" s="18">
        <f>BCC!S71+Sheet1!S71</f>
        <v>4.7693374956642387</v>
      </c>
      <c r="T71" s="49"/>
      <c r="U71" s="18">
        <f>BCC!U71+Sheet1!U71</f>
        <v>4.7693374956642387</v>
      </c>
      <c r="V71" s="49"/>
      <c r="W71" s="18">
        <f>BCC!W71+Sheet1!W71</f>
        <v>4.7693374956642387</v>
      </c>
      <c r="X71" s="49"/>
      <c r="Y71" s="18">
        <f>BCC!Y71+Sheet1!Y71</f>
        <v>4.7693374956642387</v>
      </c>
      <c r="Z71" s="179"/>
      <c r="AA71" s="286">
        <f t="shared" si="7"/>
        <v>57.232049947970864</v>
      </c>
      <c r="AB71" s="214"/>
      <c r="AC71" s="205">
        <f t="shared" si="8"/>
        <v>4.7693374956642387</v>
      </c>
      <c r="AD71" s="214"/>
      <c r="AE71" s="75"/>
      <c r="AF71" s="169"/>
      <c r="AG71" s="75"/>
      <c r="AH71" s="462"/>
      <c r="AI71" s="255"/>
      <c r="AJ71" s="293"/>
      <c r="AK71" s="53"/>
      <c r="AL71" s="53"/>
      <c r="AM71" s="53"/>
      <c r="AN71" s="53"/>
      <c r="AO71" s="53"/>
    </row>
    <row r="72" spans="1:41" s="408" customFormat="1">
      <c r="A72" s="2">
        <v>6133</v>
      </c>
      <c r="B72" s="111" t="s">
        <v>321</v>
      </c>
      <c r="C72" s="18">
        <f>BCC!C72+Sheet1!C72</f>
        <v>10</v>
      </c>
      <c r="D72" s="49"/>
      <c r="E72" s="18">
        <f>BCC!E72+Sheet1!E72</f>
        <v>10</v>
      </c>
      <c r="F72" s="49"/>
      <c r="G72" s="18">
        <f>BCC!G72+Sheet1!G72</f>
        <v>10</v>
      </c>
      <c r="H72" s="49"/>
      <c r="I72" s="18">
        <f>BCC!I72+Sheet1!I72</f>
        <v>10</v>
      </c>
      <c r="J72" s="49"/>
      <c r="K72" s="18">
        <f>BCC!K72+Sheet1!K72</f>
        <v>10</v>
      </c>
      <c r="L72" s="49"/>
      <c r="M72" s="18">
        <f>BCC!M72+Sheet1!M72</f>
        <v>10</v>
      </c>
      <c r="N72" s="49"/>
      <c r="O72" s="18">
        <f>BCC!O72+Sheet1!O72</f>
        <v>10</v>
      </c>
      <c r="P72" s="49"/>
      <c r="Q72" s="18">
        <f>BCC!Q72+Sheet1!Q72</f>
        <v>10</v>
      </c>
      <c r="R72" s="49"/>
      <c r="S72" s="18">
        <f>BCC!S72+Sheet1!S72</f>
        <v>10</v>
      </c>
      <c r="T72" s="49"/>
      <c r="U72" s="18">
        <f>BCC!U72+Sheet1!U72</f>
        <v>10</v>
      </c>
      <c r="V72" s="49"/>
      <c r="W72" s="18">
        <f>BCC!W72+Sheet1!W72</f>
        <v>10</v>
      </c>
      <c r="X72" s="49"/>
      <c r="Y72" s="18">
        <f>BCC!Y72+Sheet1!Y72</f>
        <v>10</v>
      </c>
      <c r="Z72" s="179"/>
      <c r="AA72" s="286">
        <f t="shared" si="7"/>
        <v>120</v>
      </c>
      <c r="AB72" s="214"/>
      <c r="AC72" s="205">
        <f t="shared" si="8"/>
        <v>10</v>
      </c>
      <c r="AD72" s="214"/>
      <c r="AE72" s="75"/>
      <c r="AF72" s="169"/>
      <c r="AG72" s="75"/>
      <c r="AH72" s="462"/>
      <c r="AI72" s="255"/>
      <c r="AJ72" s="293"/>
      <c r="AK72" s="53"/>
      <c r="AL72" s="53"/>
      <c r="AM72" s="53"/>
      <c r="AN72" s="53"/>
      <c r="AO72" s="53"/>
    </row>
    <row r="73" spans="1:41" s="408" customFormat="1">
      <c r="A73" s="2">
        <v>6134</v>
      </c>
      <c r="B73" s="111" t="s">
        <v>322</v>
      </c>
      <c r="C73" s="18">
        <f>BCC!C73+Sheet1!C73</f>
        <v>12.14</v>
      </c>
      <c r="D73" s="49"/>
      <c r="E73" s="18">
        <f>BCC!E73+Sheet1!E73</f>
        <v>12.14</v>
      </c>
      <c r="F73" s="49"/>
      <c r="G73" s="18">
        <f>BCC!G73+Sheet1!G73</f>
        <v>12.14</v>
      </c>
      <c r="H73" s="49"/>
      <c r="I73" s="18">
        <f>BCC!I73+Sheet1!I73</f>
        <v>12.14</v>
      </c>
      <c r="J73" s="49"/>
      <c r="K73" s="18">
        <f>BCC!K73+Sheet1!K73</f>
        <v>12.14</v>
      </c>
      <c r="L73" s="49"/>
      <c r="M73" s="18">
        <f>BCC!M73+Sheet1!M73</f>
        <v>12.14</v>
      </c>
      <c r="N73" s="49"/>
      <c r="O73" s="18">
        <f>BCC!O73+Sheet1!O73</f>
        <v>12.14</v>
      </c>
      <c r="P73" s="49"/>
      <c r="Q73" s="18">
        <f>BCC!Q73+Sheet1!Q73</f>
        <v>12.14</v>
      </c>
      <c r="R73" s="49"/>
      <c r="S73" s="18">
        <f>BCC!S73+Sheet1!S73</f>
        <v>12.14</v>
      </c>
      <c r="T73" s="49"/>
      <c r="U73" s="18">
        <f>BCC!U73+Sheet1!U73</f>
        <v>12.14</v>
      </c>
      <c r="V73" s="49"/>
      <c r="W73" s="18">
        <f>BCC!W73+Sheet1!W73</f>
        <v>12.14</v>
      </c>
      <c r="X73" s="49"/>
      <c r="Y73" s="18">
        <f>BCC!Y73+Sheet1!Y73</f>
        <v>12.14</v>
      </c>
      <c r="Z73" s="179"/>
      <c r="AA73" s="286">
        <f t="shared" si="7"/>
        <v>145.68</v>
      </c>
      <c r="AB73" s="214"/>
      <c r="AC73" s="205">
        <f t="shared" si="8"/>
        <v>12.14</v>
      </c>
      <c r="AD73" s="214"/>
      <c r="AE73" s="75"/>
      <c r="AF73" s="169"/>
      <c r="AG73" s="75"/>
      <c r="AH73" s="462"/>
      <c r="AI73" s="255"/>
      <c r="AJ73" s="293"/>
      <c r="AK73" s="53"/>
      <c r="AL73" s="53"/>
      <c r="AM73" s="53"/>
      <c r="AN73" s="53"/>
      <c r="AO73" s="53"/>
    </row>
    <row r="74" spans="1:41" s="408" customFormat="1">
      <c r="A74" s="2">
        <v>6135</v>
      </c>
      <c r="B74" s="111" t="s">
        <v>323</v>
      </c>
      <c r="C74" s="18">
        <f>BCC!C74+Sheet1!C74</f>
        <v>0</v>
      </c>
      <c r="D74" s="49"/>
      <c r="E74" s="18">
        <f>BCC!E74+Sheet1!E74</f>
        <v>0</v>
      </c>
      <c r="F74" s="49"/>
      <c r="G74" s="18">
        <f>BCC!G74+Sheet1!G74</f>
        <v>0</v>
      </c>
      <c r="H74" s="49"/>
      <c r="I74" s="18">
        <f>BCC!I74+Sheet1!I74</f>
        <v>0</v>
      </c>
      <c r="J74" s="49"/>
      <c r="K74" s="18">
        <f>BCC!K74+Sheet1!K74</f>
        <v>0</v>
      </c>
      <c r="L74" s="49"/>
      <c r="M74" s="18">
        <f>BCC!M74+Sheet1!M74</f>
        <v>0</v>
      </c>
      <c r="N74" s="49"/>
      <c r="O74" s="18">
        <f>BCC!O74+Sheet1!O74</f>
        <v>0</v>
      </c>
      <c r="P74" s="49"/>
      <c r="Q74" s="18">
        <f>BCC!Q74+Sheet1!Q74</f>
        <v>0</v>
      </c>
      <c r="R74" s="49"/>
      <c r="S74" s="18">
        <f>BCC!S74+Sheet1!S74</f>
        <v>0</v>
      </c>
      <c r="T74" s="49"/>
      <c r="U74" s="18">
        <f>BCC!U74+Sheet1!U74</f>
        <v>0</v>
      </c>
      <c r="V74" s="49"/>
      <c r="W74" s="18">
        <f>BCC!W74+Sheet1!W74</f>
        <v>0</v>
      </c>
      <c r="X74" s="49"/>
      <c r="Y74" s="18">
        <f>BCC!Y74+Sheet1!Y74</f>
        <v>0</v>
      </c>
      <c r="Z74" s="179"/>
      <c r="AA74" s="286">
        <f t="shared" si="7"/>
        <v>0</v>
      </c>
      <c r="AB74" s="214"/>
      <c r="AC74" s="205">
        <f t="shared" si="8"/>
        <v>0</v>
      </c>
      <c r="AD74" s="214"/>
      <c r="AE74" s="75"/>
      <c r="AF74" s="169"/>
      <c r="AG74" s="75"/>
      <c r="AH74" s="462"/>
      <c r="AI74" s="255"/>
      <c r="AJ74" s="293"/>
      <c r="AK74" s="53"/>
      <c r="AL74" s="53"/>
      <c r="AM74" s="53"/>
      <c r="AN74" s="53"/>
      <c r="AO74" s="53"/>
    </row>
    <row r="75" spans="1:41" s="408" customFormat="1">
      <c r="A75" s="2">
        <v>6136</v>
      </c>
      <c r="B75" s="111" t="s">
        <v>332</v>
      </c>
      <c r="C75" s="18">
        <f>BCC!C75+Sheet1!C75</f>
        <v>15.61</v>
      </c>
      <c r="D75" s="49"/>
      <c r="E75" s="18">
        <f>BCC!E75+Sheet1!E75</f>
        <v>15.61</v>
      </c>
      <c r="F75" s="49"/>
      <c r="G75" s="18">
        <f>BCC!G75+Sheet1!G75</f>
        <v>15.61</v>
      </c>
      <c r="H75" s="49"/>
      <c r="I75" s="18">
        <f>BCC!I75+Sheet1!I75</f>
        <v>15.61</v>
      </c>
      <c r="J75" s="49"/>
      <c r="K75" s="18">
        <f>BCC!K75+Sheet1!K75</f>
        <v>15.61</v>
      </c>
      <c r="L75" s="49"/>
      <c r="M75" s="18">
        <f>BCC!M75+Sheet1!M75</f>
        <v>15.61</v>
      </c>
      <c r="N75" s="49"/>
      <c r="O75" s="18">
        <f>BCC!O75+Sheet1!O75</f>
        <v>15.61</v>
      </c>
      <c r="P75" s="49"/>
      <c r="Q75" s="18">
        <f>BCC!Q75+Sheet1!Q75</f>
        <v>15.61</v>
      </c>
      <c r="R75" s="49"/>
      <c r="S75" s="18">
        <f>BCC!S75+Sheet1!S75</f>
        <v>15.61</v>
      </c>
      <c r="T75" s="49"/>
      <c r="U75" s="18">
        <f>BCC!U75+Sheet1!U75</f>
        <v>15.61</v>
      </c>
      <c r="V75" s="49"/>
      <c r="W75" s="18">
        <f>BCC!W75+Sheet1!W75</f>
        <v>15.61</v>
      </c>
      <c r="X75" s="49"/>
      <c r="Y75" s="18">
        <f>BCC!Y75+Sheet1!Y75</f>
        <v>15.61</v>
      </c>
      <c r="Z75" s="179"/>
      <c r="AA75" s="286">
        <f t="shared" si="7"/>
        <v>187.32000000000005</v>
      </c>
      <c r="AB75" s="214"/>
      <c r="AC75" s="205">
        <f t="shared" si="8"/>
        <v>15.610000000000005</v>
      </c>
      <c r="AD75" s="214"/>
      <c r="AE75" s="75"/>
      <c r="AF75" s="169"/>
      <c r="AG75" s="75"/>
      <c r="AH75" s="462"/>
      <c r="AI75" s="255"/>
      <c r="AJ75" s="293"/>
      <c r="AK75" s="53"/>
      <c r="AL75" s="53"/>
      <c r="AM75" s="53"/>
      <c r="AN75" s="53"/>
      <c r="AO75" s="53"/>
    </row>
    <row r="76" spans="1:41" ht="15.75" thickBot="1">
      <c r="A76" s="4">
        <v>6199</v>
      </c>
      <c r="B76" s="113" t="s">
        <v>24</v>
      </c>
      <c r="C76" s="27">
        <f>BCC!C76+Sheet1!C76</f>
        <v>36537.289132847734</v>
      </c>
      <c r="D76" s="27"/>
      <c r="E76" s="27">
        <f>BCC!E76+Sheet1!E76</f>
        <v>36537.289132847734</v>
      </c>
      <c r="F76" s="27"/>
      <c r="G76" s="27">
        <f>BCC!G76+Sheet1!G76</f>
        <v>36537.289132847734</v>
      </c>
      <c r="H76" s="27"/>
      <c r="I76" s="27">
        <f>BCC!I76+Sheet1!I76</f>
        <v>36537.289132847734</v>
      </c>
      <c r="J76" s="27"/>
      <c r="K76" s="27">
        <f>BCC!K76+Sheet1!K76</f>
        <v>36390.189132847736</v>
      </c>
      <c r="L76" s="27"/>
      <c r="M76" s="27">
        <f>BCC!M76+Sheet1!M76</f>
        <v>36252.289132847734</v>
      </c>
      <c r="N76" s="27"/>
      <c r="O76" s="27">
        <f>BCC!O76+Sheet1!O76</f>
        <v>36252.289132847734</v>
      </c>
      <c r="P76" s="27"/>
      <c r="Q76" s="27">
        <f>BCC!Q76+Sheet1!Q76</f>
        <v>36252.289132847734</v>
      </c>
      <c r="R76" s="27"/>
      <c r="S76" s="27">
        <f>BCC!S76+Sheet1!S76</f>
        <v>36252.289132847734</v>
      </c>
      <c r="T76" s="27"/>
      <c r="U76" s="27">
        <f>BCC!U76+Sheet1!U76</f>
        <v>36252.289132847734</v>
      </c>
      <c r="V76" s="27"/>
      <c r="W76" s="27">
        <f>BCC!W76+Sheet1!W76</f>
        <v>36252.289132847734</v>
      </c>
      <c r="X76" s="27"/>
      <c r="Y76" s="27">
        <f>BCC!Y76+Sheet1!Y76</f>
        <v>37591.034132847737</v>
      </c>
      <c r="Z76" s="27"/>
      <c r="AA76" s="27">
        <f t="shared" si="7"/>
        <v>437644.11459417286</v>
      </c>
      <c r="AB76" s="27"/>
      <c r="AC76" s="27">
        <f t="shared" si="8"/>
        <v>36470.342882847741</v>
      </c>
      <c r="AD76" s="27"/>
      <c r="AE76" s="75"/>
      <c r="AF76" s="169"/>
      <c r="AG76" s="75"/>
      <c r="AH76" s="211">
        <f>SUM(AH42:AH69)</f>
        <v>135144.62900000002</v>
      </c>
      <c r="AI76" s="259">
        <f>AH76/AH12</f>
        <v>0.16783354299388817</v>
      </c>
      <c r="AJ76" s="297">
        <f t="shared" si="10"/>
        <v>609259.08647702064</v>
      </c>
      <c r="AK76" s="53">
        <f t="shared" si="11"/>
        <v>0</v>
      </c>
      <c r="AL76" s="53">
        <f t="shared" ref="AL76:AL148" si="12">C76+E76+G76+I76+K76+M76+O76+Q76+S76+U76+W76+Y76</f>
        <v>437644.11459417286</v>
      </c>
      <c r="AM76" s="53">
        <f t="shared" si="6"/>
        <v>3426953.6414876878</v>
      </c>
      <c r="AN76" s="53" t="e">
        <f>#REF!-AM76</f>
        <v>#REF!</v>
      </c>
      <c r="AO76" s="53"/>
    </row>
    <row r="77" spans="1:41" ht="15.75" thickTop="1">
      <c r="A77" s="99">
        <v>6201</v>
      </c>
      <c r="B77" s="112" t="s">
        <v>25</v>
      </c>
      <c r="C77" s="18">
        <f>BCC!C77+Sheet1!C77</f>
        <v>5220</v>
      </c>
      <c r="D77" s="49"/>
      <c r="E77" s="18">
        <f>BCC!E77+Sheet1!E77</f>
        <v>5220</v>
      </c>
      <c r="F77" s="49"/>
      <c r="G77" s="18">
        <f>BCC!G77+Sheet1!G77</f>
        <v>5220</v>
      </c>
      <c r="H77" s="49"/>
      <c r="I77" s="18">
        <f>BCC!I77+Sheet1!I77</f>
        <v>5220</v>
      </c>
      <c r="J77" s="49"/>
      <c r="K77" s="18">
        <f>BCC!K77+Sheet1!K77</f>
        <v>5220</v>
      </c>
      <c r="L77" s="49"/>
      <c r="M77" s="18">
        <f>BCC!M77+Sheet1!M77</f>
        <v>5220</v>
      </c>
      <c r="N77" s="49"/>
      <c r="O77" s="18">
        <f>BCC!O77+Sheet1!O77</f>
        <v>5220</v>
      </c>
      <c r="P77" s="49"/>
      <c r="Q77" s="18">
        <f>BCC!Q77+Sheet1!Q77</f>
        <v>5220</v>
      </c>
      <c r="R77" s="49"/>
      <c r="S77" s="18">
        <f>BCC!S77+Sheet1!S77</f>
        <v>5220</v>
      </c>
      <c r="T77" s="49"/>
      <c r="U77" s="18">
        <f>BCC!U77+Sheet1!U77</f>
        <v>5220</v>
      </c>
      <c r="V77" s="49"/>
      <c r="W77" s="18">
        <f>BCC!W77+Sheet1!W77</f>
        <v>5220</v>
      </c>
      <c r="X77" s="49"/>
      <c r="Y77" s="18">
        <f>BCC!Y77+Sheet1!Y77</f>
        <v>5220</v>
      </c>
      <c r="Z77" s="179"/>
      <c r="AA77" s="286">
        <f t="shared" si="7"/>
        <v>62640</v>
      </c>
      <c r="AB77" s="214"/>
      <c r="AC77" s="205">
        <f t="shared" si="8"/>
        <v>5220</v>
      </c>
      <c r="AD77" s="214"/>
      <c r="AE77" s="75"/>
      <c r="AF77" s="169"/>
      <c r="AG77" s="75"/>
      <c r="AH77" s="208">
        <v>84307.301999999996</v>
      </c>
      <c r="AI77" s="255">
        <f>AH77/AH12</f>
        <v>0.10469963401146865</v>
      </c>
      <c r="AJ77" s="293">
        <f t="shared" si="10"/>
        <v>152167.302</v>
      </c>
      <c r="AK77" s="53">
        <f t="shared" si="11"/>
        <v>0</v>
      </c>
      <c r="AL77" s="53">
        <f t="shared" si="12"/>
        <v>62640</v>
      </c>
      <c r="AM77" s="53">
        <f t="shared" si="6"/>
        <v>490680</v>
      </c>
      <c r="AN77" s="53" t="e">
        <f>#REF!-AM77</f>
        <v>#REF!</v>
      </c>
      <c r="AO77" s="53"/>
    </row>
    <row r="78" spans="1:41">
      <c r="A78" s="2">
        <v>6202</v>
      </c>
      <c r="B78" s="112" t="s">
        <v>26</v>
      </c>
      <c r="C78" s="18">
        <f>BCC!C78+Sheet1!C78</f>
        <v>2610</v>
      </c>
      <c r="D78" s="49"/>
      <c r="E78" s="18">
        <f>BCC!E78+Sheet1!E78</f>
        <v>2610</v>
      </c>
      <c r="F78" s="49"/>
      <c r="G78" s="18">
        <f>BCC!G78+Sheet1!G78</f>
        <v>2610</v>
      </c>
      <c r="H78" s="49"/>
      <c r="I78" s="18">
        <f>BCC!I78+Sheet1!I78</f>
        <v>2610</v>
      </c>
      <c r="J78" s="49"/>
      <c r="K78" s="18">
        <f>BCC!K78+Sheet1!K78</f>
        <v>2610</v>
      </c>
      <c r="L78" s="49"/>
      <c r="M78" s="18">
        <f>BCC!M78+Sheet1!M78</f>
        <v>2610</v>
      </c>
      <c r="N78" s="49"/>
      <c r="O78" s="18">
        <f>BCC!O78+Sheet1!O78</f>
        <v>2610</v>
      </c>
      <c r="P78" s="49"/>
      <c r="Q78" s="18">
        <f>BCC!Q78+Sheet1!Q78</f>
        <v>2610</v>
      </c>
      <c r="R78" s="49"/>
      <c r="S78" s="18">
        <f>BCC!S78+Sheet1!S78</f>
        <v>2610</v>
      </c>
      <c r="T78" s="49"/>
      <c r="U78" s="18">
        <f>BCC!U78+Sheet1!U78</f>
        <v>2610</v>
      </c>
      <c r="V78" s="49"/>
      <c r="W78" s="18">
        <f>BCC!W78+Sheet1!W78</f>
        <v>2610</v>
      </c>
      <c r="X78" s="49"/>
      <c r="Y78" s="18">
        <f>BCC!Y78+Sheet1!Y78</f>
        <v>2610</v>
      </c>
      <c r="Z78" s="179"/>
      <c r="AA78" s="286">
        <f t="shared" si="7"/>
        <v>31320</v>
      </c>
      <c r="AB78" s="214"/>
      <c r="AC78" s="205">
        <f t="shared" si="8"/>
        <v>2610</v>
      </c>
      <c r="AD78" s="214"/>
      <c r="AE78" s="75"/>
      <c r="AF78" s="169"/>
      <c r="AG78" s="75"/>
      <c r="AH78" s="208">
        <v>24087.8</v>
      </c>
      <c r="AI78" s="255">
        <f>AH78/AH12</f>
        <v>2.9914180436487629E-2</v>
      </c>
      <c r="AJ78" s="293">
        <f t="shared" si="10"/>
        <v>58017.8</v>
      </c>
      <c r="AK78" s="53">
        <f t="shared" si="11"/>
        <v>0</v>
      </c>
      <c r="AL78" s="53">
        <f t="shared" si="12"/>
        <v>31320</v>
      </c>
      <c r="AM78" s="53">
        <f t="shared" si="6"/>
        <v>245340</v>
      </c>
      <c r="AN78" s="53" t="e">
        <f>#REF!-AM78</f>
        <v>#REF!</v>
      </c>
      <c r="AO78" s="53"/>
    </row>
    <row r="79" spans="1:41">
      <c r="A79" s="2">
        <v>6203</v>
      </c>
      <c r="B79" s="112" t="s">
        <v>27</v>
      </c>
      <c r="C79" s="18">
        <f>BCC!C79+Sheet1!C79</f>
        <v>870</v>
      </c>
      <c r="D79" s="49"/>
      <c r="E79" s="18">
        <f>BCC!E79+Sheet1!E79</f>
        <v>870</v>
      </c>
      <c r="F79" s="49"/>
      <c r="G79" s="18">
        <f>BCC!G79+Sheet1!G79</f>
        <v>870</v>
      </c>
      <c r="H79" s="49"/>
      <c r="I79" s="18">
        <f>BCC!I79+Sheet1!I79</f>
        <v>870</v>
      </c>
      <c r="J79" s="49"/>
      <c r="K79" s="18">
        <f>BCC!K79+Sheet1!K79</f>
        <v>870</v>
      </c>
      <c r="L79" s="49"/>
      <c r="M79" s="18">
        <f>BCC!M79+Sheet1!M79</f>
        <v>870</v>
      </c>
      <c r="N79" s="49"/>
      <c r="O79" s="18">
        <f>BCC!O79+Sheet1!O79</f>
        <v>870</v>
      </c>
      <c r="P79" s="49"/>
      <c r="Q79" s="18">
        <f>BCC!Q79+Sheet1!Q79</f>
        <v>870</v>
      </c>
      <c r="R79" s="49"/>
      <c r="S79" s="18">
        <f>BCC!S79+Sheet1!S79</f>
        <v>870</v>
      </c>
      <c r="T79" s="49"/>
      <c r="U79" s="18">
        <f>BCC!U79+Sheet1!U79</f>
        <v>870</v>
      </c>
      <c r="V79" s="49"/>
      <c r="W79" s="18">
        <f>BCC!W79+Sheet1!W79</f>
        <v>870</v>
      </c>
      <c r="X79" s="49"/>
      <c r="Y79" s="18">
        <f>BCC!Y79+Sheet1!Y79</f>
        <v>870</v>
      </c>
      <c r="Z79" s="179"/>
      <c r="AA79" s="286">
        <f t="shared" si="7"/>
        <v>10440</v>
      </c>
      <c r="AB79" s="214"/>
      <c r="AC79" s="205">
        <f t="shared" si="8"/>
        <v>870</v>
      </c>
      <c r="AD79" s="214"/>
      <c r="AE79" s="75"/>
      <c r="AF79" s="169"/>
      <c r="AG79" s="75"/>
      <c r="AH79" s="208">
        <v>12043.9</v>
      </c>
      <c r="AI79" s="255">
        <f>AH79/AH12</f>
        <v>1.4957090218243815E-2</v>
      </c>
      <c r="AJ79" s="293">
        <f t="shared" si="10"/>
        <v>23353.9</v>
      </c>
      <c r="AK79" s="53">
        <f t="shared" si="11"/>
        <v>0</v>
      </c>
      <c r="AL79" s="53">
        <f t="shared" si="12"/>
        <v>10440</v>
      </c>
      <c r="AM79" s="53">
        <f t="shared" si="6"/>
        <v>81780</v>
      </c>
      <c r="AN79" s="53" t="e">
        <f>#REF!-AM79</f>
        <v>#REF!</v>
      </c>
      <c r="AO79" s="53"/>
    </row>
    <row r="80" spans="1:41">
      <c r="A80" s="2">
        <v>6204</v>
      </c>
      <c r="B80" s="112" t="s">
        <v>28</v>
      </c>
      <c r="C80" s="18">
        <f>BCC!C80+Sheet1!C80</f>
        <v>0</v>
      </c>
      <c r="D80" s="49"/>
      <c r="E80" s="18">
        <f>BCC!E80+Sheet1!E80</f>
        <v>0</v>
      </c>
      <c r="F80" s="49"/>
      <c r="G80" s="18">
        <f>BCC!G80+Sheet1!G80</f>
        <v>0</v>
      </c>
      <c r="H80" s="49"/>
      <c r="I80" s="18">
        <f>BCC!I80+Sheet1!I80</f>
        <v>0</v>
      </c>
      <c r="J80" s="49"/>
      <c r="K80" s="18">
        <f>BCC!K80+Sheet1!K80</f>
        <v>0</v>
      </c>
      <c r="L80" s="49"/>
      <c r="M80" s="18">
        <f>BCC!M80+Sheet1!M80</f>
        <v>0</v>
      </c>
      <c r="N80" s="49"/>
      <c r="O80" s="18">
        <f>BCC!O80+Sheet1!O80</f>
        <v>0</v>
      </c>
      <c r="P80" s="49"/>
      <c r="Q80" s="18">
        <f>BCC!Q80+Sheet1!Q80</f>
        <v>0</v>
      </c>
      <c r="R80" s="49"/>
      <c r="S80" s="18">
        <f>BCC!S80+Sheet1!S80</f>
        <v>0</v>
      </c>
      <c r="T80" s="49"/>
      <c r="U80" s="18">
        <f>BCC!U80+Sheet1!U80</f>
        <v>0</v>
      </c>
      <c r="V80" s="49"/>
      <c r="W80" s="18">
        <f>BCC!W80+Sheet1!W80</f>
        <v>0</v>
      </c>
      <c r="X80" s="49"/>
      <c r="Y80" s="18">
        <f>BCC!Y80+Sheet1!Y80</f>
        <v>0</v>
      </c>
      <c r="Z80" s="179"/>
      <c r="AA80" s="286">
        <f t="shared" si="7"/>
        <v>0</v>
      </c>
      <c r="AB80" s="214"/>
      <c r="AC80" s="205">
        <f t="shared" si="8"/>
        <v>0</v>
      </c>
      <c r="AD80" s="214"/>
      <c r="AE80" s="75"/>
      <c r="AF80" s="169"/>
      <c r="AG80" s="75"/>
      <c r="AH80" s="205">
        <v>0</v>
      </c>
      <c r="AI80" s="255">
        <f>AH80/AH12</f>
        <v>0</v>
      </c>
      <c r="AJ80" s="293">
        <f t="shared" si="10"/>
        <v>0</v>
      </c>
      <c r="AK80" s="53">
        <f t="shared" si="11"/>
        <v>0</v>
      </c>
      <c r="AL80" s="53">
        <f t="shared" si="12"/>
        <v>0</v>
      </c>
      <c r="AM80" s="53">
        <f t="shared" si="6"/>
        <v>0</v>
      </c>
      <c r="AN80" s="53" t="e">
        <f>#REF!-AM80</f>
        <v>#REF!</v>
      </c>
      <c r="AO80" s="53"/>
    </row>
    <row r="81" spans="1:41">
      <c r="A81" s="2">
        <v>6205</v>
      </c>
      <c r="B81" s="112" t="s">
        <v>29</v>
      </c>
      <c r="C81" s="18">
        <f>BCC!C81+Sheet1!C81</f>
        <v>0</v>
      </c>
      <c r="D81" s="49"/>
      <c r="E81" s="18">
        <f>BCC!E81+Sheet1!E81</f>
        <v>0</v>
      </c>
      <c r="F81" s="49"/>
      <c r="G81" s="18">
        <f>BCC!G81+Sheet1!G81</f>
        <v>0</v>
      </c>
      <c r="H81" s="49"/>
      <c r="I81" s="18">
        <f>BCC!I81+Sheet1!I81</f>
        <v>0</v>
      </c>
      <c r="J81" s="49"/>
      <c r="K81" s="18">
        <f>BCC!K81+Sheet1!K81</f>
        <v>0</v>
      </c>
      <c r="L81" s="49"/>
      <c r="M81" s="18">
        <f>BCC!M81+Sheet1!M81</f>
        <v>0</v>
      </c>
      <c r="N81" s="49"/>
      <c r="O81" s="18">
        <f>BCC!O81+Sheet1!O81</f>
        <v>0</v>
      </c>
      <c r="P81" s="49"/>
      <c r="Q81" s="18">
        <f>BCC!Q81+Sheet1!Q81</f>
        <v>0</v>
      </c>
      <c r="R81" s="49"/>
      <c r="S81" s="18">
        <f>BCC!S81+Sheet1!S81</f>
        <v>0</v>
      </c>
      <c r="T81" s="49"/>
      <c r="U81" s="18">
        <f>BCC!U81+Sheet1!U81</f>
        <v>0</v>
      </c>
      <c r="V81" s="49"/>
      <c r="W81" s="18">
        <f>BCC!W81+Sheet1!W81</f>
        <v>0</v>
      </c>
      <c r="X81" s="49"/>
      <c r="Y81" s="18">
        <f>BCC!Y81+Sheet1!Y81</f>
        <v>0</v>
      </c>
      <c r="Z81" s="179"/>
      <c r="AA81" s="286">
        <f t="shared" si="7"/>
        <v>0</v>
      </c>
      <c r="AB81" s="214"/>
      <c r="AC81" s="205">
        <f t="shared" si="8"/>
        <v>0</v>
      </c>
      <c r="AD81" s="214"/>
      <c r="AE81" s="75"/>
      <c r="AF81" s="169"/>
      <c r="AG81" s="75"/>
      <c r="AH81" s="205">
        <v>0</v>
      </c>
      <c r="AI81" s="255">
        <f>AH81/AH12</f>
        <v>0</v>
      </c>
      <c r="AJ81" s="293">
        <f t="shared" si="10"/>
        <v>0</v>
      </c>
      <c r="AK81" s="53">
        <f t="shared" si="11"/>
        <v>0</v>
      </c>
      <c r="AL81" s="53">
        <f t="shared" si="12"/>
        <v>0</v>
      </c>
      <c r="AM81" s="53">
        <f t="shared" ref="AM81:AM146" si="13">G81*9.4+I81*9.4+K81*9.4+M81*9.4+O81*9.4+Q81*9.4+S81*9.4+U81*9.4+W81*9.4+Y81*9.4</f>
        <v>0</v>
      </c>
      <c r="AN81" s="53" t="e">
        <f>#REF!-AM81</f>
        <v>#REF!</v>
      </c>
      <c r="AO81" s="53"/>
    </row>
    <row r="82" spans="1:41">
      <c r="A82" s="2">
        <v>6206</v>
      </c>
      <c r="B82" s="2" t="s">
        <v>207</v>
      </c>
      <c r="C82" s="18">
        <f>BCC!C82+Sheet1!C82</f>
        <v>1305</v>
      </c>
      <c r="D82" s="49"/>
      <c r="E82" s="18">
        <f>BCC!E82+Sheet1!E82</f>
        <v>1305</v>
      </c>
      <c r="F82" s="49"/>
      <c r="G82" s="18">
        <f>BCC!G82+Sheet1!G82</f>
        <v>1305</v>
      </c>
      <c r="H82" s="49"/>
      <c r="I82" s="18">
        <f>BCC!I82+Sheet1!I82</f>
        <v>1305</v>
      </c>
      <c r="J82" s="49"/>
      <c r="K82" s="18">
        <f>BCC!K82+Sheet1!K82</f>
        <v>1305</v>
      </c>
      <c r="L82" s="49"/>
      <c r="M82" s="18">
        <f>BCC!M82+Sheet1!M82</f>
        <v>1305</v>
      </c>
      <c r="N82" s="49"/>
      <c r="O82" s="18">
        <f>BCC!O82+Sheet1!O82</f>
        <v>1305</v>
      </c>
      <c r="P82" s="49"/>
      <c r="Q82" s="18">
        <f>BCC!Q82+Sheet1!Q82</f>
        <v>1305</v>
      </c>
      <c r="R82" s="49"/>
      <c r="S82" s="18">
        <f>BCC!S82+Sheet1!S82</f>
        <v>1305</v>
      </c>
      <c r="T82" s="49"/>
      <c r="U82" s="18">
        <f>BCC!U82+Sheet1!U82</f>
        <v>1305</v>
      </c>
      <c r="V82" s="49"/>
      <c r="W82" s="18">
        <f>BCC!W82+Sheet1!W82</f>
        <v>1305</v>
      </c>
      <c r="X82" s="49"/>
      <c r="Y82" s="18">
        <f>BCC!Y82+Sheet1!Y82</f>
        <v>1305</v>
      </c>
      <c r="Z82" s="179"/>
      <c r="AA82" s="286">
        <f t="shared" si="7"/>
        <v>15660</v>
      </c>
      <c r="AB82" s="214"/>
      <c r="AC82" s="205">
        <f t="shared" si="8"/>
        <v>1305</v>
      </c>
      <c r="AD82" s="214"/>
      <c r="AE82" s="75"/>
      <c r="AF82" s="169"/>
      <c r="AG82" s="75"/>
      <c r="AH82" s="205">
        <v>0</v>
      </c>
      <c r="AI82" s="255">
        <f>AH82/AH12</f>
        <v>0</v>
      </c>
      <c r="AJ82" s="293">
        <f t="shared" si="10"/>
        <v>16965</v>
      </c>
      <c r="AK82" s="53">
        <f t="shared" si="11"/>
        <v>0</v>
      </c>
      <c r="AL82" s="53">
        <f t="shared" si="12"/>
        <v>15660</v>
      </c>
      <c r="AM82" s="53">
        <f t="shared" si="13"/>
        <v>122670</v>
      </c>
      <c r="AN82" s="53" t="e">
        <f>#REF!-AM82</f>
        <v>#REF!</v>
      </c>
      <c r="AO82" s="53"/>
    </row>
    <row r="83" spans="1:41">
      <c r="A83" s="2">
        <v>6207</v>
      </c>
      <c r="B83" s="2" t="s">
        <v>208</v>
      </c>
      <c r="C83" s="18">
        <f>BCC!C83+Sheet1!C83</f>
        <v>573.33333333333337</v>
      </c>
      <c r="D83" s="49"/>
      <c r="E83" s="18">
        <f>BCC!E83+Sheet1!E83</f>
        <v>573.33333333333337</v>
      </c>
      <c r="F83" s="49"/>
      <c r="G83" s="18">
        <f>BCC!G83+Sheet1!G83</f>
        <v>573.33333333333337</v>
      </c>
      <c r="H83" s="49"/>
      <c r="I83" s="18">
        <f>BCC!I83+Sheet1!I83</f>
        <v>573.33333333333337</v>
      </c>
      <c r="J83" s="49"/>
      <c r="K83" s="18">
        <f>BCC!K83+Sheet1!K83</f>
        <v>573.33333333333337</v>
      </c>
      <c r="L83" s="49"/>
      <c r="M83" s="18">
        <f>BCC!M83+Sheet1!M83</f>
        <v>573.33333333333337</v>
      </c>
      <c r="N83" s="49"/>
      <c r="O83" s="18">
        <f>BCC!O83+Sheet1!O83</f>
        <v>573.33333333333337</v>
      </c>
      <c r="P83" s="49"/>
      <c r="Q83" s="18">
        <f>BCC!Q83+Sheet1!Q83</f>
        <v>573.33333333333337</v>
      </c>
      <c r="R83" s="49"/>
      <c r="S83" s="18">
        <f>BCC!S83+Sheet1!S83</f>
        <v>573.33333333333337</v>
      </c>
      <c r="T83" s="49"/>
      <c r="U83" s="18">
        <f>BCC!U83+Sheet1!U83</f>
        <v>573.33333333333337</v>
      </c>
      <c r="V83" s="49"/>
      <c r="W83" s="18">
        <f>BCC!W83+Sheet1!W83</f>
        <v>573.33333333333337</v>
      </c>
      <c r="X83" s="49"/>
      <c r="Y83" s="18">
        <f>BCC!Y83+Sheet1!Y83</f>
        <v>573.33333333333337</v>
      </c>
      <c r="Z83" s="179"/>
      <c r="AA83" s="286">
        <f t="shared" si="7"/>
        <v>6879.9999999999991</v>
      </c>
      <c r="AB83" s="214"/>
      <c r="AC83" s="205">
        <f t="shared" si="8"/>
        <v>573.33333333333326</v>
      </c>
      <c r="AD83" s="214"/>
      <c r="AE83" s="75"/>
      <c r="AF83" s="169"/>
      <c r="AG83" s="75"/>
      <c r="AH83" s="205">
        <v>1135.0999999999999</v>
      </c>
      <c r="AI83" s="255">
        <f>AH83/AH12</f>
        <v>1.4096590893920202E-3</v>
      </c>
      <c r="AJ83" s="293">
        <f t="shared" si="10"/>
        <v>8588.4333333333325</v>
      </c>
      <c r="AK83" s="53">
        <f t="shared" si="11"/>
        <v>0</v>
      </c>
      <c r="AL83" s="53">
        <f t="shared" si="12"/>
        <v>6879.9999999999991</v>
      </c>
      <c r="AM83" s="53">
        <f t="shared" si="13"/>
        <v>53893.33333333335</v>
      </c>
      <c r="AN83" s="53" t="e">
        <f>#REF!-AM83</f>
        <v>#REF!</v>
      </c>
      <c r="AO83" s="53"/>
    </row>
    <row r="84" spans="1:41">
      <c r="A84" s="2">
        <v>6208</v>
      </c>
      <c r="B84" s="2" t="s">
        <v>209</v>
      </c>
      <c r="C84" s="18">
        <f>BCC!C84+Sheet1!C84</f>
        <v>0</v>
      </c>
      <c r="D84" s="49"/>
      <c r="E84" s="18">
        <f>BCC!E84+Sheet1!E84</f>
        <v>0</v>
      </c>
      <c r="F84" s="49"/>
      <c r="G84" s="18">
        <f>BCC!G84+Sheet1!G84</f>
        <v>0</v>
      </c>
      <c r="H84" s="49"/>
      <c r="I84" s="18">
        <f>BCC!I84+Sheet1!I84</f>
        <v>0</v>
      </c>
      <c r="J84" s="49"/>
      <c r="K84" s="18">
        <f>BCC!K84+Sheet1!K84</f>
        <v>0</v>
      </c>
      <c r="L84" s="49"/>
      <c r="M84" s="18">
        <f>BCC!M84+Sheet1!M84</f>
        <v>0</v>
      </c>
      <c r="N84" s="49"/>
      <c r="O84" s="18">
        <f>BCC!O84+Sheet1!O84</f>
        <v>0</v>
      </c>
      <c r="P84" s="49"/>
      <c r="Q84" s="18">
        <f>BCC!Q84+Sheet1!Q84</f>
        <v>0</v>
      </c>
      <c r="R84" s="49"/>
      <c r="S84" s="18">
        <f>BCC!S84+Sheet1!S84</f>
        <v>0</v>
      </c>
      <c r="T84" s="49"/>
      <c r="U84" s="18">
        <f>BCC!U84+Sheet1!U84</f>
        <v>0</v>
      </c>
      <c r="V84" s="49"/>
      <c r="W84" s="18">
        <f>BCC!W84+Sheet1!W84</f>
        <v>0</v>
      </c>
      <c r="X84" s="49"/>
      <c r="Y84" s="18">
        <f>BCC!Y84+Sheet1!Y84</f>
        <v>0</v>
      </c>
      <c r="Z84" s="179"/>
      <c r="AA84" s="286">
        <f t="shared" si="7"/>
        <v>0</v>
      </c>
      <c r="AB84" s="214"/>
      <c r="AC84" s="205">
        <f t="shared" si="8"/>
        <v>0</v>
      </c>
      <c r="AD84" s="214"/>
      <c r="AE84" s="75"/>
      <c r="AF84" s="169"/>
      <c r="AG84" s="75"/>
      <c r="AH84" s="205">
        <v>0</v>
      </c>
      <c r="AI84" s="255">
        <f>AH84/AH12</f>
        <v>0</v>
      </c>
      <c r="AJ84" s="293">
        <f t="shared" si="10"/>
        <v>0</v>
      </c>
      <c r="AK84" s="53">
        <f t="shared" si="11"/>
        <v>0</v>
      </c>
      <c r="AL84" s="53">
        <f t="shared" si="12"/>
        <v>0</v>
      </c>
      <c r="AM84" s="53">
        <f t="shared" si="13"/>
        <v>0</v>
      </c>
      <c r="AN84" s="53" t="e">
        <f>#REF!-AM84</f>
        <v>#REF!</v>
      </c>
      <c r="AO84" s="53"/>
    </row>
    <row r="85" spans="1:41">
      <c r="A85" s="2">
        <v>6209</v>
      </c>
      <c r="B85" s="112" t="s">
        <v>30</v>
      </c>
      <c r="C85" s="18">
        <f>BCC!C85+Sheet1!C85</f>
        <v>652.5</v>
      </c>
      <c r="D85" s="49"/>
      <c r="E85" s="18">
        <f>BCC!E85+Sheet1!E85</f>
        <v>652.5</v>
      </c>
      <c r="F85" s="49"/>
      <c r="G85" s="18">
        <f>BCC!G85+Sheet1!G85</f>
        <v>652.5</v>
      </c>
      <c r="H85" s="49"/>
      <c r="I85" s="18">
        <f>BCC!I85+Sheet1!I85</f>
        <v>652.5</v>
      </c>
      <c r="J85" s="49"/>
      <c r="K85" s="18">
        <f>BCC!K85+Sheet1!K85</f>
        <v>652.5</v>
      </c>
      <c r="L85" s="49"/>
      <c r="M85" s="18">
        <f>BCC!M85+Sheet1!M85</f>
        <v>652.5</v>
      </c>
      <c r="N85" s="49"/>
      <c r="O85" s="18">
        <f>BCC!O85+Sheet1!O85</f>
        <v>652.5</v>
      </c>
      <c r="P85" s="49"/>
      <c r="Q85" s="18">
        <f>BCC!Q85+Sheet1!Q85</f>
        <v>652.5</v>
      </c>
      <c r="R85" s="49"/>
      <c r="S85" s="18">
        <f>BCC!S85+Sheet1!S85</f>
        <v>652.5</v>
      </c>
      <c r="T85" s="49"/>
      <c r="U85" s="18">
        <f>BCC!U85+Sheet1!U85</f>
        <v>652.5</v>
      </c>
      <c r="V85" s="49"/>
      <c r="W85" s="18">
        <f>BCC!W85+Sheet1!W85</f>
        <v>652.5</v>
      </c>
      <c r="X85" s="49"/>
      <c r="Y85" s="18">
        <f>BCC!Y85+Sheet1!Y85</f>
        <v>652.5</v>
      </c>
      <c r="Z85" s="179"/>
      <c r="AA85" s="286">
        <f t="shared" si="7"/>
        <v>7830</v>
      </c>
      <c r="AB85" s="214"/>
      <c r="AC85" s="205">
        <f t="shared" si="8"/>
        <v>652.5</v>
      </c>
      <c r="AD85" s="214"/>
      <c r="AE85" s="75"/>
      <c r="AF85" s="169"/>
      <c r="AG85" s="75"/>
      <c r="AH85" s="205">
        <v>7806.3899999999994</v>
      </c>
      <c r="AI85" s="255">
        <f>AH85/AH12</f>
        <v>9.6946071877710982E-3</v>
      </c>
      <c r="AJ85" s="293">
        <f t="shared" si="10"/>
        <v>16288.89</v>
      </c>
      <c r="AK85" s="53">
        <f t="shared" si="11"/>
        <v>0</v>
      </c>
      <c r="AL85" s="53">
        <f t="shared" si="12"/>
        <v>7830</v>
      </c>
      <c r="AM85" s="53">
        <f t="shared" si="13"/>
        <v>61335</v>
      </c>
      <c r="AN85" s="53" t="e">
        <f>#REF!-AM85</f>
        <v>#REF!</v>
      </c>
      <c r="AO85" s="53"/>
    </row>
    <row r="86" spans="1:41">
      <c r="A86" s="2">
        <v>6210</v>
      </c>
      <c r="B86" s="112" t="s">
        <v>31</v>
      </c>
      <c r="C86" s="18">
        <f>BCC!C86+Sheet1!C86</f>
        <v>287.23972602739724</v>
      </c>
      <c r="D86" s="49"/>
      <c r="E86" s="18">
        <f>BCC!E86+Sheet1!E86</f>
        <v>287.23972602739724</v>
      </c>
      <c r="F86" s="49"/>
      <c r="G86" s="18">
        <f>BCC!G86+Sheet1!G86</f>
        <v>287.23972602739724</v>
      </c>
      <c r="H86" s="49"/>
      <c r="I86" s="18">
        <f>BCC!I86+Sheet1!I86</f>
        <v>287.23972602739724</v>
      </c>
      <c r="J86" s="49"/>
      <c r="K86" s="18">
        <f>BCC!K86+Sheet1!K86</f>
        <v>287.23972602739724</v>
      </c>
      <c r="L86" s="49"/>
      <c r="M86" s="18">
        <f>BCC!M86+Sheet1!M86</f>
        <v>287.23972602739724</v>
      </c>
      <c r="N86" s="49"/>
      <c r="O86" s="18">
        <f>BCC!O86+Sheet1!O86</f>
        <v>287.23972602739724</v>
      </c>
      <c r="P86" s="49"/>
      <c r="Q86" s="18">
        <f>BCC!Q86+Sheet1!Q86</f>
        <v>287.23972602739724</v>
      </c>
      <c r="R86" s="49"/>
      <c r="S86" s="18">
        <f>BCC!S86+Sheet1!S86</f>
        <v>287.23972602739724</v>
      </c>
      <c r="T86" s="49"/>
      <c r="U86" s="18">
        <f>BCC!U86+Sheet1!U86</f>
        <v>287.23972602739724</v>
      </c>
      <c r="V86" s="49"/>
      <c r="W86" s="18">
        <f>BCC!W86+Sheet1!W86</f>
        <v>287.23972602739724</v>
      </c>
      <c r="X86" s="49"/>
      <c r="Y86" s="18">
        <f>BCC!Y86+Sheet1!Y86</f>
        <v>287.23972602739724</v>
      </c>
      <c r="Z86" s="179"/>
      <c r="AA86" s="286">
        <f t="shared" si="7"/>
        <v>3446.8767123287676</v>
      </c>
      <c r="AB86" s="214"/>
      <c r="AC86" s="205">
        <f t="shared" si="8"/>
        <v>287.2397260273973</v>
      </c>
      <c r="AD86" s="214"/>
      <c r="AE86" s="75"/>
      <c r="AF86" s="169"/>
      <c r="AG86" s="75"/>
      <c r="AH86" s="205">
        <v>2100.39</v>
      </c>
      <c r="AI86" s="255">
        <f>AH86/AH12</f>
        <v>2.6084343712167259E-3</v>
      </c>
      <c r="AJ86" s="293">
        <f t="shared" si="10"/>
        <v>5834.5064383561648</v>
      </c>
      <c r="AK86" s="53">
        <f t="shared" si="11"/>
        <v>0</v>
      </c>
      <c r="AL86" s="53">
        <f t="shared" si="12"/>
        <v>3446.8767123287676</v>
      </c>
      <c r="AM86" s="53">
        <f t="shared" si="13"/>
        <v>27000.534246575338</v>
      </c>
      <c r="AN86" s="53" t="e">
        <f>#REF!-AM86</f>
        <v>#REF!</v>
      </c>
      <c r="AO86" s="53"/>
    </row>
    <row r="87" spans="1:41">
      <c r="A87" s="2">
        <v>6211</v>
      </c>
      <c r="B87" s="112" t="s">
        <v>32</v>
      </c>
      <c r="C87" s="18">
        <f>BCC!C87+Sheet1!C87</f>
        <v>310</v>
      </c>
      <c r="D87" s="49"/>
      <c r="E87" s="18">
        <f>BCC!E87+Sheet1!E87</f>
        <v>310</v>
      </c>
      <c r="F87" s="49"/>
      <c r="G87" s="18">
        <f>BCC!G87+Sheet1!G87</f>
        <v>310</v>
      </c>
      <c r="H87" s="49"/>
      <c r="I87" s="18">
        <f>BCC!I87+Sheet1!I87</f>
        <v>310</v>
      </c>
      <c r="J87" s="49"/>
      <c r="K87" s="18">
        <f>BCC!K87+Sheet1!K87</f>
        <v>310</v>
      </c>
      <c r="L87" s="49"/>
      <c r="M87" s="18">
        <f>BCC!M87+Sheet1!M87</f>
        <v>310</v>
      </c>
      <c r="N87" s="49"/>
      <c r="O87" s="18">
        <f>BCC!O87+Sheet1!O87</f>
        <v>310</v>
      </c>
      <c r="P87" s="49"/>
      <c r="Q87" s="18">
        <f>BCC!Q87+Sheet1!Q87</f>
        <v>310</v>
      </c>
      <c r="R87" s="49"/>
      <c r="S87" s="18">
        <f>BCC!S87+Sheet1!S87</f>
        <v>310</v>
      </c>
      <c r="T87" s="49"/>
      <c r="U87" s="18">
        <f>BCC!U87+Sheet1!U87</f>
        <v>310</v>
      </c>
      <c r="V87" s="49"/>
      <c r="W87" s="18">
        <f>BCC!W87+Sheet1!W87</f>
        <v>310</v>
      </c>
      <c r="X87" s="49"/>
      <c r="Y87" s="18">
        <f>BCC!Y87+Sheet1!Y87</f>
        <v>310</v>
      </c>
      <c r="Z87" s="179"/>
      <c r="AA87" s="286">
        <f t="shared" si="7"/>
        <v>3720</v>
      </c>
      <c r="AB87" s="214"/>
      <c r="AC87" s="205">
        <f t="shared" si="8"/>
        <v>310</v>
      </c>
      <c r="AD87" s="214"/>
      <c r="AE87" s="75"/>
      <c r="AF87" s="169"/>
      <c r="AG87" s="75"/>
      <c r="AH87" s="205">
        <v>2377.6</v>
      </c>
      <c r="AI87" s="255">
        <f>AH87/AH12</f>
        <v>2.9526961949946856E-3</v>
      </c>
      <c r="AJ87" s="293">
        <f t="shared" si="10"/>
        <v>6407.6</v>
      </c>
      <c r="AK87" s="53">
        <f t="shared" si="11"/>
        <v>0</v>
      </c>
      <c r="AL87" s="53">
        <f t="shared" si="12"/>
        <v>3720</v>
      </c>
      <c r="AM87" s="53">
        <f t="shared" si="13"/>
        <v>29140</v>
      </c>
      <c r="AN87" s="53" t="e">
        <f>#REF!-AM87</f>
        <v>#REF!</v>
      </c>
      <c r="AO87" s="53"/>
    </row>
    <row r="88" spans="1:41">
      <c r="A88" s="99">
        <v>6212</v>
      </c>
      <c r="B88" s="112" t="s">
        <v>33</v>
      </c>
      <c r="C88" s="18">
        <f>BCC!C88+Sheet1!C88</f>
        <v>25</v>
      </c>
      <c r="D88" s="49"/>
      <c r="E88" s="18">
        <f>BCC!E88+Sheet1!E88</f>
        <v>25</v>
      </c>
      <c r="F88" s="49"/>
      <c r="G88" s="18">
        <f>BCC!G88+Sheet1!G88</f>
        <v>25</v>
      </c>
      <c r="H88" s="49"/>
      <c r="I88" s="18">
        <f>BCC!I88+Sheet1!I88</f>
        <v>25</v>
      </c>
      <c r="J88" s="49"/>
      <c r="K88" s="18">
        <f>BCC!K88+Sheet1!K88</f>
        <v>25</v>
      </c>
      <c r="L88" s="49"/>
      <c r="M88" s="18">
        <f>BCC!M88+Sheet1!M88</f>
        <v>25</v>
      </c>
      <c r="N88" s="49"/>
      <c r="O88" s="18">
        <f>BCC!O88+Sheet1!O88</f>
        <v>25</v>
      </c>
      <c r="P88" s="49"/>
      <c r="Q88" s="18">
        <f>BCC!Q88+Sheet1!Q88</f>
        <v>25</v>
      </c>
      <c r="R88" s="49"/>
      <c r="S88" s="18">
        <f>BCC!S88+Sheet1!S88</f>
        <v>25</v>
      </c>
      <c r="T88" s="49"/>
      <c r="U88" s="18">
        <f>BCC!U88+Sheet1!U88</f>
        <v>25</v>
      </c>
      <c r="V88" s="49"/>
      <c r="W88" s="18">
        <f>BCC!W88+Sheet1!W88</f>
        <v>25</v>
      </c>
      <c r="X88" s="49"/>
      <c r="Y88" s="18">
        <f>BCC!Y88+Sheet1!Y88</f>
        <v>25</v>
      </c>
      <c r="Z88" s="179"/>
      <c r="AA88" s="286">
        <f t="shared" si="7"/>
        <v>300</v>
      </c>
      <c r="AB88" s="214"/>
      <c r="AC88" s="205">
        <f t="shared" si="8"/>
        <v>25</v>
      </c>
      <c r="AD88" s="214"/>
      <c r="AE88" s="75"/>
      <c r="AF88" s="169"/>
      <c r="AG88" s="75"/>
      <c r="AH88" s="207">
        <v>0</v>
      </c>
      <c r="AI88" s="255">
        <f>AH88/AH12</f>
        <v>0</v>
      </c>
      <c r="AJ88" s="293">
        <f t="shared" si="10"/>
        <v>325</v>
      </c>
      <c r="AK88" s="53">
        <f t="shared" si="11"/>
        <v>0</v>
      </c>
      <c r="AL88" s="53">
        <f t="shared" si="12"/>
        <v>300</v>
      </c>
      <c r="AM88" s="53">
        <f t="shared" si="13"/>
        <v>2350</v>
      </c>
      <c r="AN88" s="53" t="e">
        <f>#REF!-AM88</f>
        <v>#REF!</v>
      </c>
      <c r="AO88" s="53"/>
    </row>
    <row r="89" spans="1:41">
      <c r="A89" s="99">
        <v>6213</v>
      </c>
      <c r="B89" s="112" t="s">
        <v>34</v>
      </c>
      <c r="C89" s="18">
        <f>BCC!C89+Sheet1!C89</f>
        <v>0</v>
      </c>
      <c r="D89" s="49"/>
      <c r="E89" s="18">
        <f>BCC!E89+Sheet1!E89</f>
        <v>0</v>
      </c>
      <c r="F89" s="49"/>
      <c r="G89" s="18">
        <f>BCC!G89+Sheet1!G89</f>
        <v>0</v>
      </c>
      <c r="H89" s="49"/>
      <c r="I89" s="18">
        <f>BCC!I89+Sheet1!I89</f>
        <v>0</v>
      </c>
      <c r="J89" s="49"/>
      <c r="K89" s="18">
        <f>BCC!K89+Sheet1!K89</f>
        <v>0</v>
      </c>
      <c r="L89" s="49"/>
      <c r="M89" s="18">
        <f>BCC!M89+Sheet1!M89</f>
        <v>0</v>
      </c>
      <c r="N89" s="49"/>
      <c r="O89" s="18">
        <f>BCC!O89+Sheet1!O89</f>
        <v>0</v>
      </c>
      <c r="P89" s="49"/>
      <c r="Q89" s="18">
        <f>BCC!Q89+Sheet1!Q89</f>
        <v>0</v>
      </c>
      <c r="R89" s="49"/>
      <c r="S89" s="18">
        <f>BCC!S89+Sheet1!S89</f>
        <v>0</v>
      </c>
      <c r="T89" s="49"/>
      <c r="U89" s="18">
        <f>BCC!U89+Sheet1!U89</f>
        <v>0</v>
      </c>
      <c r="V89" s="49"/>
      <c r="W89" s="18">
        <f>BCC!W89+Sheet1!W89</f>
        <v>0</v>
      </c>
      <c r="X89" s="49"/>
      <c r="Y89" s="18">
        <f>BCC!Y89+Sheet1!Y89</f>
        <v>0</v>
      </c>
      <c r="Z89" s="179"/>
      <c r="AA89" s="286">
        <f t="shared" si="7"/>
        <v>0</v>
      </c>
      <c r="AB89" s="214"/>
      <c r="AC89" s="205">
        <f t="shared" si="8"/>
        <v>0</v>
      </c>
      <c r="AD89" s="214"/>
      <c r="AE89" s="75"/>
      <c r="AF89" s="169"/>
      <c r="AG89" s="75"/>
      <c r="AH89" s="207">
        <v>4000</v>
      </c>
      <c r="AI89" s="255">
        <f>AH89/AH12</f>
        <v>4.967523881215824E-3</v>
      </c>
      <c r="AJ89" s="293">
        <f t="shared" si="10"/>
        <v>4000</v>
      </c>
      <c r="AK89" s="53">
        <f t="shared" si="11"/>
        <v>0</v>
      </c>
      <c r="AL89" s="53">
        <f t="shared" si="12"/>
        <v>0</v>
      </c>
      <c r="AM89" s="53">
        <f t="shared" si="13"/>
        <v>0</v>
      </c>
      <c r="AN89" s="53" t="e">
        <f>#REF!-AM89</f>
        <v>#REF!</v>
      </c>
      <c r="AO89" s="53"/>
    </row>
    <row r="90" spans="1:41">
      <c r="A90" s="2">
        <v>6214</v>
      </c>
      <c r="B90" s="112" t="s">
        <v>35</v>
      </c>
      <c r="C90" s="18">
        <f>BCC!C90+Sheet1!C90</f>
        <v>261</v>
      </c>
      <c r="D90" s="49"/>
      <c r="E90" s="18">
        <f>BCC!E90+Sheet1!E90</f>
        <v>261</v>
      </c>
      <c r="F90" s="49"/>
      <c r="G90" s="18">
        <f>BCC!G90+Sheet1!G90</f>
        <v>261</v>
      </c>
      <c r="H90" s="49"/>
      <c r="I90" s="18">
        <f>BCC!I90+Sheet1!I90</f>
        <v>261</v>
      </c>
      <c r="J90" s="49"/>
      <c r="K90" s="18">
        <f>BCC!K90+Sheet1!K90</f>
        <v>261</v>
      </c>
      <c r="L90" s="49"/>
      <c r="M90" s="18">
        <f>BCC!M90+Sheet1!M90</f>
        <v>261</v>
      </c>
      <c r="N90" s="49"/>
      <c r="O90" s="18">
        <f>BCC!O90+Sheet1!O90</f>
        <v>261</v>
      </c>
      <c r="P90" s="49"/>
      <c r="Q90" s="18">
        <f>BCC!Q90+Sheet1!Q90</f>
        <v>261</v>
      </c>
      <c r="R90" s="49"/>
      <c r="S90" s="18">
        <f>BCC!S90+Sheet1!S90</f>
        <v>261</v>
      </c>
      <c r="T90" s="49"/>
      <c r="U90" s="18">
        <f>BCC!U90+Sheet1!U90</f>
        <v>261</v>
      </c>
      <c r="V90" s="49"/>
      <c r="W90" s="18">
        <f>BCC!W90+Sheet1!W90</f>
        <v>261</v>
      </c>
      <c r="X90" s="49"/>
      <c r="Y90" s="18">
        <f>BCC!Y90+Sheet1!Y90</f>
        <v>261</v>
      </c>
      <c r="Z90" s="179"/>
      <c r="AA90" s="286">
        <f t="shared" si="7"/>
        <v>3132</v>
      </c>
      <c r="AB90" s="214"/>
      <c r="AC90" s="205">
        <f t="shared" si="8"/>
        <v>261</v>
      </c>
      <c r="AD90" s="214"/>
      <c r="AE90" s="75"/>
      <c r="AF90" s="169"/>
      <c r="AG90" s="75"/>
      <c r="AH90" s="207">
        <v>8819.9520000000011</v>
      </c>
      <c r="AI90" s="255">
        <f>AH90/AH12</f>
        <v>1.0953330547794318E-2</v>
      </c>
      <c r="AJ90" s="293">
        <f t="shared" si="10"/>
        <v>12212.952000000001</v>
      </c>
      <c r="AK90" s="53">
        <f t="shared" si="11"/>
        <v>0</v>
      </c>
      <c r="AL90" s="53">
        <f t="shared" si="12"/>
        <v>3132</v>
      </c>
      <c r="AM90" s="53">
        <f t="shared" si="13"/>
        <v>24534.000000000004</v>
      </c>
      <c r="AN90" s="53" t="e">
        <f>#REF!-AM90</f>
        <v>#REF!</v>
      </c>
      <c r="AO90" s="53"/>
    </row>
    <row r="91" spans="1:41">
      <c r="A91" s="2">
        <v>6215</v>
      </c>
      <c r="B91" s="112" t="s">
        <v>36</v>
      </c>
      <c r="C91" s="18">
        <f>BCC!C91+Sheet1!C91</f>
        <v>0</v>
      </c>
      <c r="D91" s="49"/>
      <c r="E91" s="18">
        <f>BCC!E91+Sheet1!E91</f>
        <v>0</v>
      </c>
      <c r="F91" s="49"/>
      <c r="G91" s="18">
        <f>BCC!G91+Sheet1!G91</f>
        <v>0</v>
      </c>
      <c r="H91" s="49"/>
      <c r="I91" s="18">
        <f>BCC!I91+Sheet1!I91</f>
        <v>0</v>
      </c>
      <c r="J91" s="49"/>
      <c r="K91" s="18">
        <f>BCC!K91+Sheet1!K91</f>
        <v>0</v>
      </c>
      <c r="L91" s="49"/>
      <c r="M91" s="18">
        <f>BCC!M91+Sheet1!M91</f>
        <v>0</v>
      </c>
      <c r="N91" s="49"/>
      <c r="O91" s="18">
        <f>BCC!O91+Sheet1!O91</f>
        <v>0</v>
      </c>
      <c r="P91" s="49"/>
      <c r="Q91" s="18">
        <f>BCC!Q91+Sheet1!Q91</f>
        <v>0</v>
      </c>
      <c r="R91" s="49"/>
      <c r="S91" s="18">
        <f>BCC!S91+Sheet1!S91</f>
        <v>0</v>
      </c>
      <c r="T91" s="49"/>
      <c r="U91" s="18">
        <f>BCC!U91+Sheet1!U91</f>
        <v>0</v>
      </c>
      <c r="V91" s="49"/>
      <c r="W91" s="18">
        <f>BCC!W91+Sheet1!W91</f>
        <v>0</v>
      </c>
      <c r="X91" s="49"/>
      <c r="Y91" s="18">
        <f>BCC!Y91+Sheet1!Y91</f>
        <v>0</v>
      </c>
      <c r="Z91" s="179"/>
      <c r="AA91" s="286">
        <f t="shared" si="7"/>
        <v>0</v>
      </c>
      <c r="AB91" s="214"/>
      <c r="AC91" s="205">
        <f t="shared" si="8"/>
        <v>0</v>
      </c>
      <c r="AD91" s="214"/>
      <c r="AE91" s="75"/>
      <c r="AF91" s="169"/>
      <c r="AG91" s="75"/>
      <c r="AH91" s="205">
        <v>3581.308</v>
      </c>
      <c r="AI91" s="255">
        <f>AH91/AH12</f>
        <v>4.4475582539973196E-3</v>
      </c>
      <c r="AJ91" s="293">
        <f t="shared" si="10"/>
        <v>3581.308</v>
      </c>
      <c r="AK91" s="53">
        <f t="shared" si="11"/>
        <v>0</v>
      </c>
      <c r="AL91" s="53">
        <f t="shared" si="12"/>
        <v>0</v>
      </c>
      <c r="AM91" s="53">
        <f t="shared" si="13"/>
        <v>0</v>
      </c>
      <c r="AN91" s="53" t="e">
        <f>#REF!-AM91</f>
        <v>#REF!</v>
      </c>
      <c r="AO91" s="53"/>
    </row>
    <row r="92" spans="1:41">
      <c r="A92" s="2">
        <v>6216</v>
      </c>
      <c r="B92" s="112" t="s">
        <v>111</v>
      </c>
      <c r="C92" s="18">
        <f>BCC!C92+Sheet1!C92</f>
        <v>0</v>
      </c>
      <c r="D92" s="49"/>
      <c r="E92" s="18">
        <f>BCC!E92+Sheet1!E92</f>
        <v>0</v>
      </c>
      <c r="F92" s="49"/>
      <c r="G92" s="18">
        <f>BCC!G92+Sheet1!G92</f>
        <v>0</v>
      </c>
      <c r="H92" s="49"/>
      <c r="I92" s="18">
        <f>BCC!I92+Sheet1!I92</f>
        <v>0</v>
      </c>
      <c r="J92" s="49"/>
      <c r="K92" s="18">
        <f>BCC!K92+Sheet1!K92</f>
        <v>0</v>
      </c>
      <c r="L92" s="49"/>
      <c r="M92" s="18">
        <f>BCC!M92+Sheet1!M92</f>
        <v>0</v>
      </c>
      <c r="N92" s="49"/>
      <c r="O92" s="18">
        <f>BCC!O92+Sheet1!O92</f>
        <v>0</v>
      </c>
      <c r="P92" s="49"/>
      <c r="Q92" s="18">
        <f>BCC!Q92+Sheet1!Q92</f>
        <v>0</v>
      </c>
      <c r="R92" s="49"/>
      <c r="S92" s="18">
        <f>BCC!S92+Sheet1!S92</f>
        <v>0</v>
      </c>
      <c r="T92" s="49"/>
      <c r="U92" s="18">
        <f>BCC!U92+Sheet1!U92</f>
        <v>0</v>
      </c>
      <c r="V92" s="49"/>
      <c r="W92" s="18">
        <f>BCC!W92+Sheet1!W92</f>
        <v>0</v>
      </c>
      <c r="X92" s="49"/>
      <c r="Y92" s="18">
        <f>BCC!Y92+Sheet1!Y92</f>
        <v>0</v>
      </c>
      <c r="Z92" s="179"/>
      <c r="AA92" s="286">
        <f t="shared" si="7"/>
        <v>0</v>
      </c>
      <c r="AB92" s="214"/>
      <c r="AC92" s="205">
        <f t="shared" si="8"/>
        <v>0</v>
      </c>
      <c r="AD92" s="214"/>
      <c r="AE92" s="75"/>
      <c r="AF92" s="169"/>
      <c r="AG92" s="75"/>
      <c r="AH92" s="205">
        <v>0</v>
      </c>
      <c r="AI92" s="255">
        <f>AH92/AH12</f>
        <v>0</v>
      </c>
      <c r="AJ92" s="293">
        <f t="shared" si="10"/>
        <v>0</v>
      </c>
      <c r="AK92" s="53">
        <f t="shared" si="11"/>
        <v>0</v>
      </c>
      <c r="AL92" s="53">
        <f t="shared" si="12"/>
        <v>0</v>
      </c>
      <c r="AM92" s="53">
        <f t="shared" si="13"/>
        <v>0</v>
      </c>
      <c r="AN92" s="53" t="e">
        <f>#REF!-AM92</f>
        <v>#REF!</v>
      </c>
      <c r="AO92" s="53"/>
    </row>
    <row r="93" spans="1:41" ht="15.75" thickBot="1">
      <c r="A93" s="4">
        <v>6299</v>
      </c>
      <c r="B93" s="113" t="s">
        <v>100</v>
      </c>
      <c r="C93" s="29">
        <f>BCC!C93+Sheet1!C93</f>
        <v>12114.073059360731</v>
      </c>
      <c r="D93" s="29"/>
      <c r="E93" s="29">
        <f>BCC!E93+Sheet1!E93</f>
        <v>12114.073059360731</v>
      </c>
      <c r="F93" s="29"/>
      <c r="G93" s="29">
        <f>BCC!G93+Sheet1!G93</f>
        <v>12114.073059360731</v>
      </c>
      <c r="H93" s="29"/>
      <c r="I93" s="29">
        <f>BCC!I93+Sheet1!I93</f>
        <v>12114.073059360731</v>
      </c>
      <c r="J93" s="29"/>
      <c r="K93" s="29">
        <f>BCC!K93+Sheet1!K93</f>
        <v>12114.073059360731</v>
      </c>
      <c r="L93" s="29"/>
      <c r="M93" s="29">
        <f>BCC!M93+Sheet1!M93</f>
        <v>12114.073059360731</v>
      </c>
      <c r="N93" s="29"/>
      <c r="O93" s="29">
        <f>BCC!O93+Sheet1!O93</f>
        <v>12114.073059360731</v>
      </c>
      <c r="P93" s="29"/>
      <c r="Q93" s="29">
        <f>BCC!Q93+Sheet1!Q93</f>
        <v>12114.073059360731</v>
      </c>
      <c r="R93" s="29"/>
      <c r="S93" s="29">
        <f>BCC!S93+Sheet1!S93</f>
        <v>12114.073059360731</v>
      </c>
      <c r="T93" s="29"/>
      <c r="U93" s="29">
        <f>BCC!U93+Sheet1!U93</f>
        <v>12114.073059360731</v>
      </c>
      <c r="V93" s="29"/>
      <c r="W93" s="29">
        <f>BCC!W93+Sheet1!W93</f>
        <v>12114.073059360731</v>
      </c>
      <c r="X93" s="29"/>
      <c r="Y93" s="29">
        <f>BCC!Y93+Sheet1!Y93</f>
        <v>12114.073059360731</v>
      </c>
      <c r="Z93" s="29"/>
      <c r="AA93" s="29">
        <f t="shared" si="7"/>
        <v>145368.87671232878</v>
      </c>
      <c r="AB93" s="29"/>
      <c r="AC93" s="29">
        <f t="shared" si="8"/>
        <v>12114.073059360731</v>
      </c>
      <c r="AD93" s="29"/>
      <c r="AE93" s="75"/>
      <c r="AF93" s="248"/>
      <c r="AG93" s="75" t="s">
        <v>204</v>
      </c>
      <c r="AH93" s="210">
        <f>SUM(AH77:AH92)</f>
        <v>150259.742</v>
      </c>
      <c r="AI93" s="259">
        <f>AH93/AH12</f>
        <v>0.18660471419258207</v>
      </c>
      <c r="AJ93" s="297">
        <f t="shared" si="10"/>
        <v>307742.69177168951</v>
      </c>
      <c r="AK93" s="53">
        <f t="shared" si="11"/>
        <v>0</v>
      </c>
      <c r="AL93" s="53">
        <f t="shared" si="12"/>
        <v>145368.87671232878</v>
      </c>
      <c r="AM93" s="53">
        <f t="shared" si="13"/>
        <v>1138722.8675799086</v>
      </c>
      <c r="AN93" s="53" t="e">
        <f>#REF!-AM93</f>
        <v>#REF!</v>
      </c>
      <c r="AO93" s="53"/>
    </row>
    <row r="94" spans="1:41" ht="15.75" thickTop="1">
      <c r="A94" s="99">
        <v>6301</v>
      </c>
      <c r="B94" s="115" t="s">
        <v>37</v>
      </c>
      <c r="C94" s="18">
        <f>BCC!C94+Sheet1!C94</f>
        <v>0</v>
      </c>
      <c r="D94" s="49"/>
      <c r="E94" s="18">
        <f>BCC!E94+Sheet1!E94</f>
        <v>0</v>
      </c>
      <c r="F94" s="49"/>
      <c r="G94" s="18">
        <f>BCC!G94+Sheet1!G94</f>
        <v>0</v>
      </c>
      <c r="H94" s="49"/>
      <c r="I94" s="18">
        <f>BCC!I94+Sheet1!I94</f>
        <v>0</v>
      </c>
      <c r="J94" s="49"/>
      <c r="K94" s="18">
        <f>BCC!K94+Sheet1!K94</f>
        <v>0</v>
      </c>
      <c r="L94" s="49"/>
      <c r="M94" s="18">
        <f>BCC!M94+Sheet1!M94</f>
        <v>0</v>
      </c>
      <c r="N94" s="49"/>
      <c r="O94" s="18">
        <f>BCC!O94+Sheet1!O94</f>
        <v>0</v>
      </c>
      <c r="P94" s="49"/>
      <c r="Q94" s="18">
        <f>BCC!Q94+Sheet1!Q94</f>
        <v>0</v>
      </c>
      <c r="R94" s="49"/>
      <c r="S94" s="18">
        <f>BCC!S94+Sheet1!S94</f>
        <v>0</v>
      </c>
      <c r="T94" s="49"/>
      <c r="U94" s="18">
        <f>BCC!U94+Sheet1!U94</f>
        <v>0</v>
      </c>
      <c r="V94" s="49"/>
      <c r="W94" s="18">
        <f>BCC!W94+Sheet1!W94</f>
        <v>0</v>
      </c>
      <c r="X94" s="49"/>
      <c r="Y94" s="18">
        <f>BCC!Y94+Sheet1!Y94</f>
        <v>0</v>
      </c>
      <c r="Z94" s="179"/>
      <c r="AA94" s="286">
        <f t="shared" si="7"/>
        <v>0</v>
      </c>
      <c r="AB94" s="214"/>
      <c r="AC94" s="205">
        <f t="shared" si="8"/>
        <v>0</v>
      </c>
      <c r="AD94" s="214"/>
      <c r="AE94" s="75"/>
      <c r="AF94" s="169"/>
      <c r="AG94" s="75"/>
      <c r="AH94" s="209"/>
      <c r="AI94" s="255">
        <f>AH94/AH12</f>
        <v>0</v>
      </c>
      <c r="AJ94" s="293">
        <f t="shared" si="10"/>
        <v>0</v>
      </c>
      <c r="AK94" s="53">
        <f t="shared" si="11"/>
        <v>0</v>
      </c>
      <c r="AL94" s="53">
        <f t="shared" si="12"/>
        <v>0</v>
      </c>
      <c r="AM94" s="53">
        <f t="shared" si="13"/>
        <v>0</v>
      </c>
      <c r="AN94" s="53" t="e">
        <f>#REF!-AM94</f>
        <v>#REF!</v>
      </c>
      <c r="AO94" s="53"/>
    </row>
    <row r="95" spans="1:41">
      <c r="A95" s="99">
        <v>6302</v>
      </c>
      <c r="B95" s="115" t="s">
        <v>38</v>
      </c>
      <c r="C95" s="18">
        <f>BCC!C95+Sheet1!C95</f>
        <v>1793.925</v>
      </c>
      <c r="D95" s="49"/>
      <c r="E95" s="18">
        <f>BCC!E95+Sheet1!E95</f>
        <v>1793.925</v>
      </c>
      <c r="F95" s="49"/>
      <c r="G95" s="18">
        <f>BCC!G95+Sheet1!G95</f>
        <v>1793.925</v>
      </c>
      <c r="H95" s="49"/>
      <c r="I95" s="18">
        <f>BCC!I95+Sheet1!I95</f>
        <v>1793.925</v>
      </c>
      <c r="J95" s="49"/>
      <c r="K95" s="18">
        <f>BCC!K95+Sheet1!K95</f>
        <v>1793.925</v>
      </c>
      <c r="L95" s="49"/>
      <c r="M95" s="18">
        <f>BCC!M95+Sheet1!M95</f>
        <v>1793.925</v>
      </c>
      <c r="N95" s="49"/>
      <c r="O95" s="18">
        <f>BCC!O95+Sheet1!O95</f>
        <v>1793.925</v>
      </c>
      <c r="P95" s="49"/>
      <c r="Q95" s="18">
        <f>BCC!Q95+Sheet1!Q95</f>
        <v>1793.925</v>
      </c>
      <c r="R95" s="49"/>
      <c r="S95" s="18">
        <f>BCC!S95+Sheet1!S95</f>
        <v>1793.925</v>
      </c>
      <c r="T95" s="49"/>
      <c r="U95" s="18">
        <f>BCC!U95+Sheet1!U95</f>
        <v>1793.925</v>
      </c>
      <c r="V95" s="49"/>
      <c r="W95" s="18">
        <f>BCC!W95+Sheet1!W95</f>
        <v>1793.925</v>
      </c>
      <c r="X95" s="49"/>
      <c r="Y95" s="18">
        <f>BCC!Y95+Sheet1!Y95</f>
        <v>1847.4750000000001</v>
      </c>
      <c r="Z95" s="179"/>
      <c r="AA95" s="286">
        <f t="shared" si="7"/>
        <v>21580.649999999994</v>
      </c>
      <c r="AB95" s="214"/>
      <c r="AC95" s="205">
        <f t="shared" si="8"/>
        <v>1798.3874999999996</v>
      </c>
      <c r="AD95" s="214"/>
      <c r="AE95" s="75"/>
      <c r="AF95" s="169"/>
      <c r="AG95" s="75"/>
      <c r="AH95" s="209"/>
      <c r="AI95" s="255">
        <f>AH95/AH12</f>
        <v>0</v>
      </c>
      <c r="AJ95" s="293">
        <f t="shared" si="10"/>
        <v>23379.037499999995</v>
      </c>
      <c r="AK95" s="53">
        <f t="shared" si="11"/>
        <v>0</v>
      </c>
      <c r="AL95" s="53">
        <f t="shared" si="12"/>
        <v>21580.649999999994</v>
      </c>
      <c r="AM95" s="53">
        <f t="shared" si="13"/>
        <v>169132.32</v>
      </c>
      <c r="AN95" s="53" t="e">
        <f>#REF!-AM95</f>
        <v>#REF!</v>
      </c>
      <c r="AO95" s="53"/>
    </row>
    <row r="96" spans="1:41">
      <c r="A96" s="99">
        <v>6303</v>
      </c>
      <c r="B96" s="2" t="s">
        <v>117</v>
      </c>
      <c r="C96" s="18">
        <f>BCC!C96+Sheet1!C96</f>
        <v>0</v>
      </c>
      <c r="D96" s="49"/>
      <c r="E96" s="18">
        <f>BCC!E96+Sheet1!E96</f>
        <v>0</v>
      </c>
      <c r="F96" s="49"/>
      <c r="G96" s="18">
        <f>BCC!G96+Sheet1!G96</f>
        <v>0</v>
      </c>
      <c r="H96" s="49"/>
      <c r="I96" s="18">
        <f>BCC!I96+Sheet1!I96</f>
        <v>0</v>
      </c>
      <c r="J96" s="49"/>
      <c r="K96" s="18">
        <f>BCC!K96+Sheet1!K96</f>
        <v>0</v>
      </c>
      <c r="L96" s="49"/>
      <c r="M96" s="18">
        <f>BCC!M96+Sheet1!M96</f>
        <v>0</v>
      </c>
      <c r="N96" s="49"/>
      <c r="O96" s="18">
        <f>BCC!O96+Sheet1!O96</f>
        <v>0</v>
      </c>
      <c r="P96" s="49"/>
      <c r="Q96" s="18">
        <f>BCC!Q96+Sheet1!Q96</f>
        <v>0</v>
      </c>
      <c r="R96" s="49"/>
      <c r="S96" s="18">
        <f>BCC!S96+Sheet1!S96</f>
        <v>0</v>
      </c>
      <c r="T96" s="49"/>
      <c r="U96" s="18">
        <f>BCC!U96+Sheet1!U96</f>
        <v>0</v>
      </c>
      <c r="V96" s="49"/>
      <c r="W96" s="18">
        <f>BCC!W96+Sheet1!W96</f>
        <v>0</v>
      </c>
      <c r="X96" s="49"/>
      <c r="Y96" s="18">
        <f>BCC!Y96+Sheet1!Y96</f>
        <v>0</v>
      </c>
      <c r="Z96" s="179"/>
      <c r="AA96" s="286">
        <f t="shared" si="7"/>
        <v>0</v>
      </c>
      <c r="AB96" s="214"/>
      <c r="AC96" s="205">
        <f t="shared" si="8"/>
        <v>0</v>
      </c>
      <c r="AD96" s="214"/>
      <c r="AE96" s="75"/>
      <c r="AF96" s="169"/>
      <c r="AG96" s="75"/>
      <c r="AH96" s="209"/>
      <c r="AI96" s="255">
        <f>AH96/AH12</f>
        <v>0</v>
      </c>
      <c r="AJ96" s="293">
        <f t="shared" si="10"/>
        <v>0</v>
      </c>
      <c r="AK96" s="53">
        <f t="shared" si="11"/>
        <v>0</v>
      </c>
      <c r="AL96" s="53">
        <f t="shared" si="12"/>
        <v>0</v>
      </c>
      <c r="AM96" s="53">
        <f t="shared" si="13"/>
        <v>0</v>
      </c>
      <c r="AN96" s="53" t="e">
        <f>#REF!-AM96</f>
        <v>#REF!</v>
      </c>
      <c r="AO96" s="53"/>
    </row>
    <row r="97" spans="1:41">
      <c r="A97" s="99">
        <v>6304</v>
      </c>
      <c r="B97" s="2" t="s">
        <v>39</v>
      </c>
      <c r="C97" s="18">
        <f>BCC!C97+Sheet1!C97</f>
        <v>0</v>
      </c>
      <c r="D97" s="49"/>
      <c r="E97" s="18">
        <f>BCC!E97+Sheet1!E97</f>
        <v>0</v>
      </c>
      <c r="F97" s="49"/>
      <c r="G97" s="18">
        <f>BCC!G97+Sheet1!G97</f>
        <v>0</v>
      </c>
      <c r="H97" s="49"/>
      <c r="I97" s="18">
        <f>BCC!I97+Sheet1!I97</f>
        <v>0</v>
      </c>
      <c r="J97" s="49"/>
      <c r="K97" s="18">
        <f>BCC!K97+Sheet1!K97</f>
        <v>0</v>
      </c>
      <c r="L97" s="49"/>
      <c r="M97" s="18">
        <f>BCC!M97+Sheet1!M97</f>
        <v>0</v>
      </c>
      <c r="N97" s="49"/>
      <c r="O97" s="18">
        <f>BCC!O97+Sheet1!O97</f>
        <v>0</v>
      </c>
      <c r="P97" s="49"/>
      <c r="Q97" s="18">
        <f>BCC!Q97+Sheet1!Q97</f>
        <v>0</v>
      </c>
      <c r="R97" s="49"/>
      <c r="S97" s="18">
        <f>BCC!S97+Sheet1!S97</f>
        <v>0</v>
      </c>
      <c r="T97" s="49"/>
      <c r="U97" s="18">
        <f>BCC!U97+Sheet1!U97</f>
        <v>0</v>
      </c>
      <c r="V97" s="49"/>
      <c r="W97" s="18">
        <f>BCC!W97+Sheet1!W97</f>
        <v>0</v>
      </c>
      <c r="X97" s="49"/>
      <c r="Y97" s="18">
        <f>BCC!Y97+Sheet1!Y97</f>
        <v>0</v>
      </c>
      <c r="Z97" s="179"/>
      <c r="AA97" s="286">
        <f t="shared" si="7"/>
        <v>0</v>
      </c>
      <c r="AB97" s="214"/>
      <c r="AC97" s="205">
        <f t="shared" si="8"/>
        <v>0</v>
      </c>
      <c r="AD97" s="214"/>
      <c r="AE97" s="75"/>
      <c r="AF97" s="169"/>
      <c r="AG97" s="75"/>
      <c r="AH97" s="209">
        <v>9593.5680851063844</v>
      </c>
      <c r="AI97" s="255">
        <f>AH97/AH12</f>
        <v>1.1914069642208982E-2</v>
      </c>
      <c r="AJ97" s="293">
        <f t="shared" si="10"/>
        <v>9593.5680851063844</v>
      </c>
      <c r="AK97" s="53">
        <f t="shared" si="11"/>
        <v>0</v>
      </c>
      <c r="AL97" s="53">
        <f t="shared" si="12"/>
        <v>0</v>
      </c>
      <c r="AM97" s="53">
        <f t="shared" si="13"/>
        <v>0</v>
      </c>
      <c r="AN97" s="53" t="e">
        <f>#REF!-AM97</f>
        <v>#REF!</v>
      </c>
      <c r="AO97" s="53"/>
    </row>
    <row r="98" spans="1:41">
      <c r="A98" s="99">
        <v>6305</v>
      </c>
      <c r="B98" s="2" t="s">
        <v>40</v>
      </c>
      <c r="C98" s="18">
        <f>BCC!C98+Sheet1!C98</f>
        <v>0</v>
      </c>
      <c r="D98" s="49"/>
      <c r="E98" s="18">
        <f>BCC!E98+Sheet1!E98</f>
        <v>0</v>
      </c>
      <c r="F98" s="49"/>
      <c r="G98" s="18">
        <f>BCC!G98+Sheet1!G98</f>
        <v>0</v>
      </c>
      <c r="H98" s="49"/>
      <c r="I98" s="18">
        <f>BCC!I98+Sheet1!I98</f>
        <v>0</v>
      </c>
      <c r="J98" s="49"/>
      <c r="K98" s="18">
        <f>BCC!K98+Sheet1!K98</f>
        <v>0</v>
      </c>
      <c r="L98" s="49"/>
      <c r="M98" s="18">
        <f>BCC!M98+Sheet1!M98</f>
        <v>0</v>
      </c>
      <c r="N98" s="49"/>
      <c r="O98" s="18">
        <f>BCC!O98+Sheet1!O98</f>
        <v>0</v>
      </c>
      <c r="P98" s="49"/>
      <c r="Q98" s="18">
        <f>BCC!Q98+Sheet1!Q98</f>
        <v>0</v>
      </c>
      <c r="R98" s="49"/>
      <c r="S98" s="18">
        <f>BCC!S98+Sheet1!S98</f>
        <v>0</v>
      </c>
      <c r="T98" s="49"/>
      <c r="U98" s="18">
        <f>BCC!U98+Sheet1!U98</f>
        <v>0</v>
      </c>
      <c r="V98" s="49"/>
      <c r="W98" s="18">
        <f>BCC!W98+Sheet1!W98</f>
        <v>0</v>
      </c>
      <c r="X98" s="49"/>
      <c r="Y98" s="18">
        <f>BCC!Y98+Sheet1!Y98</f>
        <v>0</v>
      </c>
      <c r="Z98" s="179"/>
      <c r="AA98" s="286">
        <f t="shared" si="7"/>
        <v>0</v>
      </c>
      <c r="AB98" s="214"/>
      <c r="AC98" s="205">
        <f t="shared" si="8"/>
        <v>0</v>
      </c>
      <c r="AD98" s="214"/>
      <c r="AE98" s="75"/>
      <c r="AF98" s="169"/>
      <c r="AG98" s="75"/>
      <c r="AH98" s="209">
        <v>2468.3266990881457</v>
      </c>
      <c r="AI98" s="255">
        <f>AH98/AH12</f>
        <v>3.0653679560907472E-3</v>
      </c>
      <c r="AJ98" s="293">
        <f t="shared" si="10"/>
        <v>2468.3266990881457</v>
      </c>
      <c r="AK98" s="53">
        <f t="shared" si="11"/>
        <v>0</v>
      </c>
      <c r="AL98" s="53">
        <f t="shared" si="12"/>
        <v>0</v>
      </c>
      <c r="AM98" s="53">
        <f t="shared" si="13"/>
        <v>0</v>
      </c>
      <c r="AN98" s="53" t="e">
        <f>#REF!-AM98</f>
        <v>#REF!</v>
      </c>
      <c r="AO98" s="53"/>
    </row>
    <row r="99" spans="1:41">
      <c r="A99" s="99">
        <v>6306</v>
      </c>
      <c r="B99" s="2" t="s">
        <v>41</v>
      </c>
      <c r="C99" s="18">
        <f>BCC!C99+Sheet1!C99</f>
        <v>0</v>
      </c>
      <c r="D99" s="49"/>
      <c r="E99" s="18">
        <f>BCC!E99+Sheet1!E99</f>
        <v>0</v>
      </c>
      <c r="F99" s="49"/>
      <c r="G99" s="18">
        <f>BCC!G99+Sheet1!G99</f>
        <v>0</v>
      </c>
      <c r="H99" s="49"/>
      <c r="I99" s="18">
        <f>BCC!I99+Sheet1!I99</f>
        <v>0</v>
      </c>
      <c r="J99" s="49"/>
      <c r="K99" s="18">
        <f>BCC!K99+Sheet1!K99</f>
        <v>0</v>
      </c>
      <c r="L99" s="49"/>
      <c r="M99" s="18">
        <f>BCC!M99+Sheet1!M99</f>
        <v>0</v>
      </c>
      <c r="N99" s="49"/>
      <c r="O99" s="18">
        <f>BCC!O99+Sheet1!O99</f>
        <v>0</v>
      </c>
      <c r="P99" s="49"/>
      <c r="Q99" s="18">
        <f>BCC!Q99+Sheet1!Q99</f>
        <v>0</v>
      </c>
      <c r="R99" s="49"/>
      <c r="S99" s="18">
        <f>BCC!S99+Sheet1!S99</f>
        <v>0</v>
      </c>
      <c r="T99" s="49"/>
      <c r="U99" s="18">
        <f>BCC!U99+Sheet1!U99</f>
        <v>0</v>
      </c>
      <c r="V99" s="49"/>
      <c r="W99" s="18">
        <f>BCC!W99+Sheet1!W99</f>
        <v>0</v>
      </c>
      <c r="X99" s="49"/>
      <c r="Y99" s="18">
        <f>BCC!Y99+Sheet1!Y99</f>
        <v>0</v>
      </c>
      <c r="Z99" s="179"/>
      <c r="AA99" s="286">
        <f t="shared" si="7"/>
        <v>0</v>
      </c>
      <c r="AB99" s="214"/>
      <c r="AC99" s="205">
        <f t="shared" si="8"/>
        <v>0</v>
      </c>
      <c r="AD99" s="214"/>
      <c r="AE99" s="75"/>
      <c r="AF99" s="169"/>
      <c r="AG99" s="75"/>
      <c r="AH99" s="209">
        <v>0</v>
      </c>
      <c r="AI99" s="255">
        <f>AH99/AH12</f>
        <v>0</v>
      </c>
      <c r="AJ99" s="293">
        <f t="shared" si="10"/>
        <v>0</v>
      </c>
      <c r="AK99" s="53">
        <f t="shared" si="11"/>
        <v>0</v>
      </c>
      <c r="AL99" s="53">
        <f t="shared" si="12"/>
        <v>0</v>
      </c>
      <c r="AM99" s="53">
        <f t="shared" si="13"/>
        <v>0</v>
      </c>
      <c r="AN99" s="53" t="e">
        <f>#REF!-AM99</f>
        <v>#REF!</v>
      </c>
      <c r="AO99" s="53"/>
    </row>
    <row r="100" spans="1:41" s="408" customFormat="1">
      <c r="A100" s="99">
        <v>6307</v>
      </c>
      <c r="B100" s="2" t="s">
        <v>324</v>
      </c>
      <c r="C100" s="18">
        <f>BCC!C100+Sheet1!C100</f>
        <v>0</v>
      </c>
      <c r="D100" s="49"/>
      <c r="E100" s="18">
        <f>BCC!E100+Sheet1!E100</f>
        <v>44.224765868886578</v>
      </c>
      <c r="F100" s="49"/>
      <c r="G100" s="18">
        <f>BCC!G100+Sheet1!G100</f>
        <v>44.224765868886578</v>
      </c>
      <c r="H100" s="49"/>
      <c r="I100" s="18">
        <f>BCC!I100+Sheet1!I100</f>
        <v>281.58168574401668</v>
      </c>
      <c r="J100" s="49"/>
      <c r="K100" s="18">
        <f>BCC!K100+Sheet1!K100</f>
        <v>44.224765868886578</v>
      </c>
      <c r="L100" s="49"/>
      <c r="M100" s="18">
        <f>BCC!M100+Sheet1!M100</f>
        <v>0</v>
      </c>
      <c r="N100" s="49"/>
      <c r="O100" s="18">
        <f>BCC!O100+Sheet1!O100</f>
        <v>44.224765868886578</v>
      </c>
      <c r="P100" s="49"/>
      <c r="Q100" s="18">
        <f>BCC!Q100+Sheet1!Q100</f>
        <v>44.224765868886578</v>
      </c>
      <c r="R100" s="49"/>
      <c r="S100" s="18">
        <f>BCC!S100+Sheet1!S100</f>
        <v>44.224765868886578</v>
      </c>
      <c r="T100" s="49"/>
      <c r="U100" s="18">
        <f>BCC!U100+Sheet1!U100</f>
        <v>44.224765868886578</v>
      </c>
      <c r="V100" s="49"/>
      <c r="W100" s="18">
        <f>BCC!W100+Sheet1!W100</f>
        <v>44.224765868886578</v>
      </c>
      <c r="X100" s="49"/>
      <c r="Y100" s="18">
        <f>BCC!Y100+Sheet1!Y100</f>
        <v>44.224765868886578</v>
      </c>
      <c r="Z100" s="179"/>
      <c r="AA100" s="286">
        <f t="shared" si="7"/>
        <v>679.60457856399603</v>
      </c>
      <c r="AB100" s="214"/>
      <c r="AC100" s="205">
        <f t="shared" si="8"/>
        <v>56.633714880333002</v>
      </c>
      <c r="AD100" s="214"/>
      <c r="AE100" s="75"/>
      <c r="AF100" s="169"/>
      <c r="AG100" s="75"/>
      <c r="AH100" s="209"/>
      <c r="AI100" s="255"/>
      <c r="AJ100" s="293"/>
      <c r="AK100" s="53"/>
      <c r="AL100" s="53"/>
      <c r="AM100" s="53"/>
      <c r="AN100" s="53"/>
      <c r="AO100" s="53"/>
    </row>
    <row r="101" spans="1:41">
      <c r="A101" s="2">
        <v>6308</v>
      </c>
      <c r="B101" s="2" t="s">
        <v>130</v>
      </c>
      <c r="C101" s="18">
        <f>BCC!C101+Sheet1!C101</f>
        <v>0</v>
      </c>
      <c r="D101" s="49"/>
      <c r="E101" s="18">
        <f>BCC!E101+Sheet1!E101</f>
        <v>0</v>
      </c>
      <c r="F101" s="49"/>
      <c r="G101" s="18">
        <f>BCC!G101+Sheet1!G101</f>
        <v>0</v>
      </c>
      <c r="H101" s="49"/>
      <c r="I101" s="18">
        <f>BCC!I101+Sheet1!I101</f>
        <v>0</v>
      </c>
      <c r="J101" s="49"/>
      <c r="K101" s="18">
        <f>BCC!K101+Sheet1!K101</f>
        <v>0</v>
      </c>
      <c r="L101" s="49"/>
      <c r="M101" s="18">
        <f>BCC!M101+Sheet1!M101</f>
        <v>0</v>
      </c>
      <c r="N101" s="49"/>
      <c r="O101" s="18">
        <f>BCC!O101+Sheet1!O101</f>
        <v>0</v>
      </c>
      <c r="P101" s="49"/>
      <c r="Q101" s="18">
        <f>BCC!Q101+Sheet1!Q101</f>
        <v>0</v>
      </c>
      <c r="R101" s="49"/>
      <c r="S101" s="18">
        <f>BCC!S101+Sheet1!S101</f>
        <v>0</v>
      </c>
      <c r="T101" s="49"/>
      <c r="U101" s="18">
        <f>BCC!U101+Sheet1!U101</f>
        <v>0</v>
      </c>
      <c r="V101" s="49"/>
      <c r="W101" s="18">
        <f>BCC!W101+Sheet1!W101</f>
        <v>0</v>
      </c>
      <c r="X101" s="49"/>
      <c r="Y101" s="18">
        <f>BCC!Y101+Sheet1!Y101</f>
        <v>0</v>
      </c>
      <c r="Z101" s="179"/>
      <c r="AA101" s="286">
        <f t="shared" si="7"/>
        <v>0</v>
      </c>
      <c r="AB101" s="214"/>
      <c r="AC101" s="205">
        <f t="shared" si="8"/>
        <v>0</v>
      </c>
      <c r="AD101" s="214"/>
      <c r="AE101" s="75"/>
      <c r="AF101" s="169"/>
      <c r="AG101" s="75"/>
      <c r="AH101" s="209">
        <v>0</v>
      </c>
      <c r="AI101" s="255">
        <f>AH101/AH12</f>
        <v>0</v>
      </c>
      <c r="AJ101" s="293">
        <f t="shared" si="10"/>
        <v>0</v>
      </c>
      <c r="AK101" s="53">
        <f t="shared" si="11"/>
        <v>0</v>
      </c>
      <c r="AL101" s="53">
        <f t="shared" si="12"/>
        <v>0</v>
      </c>
      <c r="AM101" s="53">
        <f t="shared" si="13"/>
        <v>0</v>
      </c>
      <c r="AN101" s="53" t="e">
        <f>#REF!-AM101</f>
        <v>#REF!</v>
      </c>
      <c r="AO101" s="53"/>
    </row>
    <row r="102" spans="1:41">
      <c r="A102" s="2">
        <v>6309</v>
      </c>
      <c r="B102" s="2" t="s">
        <v>131</v>
      </c>
      <c r="C102" s="18">
        <f>BCC!C102+Sheet1!C102</f>
        <v>373.63011264000005</v>
      </c>
      <c r="D102" s="49"/>
      <c r="E102" s="18">
        <f>BCC!E102+Sheet1!E102</f>
        <v>377.36641376640006</v>
      </c>
      <c r="F102" s="49"/>
      <c r="G102" s="18">
        <f>BCC!G102+Sheet1!G102</f>
        <v>192.45687102086407</v>
      </c>
      <c r="H102" s="49"/>
      <c r="I102" s="18">
        <f>BCC!I102+Sheet1!I102</f>
        <v>196.30600844128134</v>
      </c>
      <c r="J102" s="49"/>
      <c r="K102" s="18">
        <f>BCC!K102+Sheet1!K102</f>
        <v>400.46425722021394</v>
      </c>
      <c r="L102" s="49"/>
      <c r="M102" s="18">
        <f>BCC!M102+Sheet1!M102</f>
        <v>204.23677118230913</v>
      </c>
      <c r="N102" s="49"/>
      <c r="O102" s="18">
        <f>BCC!O102+Sheet1!O102</f>
        <v>206.27913889413219</v>
      </c>
      <c r="P102" s="49"/>
      <c r="Q102" s="18">
        <f>BCC!Q102+Sheet1!Q102</f>
        <v>208.34193028307351</v>
      </c>
      <c r="R102" s="49"/>
      <c r="S102" s="18">
        <f>BCC!S102+Sheet1!S102</f>
        <v>420.85069917180851</v>
      </c>
      <c r="T102" s="49"/>
      <c r="U102" s="18">
        <f>BCC!U102+Sheet1!U102</f>
        <v>425.90090756187021</v>
      </c>
      <c r="V102" s="49"/>
      <c r="W102" s="18">
        <f>BCC!W102+Sheet1!W102</f>
        <v>217.20946285655378</v>
      </c>
      <c r="X102" s="49"/>
      <c r="Y102" s="18">
        <f>BCC!Y102+Sheet1!Y102</f>
        <v>221.55365211368488</v>
      </c>
      <c r="Z102" s="179"/>
      <c r="AA102" s="286">
        <f t="shared" si="7"/>
        <v>3444.5962251521919</v>
      </c>
      <c r="AB102" s="214"/>
      <c r="AC102" s="205">
        <f t="shared" si="8"/>
        <v>287.04968542934932</v>
      </c>
      <c r="AD102" s="214"/>
      <c r="AE102" s="75"/>
      <c r="AF102" s="169"/>
      <c r="AG102" s="75"/>
      <c r="AH102" s="209">
        <v>5263.5292553191493</v>
      </c>
      <c r="AI102" s="255">
        <f>AH102/AH12</f>
        <v>6.5366768188190039E-3</v>
      </c>
      <c r="AJ102" s="293">
        <f t="shared" si="10"/>
        <v>8995.1751659006914</v>
      </c>
      <c r="AK102" s="53">
        <f t="shared" si="11"/>
        <v>0</v>
      </c>
      <c r="AL102" s="53">
        <f t="shared" si="12"/>
        <v>3444.5962251521919</v>
      </c>
      <c r="AM102" s="53">
        <f t="shared" si="13"/>
        <v>25319.837168210441</v>
      </c>
      <c r="AN102" s="53" t="e">
        <f>#REF!-AM102</f>
        <v>#REF!</v>
      </c>
      <c r="AO102" s="53"/>
    </row>
    <row r="103" spans="1:41">
      <c r="A103" s="2">
        <v>6310</v>
      </c>
      <c r="B103" s="2" t="s">
        <v>132</v>
      </c>
      <c r="C103" s="18">
        <f>BCC!C103+Sheet1!C103</f>
        <v>83.246618106139437</v>
      </c>
      <c r="D103" s="49"/>
      <c r="E103" s="18">
        <f>BCC!E103+Sheet1!E103</f>
        <v>83.246618106139437</v>
      </c>
      <c r="F103" s="49"/>
      <c r="G103" s="18">
        <f>BCC!G103+Sheet1!G103</f>
        <v>83.246618106139437</v>
      </c>
      <c r="H103" s="49"/>
      <c r="I103" s="18">
        <f>BCC!I103+Sheet1!I103</f>
        <v>83.246618106139437</v>
      </c>
      <c r="J103" s="49"/>
      <c r="K103" s="18">
        <f>BCC!K103+Sheet1!K103</f>
        <v>83.246618106139437</v>
      </c>
      <c r="L103" s="49"/>
      <c r="M103" s="18">
        <f>BCC!M103+Sheet1!M103</f>
        <v>0</v>
      </c>
      <c r="N103" s="49"/>
      <c r="O103" s="18">
        <f>BCC!O103+Sheet1!O103</f>
        <v>83.246618106139437</v>
      </c>
      <c r="P103" s="49"/>
      <c r="Q103" s="18">
        <f>BCC!Q103+Sheet1!Q103</f>
        <v>83.246618106139437</v>
      </c>
      <c r="R103" s="49"/>
      <c r="S103" s="18">
        <f>BCC!S103+Sheet1!S103</f>
        <v>83.246618106139437</v>
      </c>
      <c r="T103" s="49"/>
      <c r="U103" s="18">
        <f>BCC!U103+Sheet1!U103</f>
        <v>83.246618106139437</v>
      </c>
      <c r="V103" s="49"/>
      <c r="W103" s="18">
        <f>BCC!W103+Sheet1!W103</f>
        <v>83.246618106139437</v>
      </c>
      <c r="X103" s="49"/>
      <c r="Y103" s="18">
        <f>BCC!Y103+Sheet1!Y103</f>
        <v>83.246618106139437</v>
      </c>
      <c r="Z103" s="179"/>
      <c r="AA103" s="286">
        <f t="shared" si="7"/>
        <v>915.7127991675336</v>
      </c>
      <c r="AB103" s="214"/>
      <c r="AC103" s="205">
        <f t="shared" si="8"/>
        <v>76.309399930627805</v>
      </c>
      <c r="AD103" s="214"/>
      <c r="AE103" s="75"/>
      <c r="AF103" s="169"/>
      <c r="AG103" s="75"/>
      <c r="AH103" s="209">
        <v>2500</v>
      </c>
      <c r="AI103" s="255">
        <f>AH103/AH12</f>
        <v>3.10470242575989E-3</v>
      </c>
      <c r="AJ103" s="293">
        <f t="shared" si="10"/>
        <v>3492.0221990981613</v>
      </c>
      <c r="AK103" s="53">
        <f t="shared" si="11"/>
        <v>0</v>
      </c>
      <c r="AL103" s="53">
        <f t="shared" si="12"/>
        <v>915.7127991675336</v>
      </c>
      <c r="AM103" s="53">
        <f t="shared" si="13"/>
        <v>7042.6638917793962</v>
      </c>
      <c r="AN103" s="53" t="e">
        <f>#REF!-AM103</f>
        <v>#REF!</v>
      </c>
      <c r="AO103" s="53"/>
    </row>
    <row r="104" spans="1:41">
      <c r="A104" s="2">
        <v>6311</v>
      </c>
      <c r="B104" s="2" t="s">
        <v>133</v>
      </c>
      <c r="C104" s="18">
        <f>BCC!C104+Sheet1!C104</f>
        <v>936.52445369406871</v>
      </c>
      <c r="D104" s="49"/>
      <c r="E104" s="18">
        <f>BCC!E104+Sheet1!E104</f>
        <v>0</v>
      </c>
      <c r="F104" s="49"/>
      <c r="G104" s="18">
        <f>BCC!G104+Sheet1!G104</f>
        <v>0</v>
      </c>
      <c r="H104" s="49"/>
      <c r="I104" s="18">
        <f>BCC!I104+Sheet1!I104</f>
        <v>0</v>
      </c>
      <c r="J104" s="49"/>
      <c r="K104" s="18">
        <f>BCC!K104+Sheet1!K104</f>
        <v>0</v>
      </c>
      <c r="L104" s="49"/>
      <c r="M104" s="18">
        <f>BCC!M104+Sheet1!M104</f>
        <v>0</v>
      </c>
      <c r="N104" s="49"/>
      <c r="O104" s="18">
        <f>BCC!O104+Sheet1!O104</f>
        <v>0</v>
      </c>
      <c r="P104" s="49"/>
      <c r="Q104" s="18">
        <f>BCC!Q104+Sheet1!Q104</f>
        <v>0</v>
      </c>
      <c r="R104" s="49"/>
      <c r="S104" s="18">
        <f>BCC!S104+Sheet1!S104</f>
        <v>0</v>
      </c>
      <c r="T104" s="49"/>
      <c r="U104" s="18">
        <f>BCC!U104+Sheet1!U104</f>
        <v>0</v>
      </c>
      <c r="V104" s="49"/>
      <c r="W104" s="18">
        <f>BCC!W104+Sheet1!W104</f>
        <v>0</v>
      </c>
      <c r="X104" s="49"/>
      <c r="Y104" s="18">
        <f>BCC!Y104+Sheet1!Y104</f>
        <v>0</v>
      </c>
      <c r="Z104" s="179"/>
      <c r="AA104" s="286">
        <f t="shared" si="7"/>
        <v>936.52445369406871</v>
      </c>
      <c r="AB104" s="214"/>
      <c r="AC104" s="205">
        <f t="shared" si="8"/>
        <v>78.043704474505731</v>
      </c>
      <c r="AD104" s="214"/>
      <c r="AE104" s="75"/>
      <c r="AF104" s="169"/>
      <c r="AG104" s="75"/>
      <c r="AH104" s="209">
        <v>4644.4148936170222</v>
      </c>
      <c r="AI104" s="255">
        <f>AH104/AH12</f>
        <v>5.7678104745792517E-3</v>
      </c>
      <c r="AJ104" s="293">
        <f t="shared" si="10"/>
        <v>5658.9830517855971</v>
      </c>
      <c r="AK104" s="53">
        <f t="shared" si="11"/>
        <v>0</v>
      </c>
      <c r="AL104" s="53">
        <f t="shared" si="12"/>
        <v>936.52445369406871</v>
      </c>
      <c r="AM104" s="53">
        <f t="shared" si="13"/>
        <v>0</v>
      </c>
      <c r="AN104" s="53" t="e">
        <f>#REF!-AM104</f>
        <v>#REF!</v>
      </c>
      <c r="AO104" s="53"/>
    </row>
    <row r="105" spans="1:41">
      <c r="A105" s="2">
        <v>6312</v>
      </c>
      <c r="B105" s="2" t="s">
        <v>134</v>
      </c>
      <c r="C105" s="18">
        <f>BCC!C105+Sheet1!C105</f>
        <v>0</v>
      </c>
      <c r="D105" s="49"/>
      <c r="E105" s="18">
        <f>BCC!E105+Sheet1!E105</f>
        <v>0</v>
      </c>
      <c r="F105" s="49"/>
      <c r="G105" s="18">
        <f>BCC!G105+Sheet1!G105</f>
        <v>0</v>
      </c>
      <c r="H105" s="49"/>
      <c r="I105" s="18">
        <f>BCC!I105+Sheet1!I105</f>
        <v>0</v>
      </c>
      <c r="J105" s="49"/>
      <c r="K105" s="18">
        <f>BCC!K105+Sheet1!K105</f>
        <v>0</v>
      </c>
      <c r="L105" s="49"/>
      <c r="M105" s="18">
        <f>BCC!M105+Sheet1!M105</f>
        <v>0</v>
      </c>
      <c r="N105" s="49"/>
      <c r="O105" s="18">
        <f>BCC!O105+Sheet1!O105</f>
        <v>0</v>
      </c>
      <c r="P105" s="49"/>
      <c r="Q105" s="18">
        <f>BCC!Q105+Sheet1!Q105</f>
        <v>0</v>
      </c>
      <c r="R105" s="49"/>
      <c r="S105" s="18">
        <f>BCC!S105+Sheet1!S105</f>
        <v>0</v>
      </c>
      <c r="T105" s="49"/>
      <c r="U105" s="18">
        <f>BCC!U105+Sheet1!U105</f>
        <v>0</v>
      </c>
      <c r="V105" s="49"/>
      <c r="W105" s="18">
        <f>BCC!W105+Sheet1!W105</f>
        <v>0</v>
      </c>
      <c r="X105" s="49"/>
      <c r="Y105" s="18">
        <f>BCC!Y105+Sheet1!Y105</f>
        <v>0</v>
      </c>
      <c r="Z105" s="179"/>
      <c r="AA105" s="286">
        <f t="shared" si="7"/>
        <v>0</v>
      </c>
      <c r="AB105" s="214"/>
      <c r="AC105" s="205">
        <f t="shared" si="8"/>
        <v>0</v>
      </c>
      <c r="AD105" s="214"/>
      <c r="AE105" s="75"/>
      <c r="AF105" s="169"/>
      <c r="AG105" s="75"/>
      <c r="AH105" s="209">
        <v>12000</v>
      </c>
      <c r="AI105" s="255">
        <f>AH105/AH12</f>
        <v>1.490257164364747E-2</v>
      </c>
      <c r="AJ105" s="293">
        <f t="shared" si="10"/>
        <v>12000</v>
      </c>
      <c r="AK105" s="53">
        <f t="shared" si="11"/>
        <v>0</v>
      </c>
      <c r="AL105" s="53">
        <f t="shared" si="12"/>
        <v>0</v>
      </c>
      <c r="AM105" s="53">
        <f t="shared" si="13"/>
        <v>0</v>
      </c>
      <c r="AN105" s="53" t="e">
        <f>#REF!-AM105</f>
        <v>#REF!</v>
      </c>
      <c r="AO105" s="53"/>
    </row>
    <row r="106" spans="1:41">
      <c r="A106" s="2">
        <v>6313</v>
      </c>
      <c r="B106" s="2" t="s">
        <v>135</v>
      </c>
      <c r="C106" s="18">
        <f>BCC!C106+Sheet1!C106</f>
        <v>0</v>
      </c>
      <c r="D106" s="49"/>
      <c r="E106" s="18">
        <f>BCC!E106+Sheet1!E106</f>
        <v>236.49607416516889</v>
      </c>
      <c r="F106" s="49"/>
      <c r="G106" s="18">
        <f>BCC!G106+Sheet1!G106</f>
        <v>0</v>
      </c>
      <c r="H106" s="49"/>
      <c r="I106" s="18">
        <f>BCC!I106+Sheet1!I106</f>
        <v>0</v>
      </c>
      <c r="J106" s="49"/>
      <c r="K106" s="18">
        <f>BCC!K106+Sheet1!K106</f>
        <v>236.49607416516889</v>
      </c>
      <c r="L106" s="49"/>
      <c r="M106" s="18">
        <f>BCC!M106+Sheet1!M106</f>
        <v>0</v>
      </c>
      <c r="N106" s="49"/>
      <c r="O106" s="18">
        <f>BCC!O106+Sheet1!O106</f>
        <v>0</v>
      </c>
      <c r="P106" s="49"/>
      <c r="Q106" s="18">
        <f>BCC!Q106+Sheet1!Q106</f>
        <v>236.49607416516889</v>
      </c>
      <c r="R106" s="49"/>
      <c r="S106" s="18">
        <f>BCC!S106+Sheet1!S106</f>
        <v>0</v>
      </c>
      <c r="T106" s="49"/>
      <c r="U106" s="18">
        <f>BCC!U106+Sheet1!U106</f>
        <v>0</v>
      </c>
      <c r="V106" s="49"/>
      <c r="W106" s="18">
        <f>BCC!W106+Sheet1!W106</f>
        <v>0</v>
      </c>
      <c r="X106" s="49"/>
      <c r="Y106" s="18">
        <f>BCC!Y106+Sheet1!Y106</f>
        <v>236.49607416516889</v>
      </c>
      <c r="Z106" s="179"/>
      <c r="AA106" s="286">
        <f t="shared" si="7"/>
        <v>945.98429666067557</v>
      </c>
      <c r="AB106" s="214"/>
      <c r="AC106" s="205">
        <f t="shared" si="8"/>
        <v>78.832024721722959</v>
      </c>
      <c r="AD106" s="214"/>
      <c r="AE106" s="75"/>
      <c r="AF106" s="169"/>
      <c r="AG106" s="75"/>
      <c r="AH106" s="209"/>
      <c r="AI106" s="255"/>
      <c r="AJ106" s="293"/>
      <c r="AK106" s="53"/>
      <c r="AL106" s="53"/>
      <c r="AM106" s="53"/>
      <c r="AN106" s="53"/>
      <c r="AO106" s="53"/>
    </row>
    <row r="107" spans="1:41">
      <c r="A107" s="2">
        <v>6314</v>
      </c>
      <c r="B107" s="2" t="s">
        <v>247</v>
      </c>
      <c r="C107" s="18">
        <f>BCC!C107+Sheet1!C107</f>
        <v>0</v>
      </c>
      <c r="D107" s="49"/>
      <c r="E107" s="18">
        <f>BCC!E107+Sheet1!E107</f>
        <v>0</v>
      </c>
      <c r="F107" s="49"/>
      <c r="G107" s="18">
        <f>BCC!G107+Sheet1!G107</f>
        <v>0</v>
      </c>
      <c r="H107" s="49"/>
      <c r="I107" s="18">
        <f>BCC!I107+Sheet1!I107</f>
        <v>0</v>
      </c>
      <c r="J107" s="49"/>
      <c r="K107" s="18">
        <f>BCC!K107+Sheet1!K107</f>
        <v>0</v>
      </c>
      <c r="L107" s="49"/>
      <c r="M107" s="18">
        <f>BCC!M107+Sheet1!M107</f>
        <v>0</v>
      </c>
      <c r="N107" s="49"/>
      <c r="O107" s="18">
        <f>BCC!O107+Sheet1!O107</f>
        <v>0</v>
      </c>
      <c r="P107" s="49"/>
      <c r="Q107" s="18">
        <f>BCC!Q107+Sheet1!Q107</f>
        <v>0</v>
      </c>
      <c r="R107" s="49"/>
      <c r="S107" s="18">
        <f>BCC!S107+Sheet1!S107</f>
        <v>0</v>
      </c>
      <c r="T107" s="49"/>
      <c r="U107" s="18">
        <f>BCC!U107+Sheet1!U107</f>
        <v>0</v>
      </c>
      <c r="V107" s="49"/>
      <c r="W107" s="18">
        <f>BCC!W107+Sheet1!W107</f>
        <v>0</v>
      </c>
      <c r="X107" s="49"/>
      <c r="Y107" s="18">
        <f>BCC!Y107+Sheet1!Y107</f>
        <v>0</v>
      </c>
      <c r="Z107" s="179"/>
      <c r="AA107" s="286">
        <f t="shared" ref="AA107:AA152" si="14">C107+E107+G107+I107+K107+M107+O107+Q107+S107+U107+W107+Y107</f>
        <v>0</v>
      </c>
      <c r="AB107" s="214"/>
      <c r="AC107" s="205">
        <f t="shared" ref="AC107:AC152" si="15">AA107/12</f>
        <v>0</v>
      </c>
      <c r="AD107" s="214"/>
      <c r="AE107" s="75"/>
      <c r="AF107" s="169"/>
      <c r="AG107" s="75"/>
      <c r="AH107" s="209">
        <v>0</v>
      </c>
      <c r="AI107" s="255">
        <f>AH107/AH12</f>
        <v>0</v>
      </c>
      <c r="AJ107" s="293">
        <f t="shared" si="10"/>
        <v>0</v>
      </c>
      <c r="AK107" s="53">
        <f t="shared" si="11"/>
        <v>0</v>
      </c>
      <c r="AL107" s="53">
        <f t="shared" si="12"/>
        <v>0</v>
      </c>
      <c r="AM107" s="53">
        <f t="shared" si="13"/>
        <v>0</v>
      </c>
      <c r="AN107" s="53" t="e">
        <f>#REF!-AM107</f>
        <v>#REF!</v>
      </c>
      <c r="AO107" s="53"/>
    </row>
    <row r="108" spans="1:41" s="408" customFormat="1">
      <c r="A108" s="2">
        <v>6315</v>
      </c>
      <c r="B108" s="2" t="s">
        <v>325</v>
      </c>
      <c r="C108" s="18">
        <f>BCC!C108+Sheet1!C108</f>
        <v>0</v>
      </c>
      <c r="D108" s="49"/>
      <c r="E108" s="18">
        <f>BCC!E108+Sheet1!E108</f>
        <v>223.85431841831425</v>
      </c>
      <c r="F108" s="49"/>
      <c r="G108" s="18">
        <f>BCC!G108+Sheet1!G108</f>
        <v>362.22580645161293</v>
      </c>
      <c r="H108" s="49"/>
      <c r="I108" s="18">
        <f>BCC!I108+Sheet1!I108</f>
        <v>223.85431841831425</v>
      </c>
      <c r="J108" s="49"/>
      <c r="K108" s="18">
        <f>BCC!K108+Sheet1!K108</f>
        <v>210.11966701352759</v>
      </c>
      <c r="L108" s="49"/>
      <c r="M108" s="18">
        <f>BCC!M108+Sheet1!M108</f>
        <v>0</v>
      </c>
      <c r="N108" s="49"/>
      <c r="O108" s="18">
        <f>BCC!O108+Sheet1!O108</f>
        <v>171.68314255983353</v>
      </c>
      <c r="P108" s="49"/>
      <c r="Q108" s="18">
        <f>BCC!Q108+Sheet1!Q108</f>
        <v>210.11966701352759</v>
      </c>
      <c r="R108" s="49"/>
      <c r="S108" s="18">
        <f>BCC!S108+Sheet1!S108</f>
        <v>0</v>
      </c>
      <c r="T108" s="49"/>
      <c r="U108" s="18">
        <f>BCC!U108+Sheet1!U108</f>
        <v>171.68314255983353</v>
      </c>
      <c r="V108" s="49"/>
      <c r="W108" s="18">
        <f>BCC!W108+Sheet1!W108</f>
        <v>0</v>
      </c>
      <c r="X108" s="49"/>
      <c r="Y108" s="18">
        <f>BCC!Y108+Sheet1!Y108</f>
        <v>210.11966701352759</v>
      </c>
      <c r="Z108" s="179"/>
      <c r="AA108" s="286">
        <f t="shared" si="14"/>
        <v>1783.6597294484911</v>
      </c>
      <c r="AB108" s="214"/>
      <c r="AC108" s="205">
        <f t="shared" si="15"/>
        <v>148.63831078737425</v>
      </c>
      <c r="AD108" s="214"/>
      <c r="AE108" s="75"/>
      <c r="AF108" s="169"/>
      <c r="AG108" s="75"/>
      <c r="AH108" s="209"/>
      <c r="AI108" s="255"/>
      <c r="AJ108" s="293"/>
      <c r="AK108" s="53"/>
      <c r="AL108" s="53"/>
      <c r="AM108" s="53"/>
      <c r="AN108" s="53"/>
      <c r="AO108" s="53"/>
    </row>
    <row r="109" spans="1:41" s="408" customFormat="1">
      <c r="A109" s="2">
        <v>6316</v>
      </c>
      <c r="B109" s="2" t="s">
        <v>326</v>
      </c>
      <c r="C109" s="18">
        <f>BCC!C109+Sheet1!C109</f>
        <v>0</v>
      </c>
      <c r="D109" s="49"/>
      <c r="E109" s="18">
        <f>BCC!E109+Sheet1!E109</f>
        <v>358.74089490114466</v>
      </c>
      <c r="F109" s="49"/>
      <c r="G109" s="18">
        <f>BCC!G109+Sheet1!G109</f>
        <v>0</v>
      </c>
      <c r="H109" s="49"/>
      <c r="I109" s="18">
        <f>BCC!I109+Sheet1!I109</f>
        <v>0</v>
      </c>
      <c r="J109" s="49"/>
      <c r="K109" s="18">
        <f>BCC!K109+Sheet1!K109</f>
        <v>333.11654526534863</v>
      </c>
      <c r="L109" s="49"/>
      <c r="M109" s="18">
        <f>BCC!M109+Sheet1!M109</f>
        <v>97.372528616024979</v>
      </c>
      <c r="N109" s="49"/>
      <c r="O109" s="18">
        <f>BCC!O109+Sheet1!O109</f>
        <v>0</v>
      </c>
      <c r="P109" s="49"/>
      <c r="Q109" s="18">
        <f>BCC!Q109+Sheet1!Q109</f>
        <v>333.11654526534863</v>
      </c>
      <c r="R109" s="49"/>
      <c r="S109" s="18">
        <f>BCC!S109+Sheet1!S109</f>
        <v>97.372528616024979</v>
      </c>
      <c r="T109" s="49"/>
      <c r="U109" s="18">
        <f>BCC!U109+Sheet1!U109</f>
        <v>102.49739854318419</v>
      </c>
      <c r="V109" s="49"/>
      <c r="W109" s="18">
        <f>BCC!W109+Sheet1!W109</f>
        <v>0</v>
      </c>
      <c r="X109" s="49"/>
      <c r="Y109" s="18">
        <f>BCC!Y109+Sheet1!Y109</f>
        <v>0</v>
      </c>
      <c r="Z109" s="179"/>
      <c r="AA109" s="286">
        <f t="shared" si="14"/>
        <v>1322.2164412070758</v>
      </c>
      <c r="AB109" s="214"/>
      <c r="AC109" s="205">
        <f t="shared" si="15"/>
        <v>110.18470343392299</v>
      </c>
      <c r="AD109" s="214"/>
      <c r="AE109" s="75"/>
      <c r="AF109" s="169"/>
      <c r="AG109" s="75"/>
      <c r="AH109" s="209"/>
      <c r="AI109" s="255"/>
      <c r="AJ109" s="293"/>
      <c r="AK109" s="53"/>
      <c r="AL109" s="53"/>
      <c r="AM109" s="53"/>
      <c r="AN109" s="53"/>
      <c r="AO109" s="53"/>
    </row>
    <row r="110" spans="1:41" s="408" customFormat="1">
      <c r="A110" s="2">
        <v>6317</v>
      </c>
      <c r="B110" s="2" t="s">
        <v>327</v>
      </c>
      <c r="C110" s="18">
        <f>BCC!C110+Sheet1!C110</f>
        <v>0</v>
      </c>
      <c r="D110" s="49"/>
      <c r="E110" s="18">
        <f>BCC!E110+Sheet1!E110</f>
        <v>312.61706555671179</v>
      </c>
      <c r="F110" s="49"/>
      <c r="G110" s="18">
        <f>BCC!G110+Sheet1!G110</f>
        <v>1704.5829864724246</v>
      </c>
      <c r="H110" s="49"/>
      <c r="I110" s="18">
        <f>BCC!I110+Sheet1!I110</f>
        <v>0</v>
      </c>
      <c r="J110" s="49"/>
      <c r="K110" s="18">
        <f>BCC!K110+Sheet1!K110</f>
        <v>347.20993756503645</v>
      </c>
      <c r="L110" s="49"/>
      <c r="M110" s="18">
        <f>BCC!M110+Sheet1!M110</f>
        <v>0</v>
      </c>
      <c r="N110" s="49"/>
      <c r="O110" s="18">
        <f>BCC!O110+Sheet1!O110</f>
        <v>0</v>
      </c>
      <c r="P110" s="49"/>
      <c r="Q110" s="18">
        <f>BCC!Q110+Sheet1!Q110</f>
        <v>1022.5652965660771</v>
      </c>
      <c r="R110" s="49"/>
      <c r="S110" s="18">
        <f>BCC!S110+Sheet1!S110</f>
        <v>0</v>
      </c>
      <c r="T110" s="49"/>
      <c r="U110" s="18">
        <f>BCC!U110+Sheet1!U110</f>
        <v>312.61706555671179</v>
      </c>
      <c r="V110" s="49"/>
      <c r="W110" s="18">
        <f>BCC!W110+Sheet1!W110</f>
        <v>0</v>
      </c>
      <c r="X110" s="49"/>
      <c r="Y110" s="18">
        <f>BCC!Y110+Sheet1!Y110</f>
        <v>0</v>
      </c>
      <c r="Z110" s="179"/>
      <c r="AA110" s="286">
        <f t="shared" si="14"/>
        <v>3699.5923517169617</v>
      </c>
      <c r="AB110" s="214"/>
      <c r="AC110" s="205">
        <f t="shared" si="15"/>
        <v>308.29936264308014</v>
      </c>
      <c r="AD110" s="214"/>
      <c r="AE110" s="75"/>
      <c r="AF110" s="169"/>
      <c r="AG110" s="75"/>
      <c r="AH110" s="209"/>
      <c r="AI110" s="255"/>
      <c r="AJ110" s="293"/>
      <c r="AK110" s="53"/>
      <c r="AL110" s="53"/>
      <c r="AM110" s="53"/>
      <c r="AN110" s="53"/>
      <c r="AO110" s="53"/>
    </row>
    <row r="111" spans="1:41" s="408" customFormat="1">
      <c r="A111" s="2">
        <v>6318</v>
      </c>
      <c r="B111" s="2" t="s">
        <v>328</v>
      </c>
      <c r="C111" s="18">
        <f>BCC!C111+Sheet1!C111</f>
        <v>0</v>
      </c>
      <c r="D111" s="49"/>
      <c r="E111" s="18">
        <f>BCC!E111+Sheet1!E111</f>
        <v>0</v>
      </c>
      <c r="F111" s="49"/>
      <c r="G111" s="18">
        <f>BCC!G111+Sheet1!G111</f>
        <v>0</v>
      </c>
      <c r="H111" s="49"/>
      <c r="I111" s="18">
        <f>BCC!I111+Sheet1!I111</f>
        <v>0</v>
      </c>
      <c r="J111" s="49"/>
      <c r="K111" s="18">
        <f>BCC!K111+Sheet1!K111</f>
        <v>0</v>
      </c>
      <c r="L111" s="49"/>
      <c r="M111" s="18">
        <f>BCC!M111+Sheet1!M111</f>
        <v>0</v>
      </c>
      <c r="N111" s="49"/>
      <c r="O111" s="18">
        <f>BCC!O111+Sheet1!O111</f>
        <v>0</v>
      </c>
      <c r="P111" s="49"/>
      <c r="Q111" s="18">
        <f>BCC!Q111+Sheet1!Q111</f>
        <v>0</v>
      </c>
      <c r="R111" s="49"/>
      <c r="S111" s="18">
        <f>BCC!S111+Sheet1!S111</f>
        <v>0</v>
      </c>
      <c r="T111" s="49"/>
      <c r="U111" s="18">
        <f>BCC!U111+Sheet1!U111</f>
        <v>0</v>
      </c>
      <c r="V111" s="49"/>
      <c r="W111" s="18">
        <f>BCC!W111+Sheet1!W111</f>
        <v>0</v>
      </c>
      <c r="X111" s="49"/>
      <c r="Y111" s="18">
        <f>BCC!Y111+Sheet1!Y111</f>
        <v>0</v>
      </c>
      <c r="Z111" s="179"/>
      <c r="AA111" s="286">
        <f t="shared" si="14"/>
        <v>0</v>
      </c>
      <c r="AB111" s="214"/>
      <c r="AC111" s="205">
        <f t="shared" si="15"/>
        <v>0</v>
      </c>
      <c r="AD111" s="214"/>
      <c r="AE111" s="75"/>
      <c r="AF111" s="169"/>
      <c r="AG111" s="75"/>
      <c r="AH111" s="209"/>
      <c r="AI111" s="255"/>
      <c r="AJ111" s="293"/>
      <c r="AK111" s="53"/>
      <c r="AL111" s="53"/>
      <c r="AM111" s="53"/>
      <c r="AN111" s="53"/>
      <c r="AO111" s="53"/>
    </row>
    <row r="112" spans="1:41" s="408" customFormat="1">
      <c r="A112" s="2">
        <v>6319</v>
      </c>
      <c r="B112" s="2" t="s">
        <v>329</v>
      </c>
      <c r="C112" s="18">
        <f>BCC!C112+Sheet1!C112</f>
        <v>0</v>
      </c>
      <c r="D112" s="49"/>
      <c r="E112" s="18">
        <f>BCC!E112+Sheet1!E112</f>
        <v>2568</v>
      </c>
      <c r="F112" s="49"/>
      <c r="G112" s="18">
        <f>BCC!G112+Sheet1!G112</f>
        <v>2568</v>
      </c>
      <c r="H112" s="49"/>
      <c r="I112" s="18">
        <f>BCC!I112+Sheet1!I112</f>
        <v>2568</v>
      </c>
      <c r="J112" s="49"/>
      <c r="K112" s="18">
        <f>BCC!K112+Sheet1!K112</f>
        <v>2568</v>
      </c>
      <c r="L112" s="49"/>
      <c r="M112" s="18">
        <f>BCC!M112+Sheet1!M112</f>
        <v>0</v>
      </c>
      <c r="N112" s="49"/>
      <c r="O112" s="18">
        <f>BCC!O112+Sheet1!O112</f>
        <v>2568</v>
      </c>
      <c r="P112" s="49"/>
      <c r="Q112" s="18">
        <f>BCC!Q112+Sheet1!Q112</f>
        <v>2568</v>
      </c>
      <c r="R112" s="49"/>
      <c r="S112" s="18">
        <f>BCC!S112+Sheet1!S112</f>
        <v>2568</v>
      </c>
      <c r="T112" s="49"/>
      <c r="U112" s="18">
        <f>BCC!U112+Sheet1!U112</f>
        <v>2568</v>
      </c>
      <c r="V112" s="49"/>
      <c r="W112" s="18">
        <f>BCC!W112+Sheet1!W112</f>
        <v>2568</v>
      </c>
      <c r="X112" s="49"/>
      <c r="Y112" s="18">
        <f>BCC!Y112+Sheet1!Y112</f>
        <v>2568</v>
      </c>
      <c r="Z112" s="179"/>
      <c r="AA112" s="286">
        <f t="shared" si="14"/>
        <v>25680</v>
      </c>
      <c r="AB112" s="214"/>
      <c r="AC112" s="205">
        <f t="shared" si="15"/>
        <v>2140</v>
      </c>
      <c r="AD112" s="214"/>
      <c r="AE112" s="75"/>
      <c r="AF112" s="169"/>
      <c r="AG112" s="75"/>
      <c r="AH112" s="209"/>
      <c r="AI112" s="255"/>
      <c r="AJ112" s="293"/>
      <c r="AK112" s="53"/>
      <c r="AL112" s="53"/>
      <c r="AM112" s="53"/>
      <c r="AN112" s="53"/>
      <c r="AO112" s="53"/>
    </row>
    <row r="113" spans="1:41" s="408" customFormat="1">
      <c r="A113" s="2">
        <v>6320</v>
      </c>
      <c r="B113" s="2" t="s">
        <v>330</v>
      </c>
      <c r="C113" s="18">
        <f>BCC!C113+Sheet1!C113</f>
        <v>0</v>
      </c>
      <c r="D113" s="49"/>
      <c r="E113" s="18">
        <f>BCC!E113+Sheet1!E113</f>
        <v>0</v>
      </c>
      <c r="F113" s="49"/>
      <c r="G113" s="18">
        <f>BCC!G113+Sheet1!G113</f>
        <v>0</v>
      </c>
      <c r="H113" s="49"/>
      <c r="I113" s="18">
        <f>BCC!I113+Sheet1!I113</f>
        <v>0</v>
      </c>
      <c r="J113" s="49"/>
      <c r="K113" s="18">
        <f>BCC!K113+Sheet1!K113</f>
        <v>0</v>
      </c>
      <c r="L113" s="49"/>
      <c r="M113" s="18">
        <f>BCC!M113+Sheet1!M113</f>
        <v>0</v>
      </c>
      <c r="N113" s="49"/>
      <c r="O113" s="18">
        <f>BCC!O113+Sheet1!O113</f>
        <v>0</v>
      </c>
      <c r="P113" s="49"/>
      <c r="Q113" s="18">
        <f>BCC!Q113+Sheet1!Q113</f>
        <v>0</v>
      </c>
      <c r="R113" s="49"/>
      <c r="S113" s="18">
        <f>BCC!S113+Sheet1!S113</f>
        <v>0</v>
      </c>
      <c r="T113" s="49"/>
      <c r="U113" s="18">
        <f>BCC!U113+Sheet1!U113</f>
        <v>0</v>
      </c>
      <c r="V113" s="49"/>
      <c r="W113" s="18">
        <f>BCC!W113+Sheet1!W113</f>
        <v>0</v>
      </c>
      <c r="X113" s="49"/>
      <c r="Y113" s="18">
        <f>BCC!Y113+Sheet1!Y113</f>
        <v>0</v>
      </c>
      <c r="Z113" s="179"/>
      <c r="AA113" s="286">
        <f t="shared" si="14"/>
        <v>0</v>
      </c>
      <c r="AB113" s="214"/>
      <c r="AC113" s="205">
        <f t="shared" si="15"/>
        <v>0</v>
      </c>
      <c r="AD113" s="214"/>
      <c r="AE113" s="75"/>
      <c r="AF113" s="169"/>
      <c r="AG113" s="75"/>
      <c r="AH113" s="209"/>
      <c r="AI113" s="255"/>
      <c r="AJ113" s="293"/>
      <c r="AK113" s="53"/>
      <c r="AL113" s="53"/>
      <c r="AM113" s="53"/>
      <c r="AN113" s="53"/>
      <c r="AO113" s="53"/>
    </row>
    <row r="114" spans="1:41" s="408" customFormat="1">
      <c r="A114" s="2">
        <v>6321</v>
      </c>
      <c r="B114" s="2" t="s">
        <v>331</v>
      </c>
      <c r="C114" s="18">
        <f>BCC!C114+Sheet1!C114</f>
        <v>0</v>
      </c>
      <c r="D114" s="49"/>
      <c r="E114" s="18">
        <f>BCC!E114+Sheet1!E114</f>
        <v>0</v>
      </c>
      <c r="F114" s="49"/>
      <c r="G114" s="18">
        <f>BCC!G114+Sheet1!G114</f>
        <v>0</v>
      </c>
      <c r="H114" s="49"/>
      <c r="I114" s="18">
        <f>BCC!I114+Sheet1!I114</f>
        <v>0</v>
      </c>
      <c r="J114" s="49"/>
      <c r="K114" s="18">
        <f>BCC!K114+Sheet1!K114</f>
        <v>0</v>
      </c>
      <c r="L114" s="49"/>
      <c r="M114" s="18">
        <f>BCC!M114+Sheet1!M114</f>
        <v>0</v>
      </c>
      <c r="N114" s="49"/>
      <c r="O114" s="18">
        <f>BCC!O114+Sheet1!O114</f>
        <v>0</v>
      </c>
      <c r="P114" s="49"/>
      <c r="Q114" s="18">
        <f>BCC!Q114+Sheet1!Q114</f>
        <v>0</v>
      </c>
      <c r="R114" s="49"/>
      <c r="S114" s="18">
        <f>BCC!S114+Sheet1!S114</f>
        <v>0</v>
      </c>
      <c r="T114" s="49"/>
      <c r="U114" s="18">
        <f>BCC!U114+Sheet1!U114</f>
        <v>0</v>
      </c>
      <c r="V114" s="49"/>
      <c r="W114" s="18">
        <f>BCC!W114+Sheet1!W114</f>
        <v>0</v>
      </c>
      <c r="X114" s="49"/>
      <c r="Y114" s="18">
        <f>BCC!Y114+Sheet1!Y114</f>
        <v>0</v>
      </c>
      <c r="Z114" s="179"/>
      <c r="AA114" s="286">
        <f t="shared" si="14"/>
        <v>0</v>
      </c>
      <c r="AB114" s="214"/>
      <c r="AC114" s="205">
        <f t="shared" si="15"/>
        <v>0</v>
      </c>
      <c r="AD114" s="214"/>
      <c r="AE114" s="75"/>
      <c r="AF114" s="169"/>
      <c r="AG114" s="75"/>
      <c r="AH114" s="209"/>
      <c r="AI114" s="255"/>
      <c r="AJ114" s="293"/>
      <c r="AK114" s="53"/>
      <c r="AL114" s="53"/>
      <c r="AM114" s="53"/>
      <c r="AN114" s="53"/>
      <c r="AO114" s="53"/>
    </row>
    <row r="115" spans="1:41" ht="15.75" thickBot="1">
      <c r="A115" s="4">
        <v>6399</v>
      </c>
      <c r="B115" s="113" t="s">
        <v>101</v>
      </c>
      <c r="C115" s="172">
        <f>BCC!C115+Sheet1!C115</f>
        <v>3187.3261844402082</v>
      </c>
      <c r="D115" s="172"/>
      <c r="E115" s="172">
        <f>BCC!E115+Sheet1!E115</f>
        <v>5998.4711507827651</v>
      </c>
      <c r="F115" s="172"/>
      <c r="G115" s="172">
        <f>BCC!G115+Sheet1!G115</f>
        <v>6748.6620479199273</v>
      </c>
      <c r="H115" s="172"/>
      <c r="I115" s="172">
        <f>BCC!I115+Sheet1!I115</f>
        <v>5146.9136307097515</v>
      </c>
      <c r="J115" s="172"/>
      <c r="K115" s="172">
        <f>BCC!K115+Sheet1!K115</f>
        <v>6016.8028652043213</v>
      </c>
      <c r="L115" s="172"/>
      <c r="M115" s="172">
        <f>BCC!M115+Sheet1!M115</f>
        <v>2095.5342997983344</v>
      </c>
      <c r="N115" s="172"/>
      <c r="O115" s="172">
        <f>BCC!O115+Sheet1!O115</f>
        <v>4867.358665428992</v>
      </c>
      <c r="P115" s="172"/>
      <c r="Q115" s="172">
        <f>BCC!Q115+Sheet1!Q115</f>
        <v>6500.0358972682216</v>
      </c>
      <c r="R115" s="172"/>
      <c r="S115" s="172">
        <f>BCC!S115+Sheet1!S115</f>
        <v>5007.6196117628597</v>
      </c>
      <c r="T115" s="172"/>
      <c r="U115" s="172">
        <f>BCC!U115+Sheet1!U115</f>
        <v>5502.0948981966258</v>
      </c>
      <c r="V115" s="172"/>
      <c r="W115" s="172">
        <f>BCC!W115+Sheet1!W115</f>
        <v>4706.6058468315805</v>
      </c>
      <c r="X115" s="172"/>
      <c r="Y115" s="172">
        <f>BCC!Y115+Sheet1!Y115</f>
        <v>5211.1157772674078</v>
      </c>
      <c r="Z115" s="172"/>
      <c r="AA115" s="172">
        <f t="shared" si="14"/>
        <v>60988.540875610997</v>
      </c>
      <c r="AB115" s="172"/>
      <c r="AC115" s="172">
        <f t="shared" si="15"/>
        <v>5082.3784063009161</v>
      </c>
      <c r="AD115" s="172"/>
      <c r="AE115" s="75"/>
      <c r="AF115" s="169"/>
      <c r="AG115" s="75"/>
      <c r="AH115" s="210">
        <f>SUM(AH94:AH107)</f>
        <v>36469.838933130704</v>
      </c>
      <c r="AI115" s="259">
        <f>AH115/AH12</f>
        <v>4.5291198961105346E-2</v>
      </c>
      <c r="AJ115" s="297">
        <f t="shared" si="10"/>
        <v>102540.75821504262</v>
      </c>
      <c r="AK115" s="53">
        <f t="shared" si="11"/>
        <v>0</v>
      </c>
      <c r="AL115" s="53">
        <f t="shared" si="12"/>
        <v>60988.540875610997</v>
      </c>
      <c r="AM115" s="53">
        <f t="shared" si="13"/>
        <v>486945.7892796474</v>
      </c>
      <c r="AN115" s="53" t="e">
        <f>#REF!-AM115</f>
        <v>#REF!</v>
      </c>
      <c r="AO115" s="53"/>
    </row>
    <row r="116" spans="1:41" ht="15.75" thickTop="1">
      <c r="A116" s="16">
        <v>6401</v>
      </c>
      <c r="B116" s="111" t="s">
        <v>89</v>
      </c>
      <c r="C116" s="18">
        <f>BCC!C116+Sheet1!C116</f>
        <v>0</v>
      </c>
      <c r="D116" s="49"/>
      <c r="E116" s="18">
        <f>BCC!E116+Sheet1!E116</f>
        <v>0</v>
      </c>
      <c r="F116" s="49"/>
      <c r="G116" s="18">
        <f>BCC!G116+Sheet1!G116</f>
        <v>0</v>
      </c>
      <c r="H116" s="49"/>
      <c r="I116" s="18">
        <f>BCC!I116+Sheet1!I116</f>
        <v>0</v>
      </c>
      <c r="J116" s="49"/>
      <c r="K116" s="18">
        <f>BCC!K116+Sheet1!K116</f>
        <v>0</v>
      </c>
      <c r="L116" s="49"/>
      <c r="M116" s="18">
        <f>BCC!M116+Sheet1!M116</f>
        <v>0</v>
      </c>
      <c r="N116" s="49"/>
      <c r="O116" s="18">
        <f>BCC!O116+Sheet1!O116</f>
        <v>0</v>
      </c>
      <c r="P116" s="49"/>
      <c r="Q116" s="18">
        <f>BCC!Q116+Sheet1!Q116</f>
        <v>0</v>
      </c>
      <c r="R116" s="49"/>
      <c r="S116" s="18">
        <f>BCC!S116+Sheet1!S116</f>
        <v>0</v>
      </c>
      <c r="T116" s="49"/>
      <c r="U116" s="18">
        <f>BCC!U116+Sheet1!U116</f>
        <v>0</v>
      </c>
      <c r="V116" s="49"/>
      <c r="W116" s="18">
        <f>BCC!W116+Sheet1!W116</f>
        <v>0</v>
      </c>
      <c r="X116" s="49"/>
      <c r="Y116" s="18">
        <f>BCC!Y116+Sheet1!Y116</f>
        <v>0</v>
      </c>
      <c r="Z116" s="179"/>
      <c r="AA116" s="286">
        <f t="shared" si="14"/>
        <v>0</v>
      </c>
      <c r="AB116" s="214"/>
      <c r="AC116" s="205">
        <f t="shared" si="15"/>
        <v>0</v>
      </c>
      <c r="AD116" s="214"/>
      <c r="AE116" s="75"/>
      <c r="AF116" s="169"/>
      <c r="AG116" s="75"/>
      <c r="AH116" s="205"/>
      <c r="AI116" s="255">
        <f>AH116/AH12</f>
        <v>0</v>
      </c>
      <c r="AJ116" s="293">
        <f t="shared" ref="AJ116:AJ152" si="16">SUM(AA116+AC116+AH116)</f>
        <v>0</v>
      </c>
      <c r="AK116" s="53">
        <f t="shared" si="11"/>
        <v>0</v>
      </c>
      <c r="AL116" s="53">
        <f t="shared" si="12"/>
        <v>0</v>
      </c>
      <c r="AM116" s="53">
        <f t="shared" si="13"/>
        <v>0</v>
      </c>
      <c r="AN116" s="53" t="e">
        <f>#REF!-AM116</f>
        <v>#REF!</v>
      </c>
      <c r="AO116" s="53"/>
    </row>
    <row r="117" spans="1:41">
      <c r="A117" s="99">
        <v>6402</v>
      </c>
      <c r="B117" s="2" t="s">
        <v>75</v>
      </c>
      <c r="C117" s="18">
        <f>BCC!C117+Sheet1!C117</f>
        <v>0</v>
      </c>
      <c r="D117" s="49"/>
      <c r="E117" s="18">
        <f>BCC!E117+Sheet1!E117</f>
        <v>0</v>
      </c>
      <c r="F117" s="49"/>
      <c r="G117" s="18">
        <f>BCC!G117+Sheet1!G117</f>
        <v>0</v>
      </c>
      <c r="H117" s="49"/>
      <c r="I117" s="18">
        <f>BCC!I117+Sheet1!I117</f>
        <v>0</v>
      </c>
      <c r="J117" s="49"/>
      <c r="K117" s="18">
        <f>BCC!K117+Sheet1!K117</f>
        <v>0</v>
      </c>
      <c r="L117" s="49"/>
      <c r="M117" s="18">
        <f>BCC!M117+Sheet1!M117</f>
        <v>0</v>
      </c>
      <c r="N117" s="49"/>
      <c r="O117" s="18">
        <f>BCC!O117+Sheet1!O117</f>
        <v>0</v>
      </c>
      <c r="P117" s="49"/>
      <c r="Q117" s="18">
        <f>BCC!Q117+Sheet1!Q117</f>
        <v>0</v>
      </c>
      <c r="R117" s="49"/>
      <c r="S117" s="18">
        <f>BCC!S117+Sheet1!S117</f>
        <v>0</v>
      </c>
      <c r="T117" s="49"/>
      <c r="U117" s="18">
        <f>BCC!U117+Sheet1!U117</f>
        <v>0</v>
      </c>
      <c r="V117" s="49"/>
      <c r="W117" s="18">
        <f>BCC!W117+Sheet1!W117</f>
        <v>0</v>
      </c>
      <c r="X117" s="49"/>
      <c r="Y117" s="18">
        <f>BCC!Y117+Sheet1!Y117</f>
        <v>0</v>
      </c>
      <c r="Z117" s="179"/>
      <c r="AA117" s="286">
        <f t="shared" si="14"/>
        <v>0</v>
      </c>
      <c r="AB117" s="214"/>
      <c r="AC117" s="205">
        <f t="shared" si="15"/>
        <v>0</v>
      </c>
      <c r="AD117" s="214"/>
      <c r="AE117" s="170"/>
      <c r="AF117" s="238"/>
      <c r="AG117" s="75"/>
      <c r="AH117" s="207">
        <v>1100.269</v>
      </c>
      <c r="AI117" s="255">
        <f>AH117/AH12</f>
        <v>1.3664031333153633E-3</v>
      </c>
      <c r="AJ117" s="293">
        <f t="shared" si="16"/>
        <v>1100.269</v>
      </c>
      <c r="AK117" s="53">
        <f t="shared" si="11"/>
        <v>0</v>
      </c>
      <c r="AL117" s="53">
        <f t="shared" si="12"/>
        <v>0</v>
      </c>
      <c r="AM117" s="53">
        <f t="shared" si="13"/>
        <v>0</v>
      </c>
      <c r="AN117" s="53" t="e">
        <f>#REF!-AM117</f>
        <v>#REF!</v>
      </c>
      <c r="AO117" s="53"/>
    </row>
    <row r="118" spans="1:41" s="408" customFormat="1">
      <c r="A118" s="99">
        <v>6403</v>
      </c>
      <c r="B118" s="2" t="s">
        <v>337</v>
      </c>
      <c r="C118" s="18">
        <f>BCC!C118+Sheet1!C118</f>
        <v>0</v>
      </c>
      <c r="D118" s="49"/>
      <c r="E118" s="18">
        <f>BCC!E118+Sheet1!E118</f>
        <v>0</v>
      </c>
      <c r="F118" s="49"/>
      <c r="G118" s="18">
        <f>BCC!G118+Sheet1!G118</f>
        <v>0</v>
      </c>
      <c r="H118" s="49"/>
      <c r="I118" s="18">
        <f>BCC!I118+Sheet1!I118</f>
        <v>0</v>
      </c>
      <c r="J118" s="49"/>
      <c r="K118" s="18">
        <f>BCC!K118+Sheet1!K118</f>
        <v>0</v>
      </c>
      <c r="L118" s="49"/>
      <c r="M118" s="18">
        <f>BCC!M118+Sheet1!M118</f>
        <v>0</v>
      </c>
      <c r="N118" s="49"/>
      <c r="O118" s="18">
        <f>BCC!O118+Sheet1!O118</f>
        <v>0</v>
      </c>
      <c r="P118" s="49"/>
      <c r="Q118" s="18">
        <f>BCC!Q118+Sheet1!Q118</f>
        <v>0</v>
      </c>
      <c r="R118" s="49"/>
      <c r="S118" s="18">
        <f>BCC!S118+Sheet1!S118</f>
        <v>0</v>
      </c>
      <c r="T118" s="49"/>
      <c r="U118" s="18">
        <f>BCC!U118+Sheet1!U118</f>
        <v>0</v>
      </c>
      <c r="V118" s="49"/>
      <c r="W118" s="18">
        <f>BCC!W118+Sheet1!W118</f>
        <v>0</v>
      </c>
      <c r="X118" s="49"/>
      <c r="Y118" s="18">
        <f>BCC!Y118+Sheet1!Y118</f>
        <v>0</v>
      </c>
      <c r="Z118" s="49"/>
      <c r="AA118" s="286">
        <f t="shared" si="14"/>
        <v>0</v>
      </c>
      <c r="AB118" s="214"/>
      <c r="AC118" s="205">
        <f t="shared" si="15"/>
        <v>0</v>
      </c>
      <c r="AD118" s="214"/>
      <c r="AE118" s="170"/>
      <c r="AF118" s="238"/>
      <c r="AG118" s="75"/>
      <c r="AH118" s="207"/>
      <c r="AI118" s="255"/>
      <c r="AJ118" s="293"/>
      <c r="AK118" s="53"/>
      <c r="AL118" s="53"/>
      <c r="AM118" s="53"/>
      <c r="AN118" s="53"/>
      <c r="AO118" s="53"/>
    </row>
    <row r="119" spans="1:41">
      <c r="A119" s="99">
        <v>6404</v>
      </c>
      <c r="B119" s="2" t="s">
        <v>91</v>
      </c>
      <c r="C119" s="18">
        <f>BCC!C119+Sheet1!C119</f>
        <v>150</v>
      </c>
      <c r="D119" s="49"/>
      <c r="E119" s="18">
        <f>BCC!E119+Sheet1!E119</f>
        <v>150</v>
      </c>
      <c r="F119" s="49"/>
      <c r="G119" s="18">
        <f>BCC!G119+Sheet1!G119</f>
        <v>150</v>
      </c>
      <c r="H119" s="49"/>
      <c r="I119" s="18">
        <f>BCC!I119+Sheet1!I119</f>
        <v>150</v>
      </c>
      <c r="J119" s="49"/>
      <c r="K119" s="18">
        <f>BCC!K119+Sheet1!K119</f>
        <v>150</v>
      </c>
      <c r="L119" s="49"/>
      <c r="M119" s="18">
        <f>BCC!M119+Sheet1!M119</f>
        <v>150</v>
      </c>
      <c r="N119" s="49"/>
      <c r="O119" s="18">
        <f>BCC!O119+Sheet1!O119</f>
        <v>150</v>
      </c>
      <c r="P119" s="49"/>
      <c r="Q119" s="18">
        <f>BCC!Q119+Sheet1!Q119</f>
        <v>150</v>
      </c>
      <c r="R119" s="49"/>
      <c r="S119" s="18">
        <f>BCC!S119+Sheet1!S119</f>
        <v>150</v>
      </c>
      <c r="T119" s="49"/>
      <c r="U119" s="18">
        <f>BCC!U119+Sheet1!U119</f>
        <v>150</v>
      </c>
      <c r="V119" s="49"/>
      <c r="W119" s="18">
        <f>BCC!W119+Sheet1!W119</f>
        <v>150</v>
      </c>
      <c r="X119" s="49"/>
      <c r="Y119" s="18">
        <f>BCC!Y119+Sheet1!Y119</f>
        <v>150</v>
      </c>
      <c r="Z119" s="179"/>
      <c r="AA119" s="286">
        <f t="shared" si="14"/>
        <v>1800</v>
      </c>
      <c r="AB119" s="214"/>
      <c r="AC119" s="205">
        <f t="shared" si="15"/>
        <v>150</v>
      </c>
      <c r="AD119" s="214"/>
      <c r="AE119" s="170"/>
      <c r="AF119" s="238"/>
      <c r="AG119" s="75"/>
      <c r="AH119" s="207">
        <v>0</v>
      </c>
      <c r="AI119" s="255">
        <f>AH119/AH12</f>
        <v>0</v>
      </c>
      <c r="AJ119" s="293">
        <f t="shared" si="16"/>
        <v>1950</v>
      </c>
      <c r="AK119" s="53">
        <f t="shared" si="11"/>
        <v>0</v>
      </c>
      <c r="AL119" s="53">
        <f t="shared" si="12"/>
        <v>1800</v>
      </c>
      <c r="AM119" s="53">
        <f t="shared" si="13"/>
        <v>14100</v>
      </c>
      <c r="AN119" s="53" t="e">
        <f>#REF!-AM119</f>
        <v>#REF!</v>
      </c>
      <c r="AO119" s="53"/>
    </row>
    <row r="120" spans="1:41">
      <c r="A120" s="99">
        <v>6406</v>
      </c>
      <c r="B120" s="2" t="s">
        <v>73</v>
      </c>
      <c r="C120" s="18">
        <f>BCC!C120+Sheet1!C120</f>
        <v>0</v>
      </c>
      <c r="D120" s="49"/>
      <c r="E120" s="18">
        <f>BCC!E120+Sheet1!E120</f>
        <v>0</v>
      </c>
      <c r="F120" s="49"/>
      <c r="G120" s="18">
        <f>BCC!G120+Sheet1!G120</f>
        <v>0</v>
      </c>
      <c r="H120" s="49"/>
      <c r="I120" s="18">
        <f>BCC!I120+Sheet1!I120</f>
        <v>0</v>
      </c>
      <c r="J120" s="49"/>
      <c r="K120" s="18">
        <f>BCC!K120+Sheet1!K120</f>
        <v>0</v>
      </c>
      <c r="L120" s="49"/>
      <c r="M120" s="18">
        <f>BCC!M120+Sheet1!M120</f>
        <v>0</v>
      </c>
      <c r="N120" s="49"/>
      <c r="O120" s="18">
        <f>BCC!O120+Sheet1!O120</f>
        <v>0</v>
      </c>
      <c r="P120" s="49"/>
      <c r="Q120" s="18">
        <f>BCC!Q120+Sheet1!Q120</f>
        <v>0</v>
      </c>
      <c r="R120" s="49"/>
      <c r="S120" s="18">
        <f>BCC!S120+Sheet1!S120</f>
        <v>0</v>
      </c>
      <c r="T120" s="49"/>
      <c r="U120" s="18">
        <f>BCC!U120+Sheet1!U120</f>
        <v>0</v>
      </c>
      <c r="V120" s="49"/>
      <c r="W120" s="18">
        <f>BCC!W120+Sheet1!W120</f>
        <v>0</v>
      </c>
      <c r="X120" s="49"/>
      <c r="Y120" s="18">
        <f>BCC!Y120+Sheet1!Y120</f>
        <v>0</v>
      </c>
      <c r="Z120" s="179"/>
      <c r="AA120" s="286">
        <f t="shared" si="14"/>
        <v>0</v>
      </c>
      <c r="AB120" s="214"/>
      <c r="AC120" s="205">
        <f t="shared" si="15"/>
        <v>0</v>
      </c>
      <c r="AD120" s="214"/>
      <c r="AE120" s="170"/>
      <c r="AF120" s="238"/>
      <c r="AG120" s="75"/>
      <c r="AH120" s="205">
        <v>0</v>
      </c>
      <c r="AI120" s="255">
        <f>AH120/AH12</f>
        <v>0</v>
      </c>
      <c r="AJ120" s="293">
        <f t="shared" si="16"/>
        <v>0</v>
      </c>
      <c r="AK120" s="53">
        <f t="shared" si="11"/>
        <v>0</v>
      </c>
      <c r="AL120" s="53">
        <f t="shared" si="12"/>
        <v>0</v>
      </c>
      <c r="AM120" s="53">
        <f t="shared" si="13"/>
        <v>0</v>
      </c>
      <c r="AN120" s="53" t="e">
        <f>#REF!-AM120</f>
        <v>#REF!</v>
      </c>
      <c r="AO120" s="53"/>
    </row>
    <row r="121" spans="1:41">
      <c r="A121" s="2">
        <v>6407</v>
      </c>
      <c r="B121" s="112" t="s">
        <v>74</v>
      </c>
      <c r="C121" s="18">
        <f>BCC!C121+Sheet1!C121</f>
        <v>0</v>
      </c>
      <c r="D121" s="49"/>
      <c r="E121" s="18">
        <f>BCC!E121+Sheet1!E121</f>
        <v>0</v>
      </c>
      <c r="F121" s="49"/>
      <c r="G121" s="18">
        <f>BCC!G121+Sheet1!G121</f>
        <v>0</v>
      </c>
      <c r="H121" s="49"/>
      <c r="I121" s="18">
        <f>BCC!I121+Sheet1!I121</f>
        <v>0</v>
      </c>
      <c r="J121" s="49"/>
      <c r="K121" s="18">
        <f>BCC!K121+Sheet1!K121</f>
        <v>0</v>
      </c>
      <c r="L121" s="49"/>
      <c r="M121" s="18">
        <f>BCC!M121+Sheet1!M121</f>
        <v>0</v>
      </c>
      <c r="N121" s="49"/>
      <c r="O121" s="18">
        <f>BCC!O121+Sheet1!O121</f>
        <v>0</v>
      </c>
      <c r="P121" s="49"/>
      <c r="Q121" s="18">
        <f>BCC!Q121+Sheet1!Q121</f>
        <v>0</v>
      </c>
      <c r="R121" s="49"/>
      <c r="S121" s="18">
        <f>BCC!S121+Sheet1!S121</f>
        <v>0</v>
      </c>
      <c r="T121" s="49"/>
      <c r="U121" s="18">
        <f>BCC!U121+Sheet1!U121</f>
        <v>0</v>
      </c>
      <c r="V121" s="49"/>
      <c r="W121" s="18">
        <f>BCC!W121+Sheet1!W121</f>
        <v>0</v>
      </c>
      <c r="X121" s="49"/>
      <c r="Y121" s="18">
        <f>BCC!Y121+Sheet1!Y121</f>
        <v>0</v>
      </c>
      <c r="Z121" s="179"/>
      <c r="AA121" s="286">
        <f t="shared" si="14"/>
        <v>0</v>
      </c>
      <c r="AB121" s="214"/>
      <c r="AC121" s="205">
        <f t="shared" si="15"/>
        <v>0</v>
      </c>
      <c r="AD121" s="214"/>
      <c r="AE121" s="170"/>
      <c r="AF121" s="238"/>
      <c r="AG121" s="75"/>
      <c r="AH121" s="205">
        <v>0</v>
      </c>
      <c r="AI121" s="255">
        <f>AH121/AH12</f>
        <v>0</v>
      </c>
      <c r="AJ121" s="293">
        <f t="shared" si="16"/>
        <v>0</v>
      </c>
      <c r="AK121" s="53">
        <f t="shared" si="11"/>
        <v>0</v>
      </c>
      <c r="AL121" s="53">
        <f t="shared" si="12"/>
        <v>0</v>
      </c>
      <c r="AM121" s="53">
        <f t="shared" si="13"/>
        <v>0</v>
      </c>
      <c r="AN121" s="53" t="e">
        <f>#REF!-AM121</f>
        <v>#REF!</v>
      </c>
      <c r="AO121" s="53"/>
    </row>
    <row r="122" spans="1:41">
      <c r="A122" s="2">
        <v>6408</v>
      </c>
      <c r="B122" s="112" t="s">
        <v>43</v>
      </c>
      <c r="C122" s="18">
        <f>BCC!C122+Sheet1!C122</f>
        <v>0</v>
      </c>
      <c r="D122" s="49"/>
      <c r="E122" s="18">
        <f>BCC!E122+Sheet1!E122</f>
        <v>0</v>
      </c>
      <c r="F122" s="49"/>
      <c r="G122" s="18">
        <f>BCC!G122+Sheet1!G122</f>
        <v>0</v>
      </c>
      <c r="H122" s="49"/>
      <c r="I122" s="18">
        <f>BCC!I122+Sheet1!I122</f>
        <v>0</v>
      </c>
      <c r="J122" s="49"/>
      <c r="K122" s="18">
        <f>BCC!K122+Sheet1!K122</f>
        <v>0</v>
      </c>
      <c r="L122" s="49"/>
      <c r="M122" s="18">
        <f>BCC!M122+Sheet1!M122</f>
        <v>0</v>
      </c>
      <c r="N122" s="49"/>
      <c r="O122" s="18">
        <f>BCC!O122+Sheet1!O122</f>
        <v>0</v>
      </c>
      <c r="P122" s="49"/>
      <c r="Q122" s="18">
        <f>BCC!Q122+Sheet1!Q122</f>
        <v>0</v>
      </c>
      <c r="R122" s="49"/>
      <c r="S122" s="18">
        <f>BCC!S122+Sheet1!S122</f>
        <v>0</v>
      </c>
      <c r="T122" s="49"/>
      <c r="U122" s="18">
        <f>BCC!U122+Sheet1!U122</f>
        <v>0</v>
      </c>
      <c r="V122" s="49"/>
      <c r="W122" s="18">
        <f>BCC!W122+Sheet1!W122</f>
        <v>0</v>
      </c>
      <c r="X122" s="49"/>
      <c r="Y122" s="18">
        <f>BCC!Y122+Sheet1!Y122</f>
        <v>0</v>
      </c>
      <c r="Z122" s="179"/>
      <c r="AA122" s="286">
        <f t="shared" si="14"/>
        <v>0</v>
      </c>
      <c r="AB122" s="214"/>
      <c r="AC122" s="205">
        <f t="shared" si="15"/>
        <v>0</v>
      </c>
      <c r="AD122" s="214"/>
      <c r="AE122" s="170"/>
      <c r="AF122" s="238"/>
      <c r="AG122" s="75"/>
      <c r="AH122" s="205">
        <v>0</v>
      </c>
      <c r="AI122" s="255">
        <f>AH122/AH12</f>
        <v>0</v>
      </c>
      <c r="AJ122" s="293">
        <f t="shared" si="16"/>
        <v>0</v>
      </c>
      <c r="AK122" s="53">
        <f t="shared" si="11"/>
        <v>0</v>
      </c>
      <c r="AL122" s="53">
        <f t="shared" si="12"/>
        <v>0</v>
      </c>
      <c r="AM122" s="53">
        <f t="shared" si="13"/>
        <v>0</v>
      </c>
      <c r="AN122" s="53" t="e">
        <f>#REF!-AM122</f>
        <v>#REF!</v>
      </c>
      <c r="AO122" s="53"/>
    </row>
    <row r="123" spans="1:41">
      <c r="A123" s="2">
        <v>6410</v>
      </c>
      <c r="B123" s="112" t="s">
        <v>105</v>
      </c>
      <c r="C123" s="18">
        <f>BCC!C123+Sheet1!C123</f>
        <v>0</v>
      </c>
      <c r="D123" s="49"/>
      <c r="E123" s="18">
        <f>BCC!E123+Sheet1!E123</f>
        <v>0</v>
      </c>
      <c r="F123" s="49"/>
      <c r="G123" s="18">
        <f>BCC!G123+Sheet1!G123</f>
        <v>0</v>
      </c>
      <c r="H123" s="49"/>
      <c r="I123" s="18">
        <f>BCC!I123+Sheet1!I123</f>
        <v>0</v>
      </c>
      <c r="J123" s="49"/>
      <c r="K123" s="18">
        <f>BCC!K123+Sheet1!K123</f>
        <v>0</v>
      </c>
      <c r="L123" s="49"/>
      <c r="M123" s="18">
        <f>BCC!M123+Sheet1!M123</f>
        <v>0</v>
      </c>
      <c r="N123" s="49"/>
      <c r="O123" s="18">
        <f>BCC!O123+Sheet1!O123</f>
        <v>0</v>
      </c>
      <c r="P123" s="49"/>
      <c r="Q123" s="18">
        <f>BCC!Q123+Sheet1!Q123</f>
        <v>0</v>
      </c>
      <c r="R123" s="49"/>
      <c r="S123" s="18">
        <f>BCC!S123+Sheet1!S123</f>
        <v>0</v>
      </c>
      <c r="T123" s="49"/>
      <c r="U123" s="18">
        <f>BCC!U123+Sheet1!U123</f>
        <v>0</v>
      </c>
      <c r="V123" s="49"/>
      <c r="W123" s="18">
        <f>BCC!W123+Sheet1!W123</f>
        <v>0</v>
      </c>
      <c r="X123" s="49"/>
      <c r="Y123" s="18">
        <f>BCC!Y123+Sheet1!Y123</f>
        <v>0</v>
      </c>
      <c r="Z123" s="179"/>
      <c r="AA123" s="286">
        <f t="shared" si="14"/>
        <v>0</v>
      </c>
      <c r="AB123" s="214"/>
      <c r="AC123" s="205">
        <f t="shared" si="15"/>
        <v>0</v>
      </c>
      <c r="AD123" s="214"/>
      <c r="AE123" s="170"/>
      <c r="AF123" s="238"/>
      <c r="AG123" s="75"/>
      <c r="AH123" s="205">
        <v>0</v>
      </c>
      <c r="AI123" s="255"/>
      <c r="AJ123" s="293">
        <f t="shared" si="16"/>
        <v>0</v>
      </c>
      <c r="AK123" s="53">
        <f t="shared" si="11"/>
        <v>0</v>
      </c>
      <c r="AL123" s="53">
        <f t="shared" si="12"/>
        <v>0</v>
      </c>
      <c r="AM123" s="53">
        <f t="shared" si="13"/>
        <v>0</v>
      </c>
      <c r="AN123" s="53" t="e">
        <f>#REF!-AM123</f>
        <v>#REF!</v>
      </c>
      <c r="AO123" s="53"/>
    </row>
    <row r="124" spans="1:41">
      <c r="A124" s="2">
        <v>6411</v>
      </c>
      <c r="B124" s="112" t="s">
        <v>107</v>
      </c>
      <c r="C124" s="18">
        <f>BCC!C124+Sheet1!C124</f>
        <v>0</v>
      </c>
      <c r="D124" s="49"/>
      <c r="E124" s="18">
        <f>BCC!E124+Sheet1!E124</f>
        <v>0</v>
      </c>
      <c r="F124" s="49"/>
      <c r="G124" s="18">
        <f>BCC!G124+Sheet1!G124</f>
        <v>0</v>
      </c>
      <c r="H124" s="49"/>
      <c r="I124" s="18">
        <f>BCC!I124+Sheet1!I124</f>
        <v>0</v>
      </c>
      <c r="J124" s="49"/>
      <c r="K124" s="18">
        <f>BCC!K124+Sheet1!K124</f>
        <v>0</v>
      </c>
      <c r="L124" s="49"/>
      <c r="M124" s="18">
        <f>BCC!M124+Sheet1!M124</f>
        <v>0</v>
      </c>
      <c r="N124" s="49"/>
      <c r="O124" s="18">
        <f>BCC!O124+Sheet1!O124</f>
        <v>0</v>
      </c>
      <c r="P124" s="49"/>
      <c r="Q124" s="18">
        <f>BCC!Q124+Sheet1!Q124</f>
        <v>0</v>
      </c>
      <c r="R124" s="49"/>
      <c r="S124" s="18">
        <f>BCC!S124+Sheet1!S124</f>
        <v>0</v>
      </c>
      <c r="T124" s="49"/>
      <c r="U124" s="18">
        <f>BCC!U124+Sheet1!U124</f>
        <v>0</v>
      </c>
      <c r="V124" s="49"/>
      <c r="W124" s="18">
        <f>BCC!W124+Sheet1!W124</f>
        <v>0</v>
      </c>
      <c r="X124" s="49"/>
      <c r="Y124" s="18">
        <f>BCC!Y124+Sheet1!Y124</f>
        <v>0</v>
      </c>
      <c r="Z124" s="179"/>
      <c r="AA124" s="286">
        <f t="shared" si="14"/>
        <v>0</v>
      </c>
      <c r="AB124" s="214"/>
      <c r="AC124" s="205">
        <f t="shared" si="15"/>
        <v>0</v>
      </c>
      <c r="AD124" s="214"/>
      <c r="AE124" s="170"/>
      <c r="AF124" s="238"/>
      <c r="AG124" s="75"/>
      <c r="AH124" s="205">
        <v>0</v>
      </c>
      <c r="AI124" s="255"/>
      <c r="AJ124" s="293">
        <f t="shared" si="16"/>
        <v>0</v>
      </c>
      <c r="AK124" s="53">
        <f t="shared" si="11"/>
        <v>0</v>
      </c>
      <c r="AL124" s="53">
        <f t="shared" si="12"/>
        <v>0</v>
      </c>
      <c r="AM124" s="53">
        <f t="shared" si="13"/>
        <v>0</v>
      </c>
      <c r="AN124" s="53" t="e">
        <f>#REF!-AM124</f>
        <v>#REF!</v>
      </c>
      <c r="AO124" s="53"/>
    </row>
    <row r="125" spans="1:41">
      <c r="A125" s="2">
        <v>6412</v>
      </c>
      <c r="B125" s="112" t="s">
        <v>92</v>
      </c>
      <c r="C125" s="18">
        <f>BCC!C125+Sheet1!C125</f>
        <v>0</v>
      </c>
      <c r="D125" s="49"/>
      <c r="E125" s="18">
        <f>BCC!E125+Sheet1!E125</f>
        <v>0</v>
      </c>
      <c r="F125" s="49"/>
      <c r="G125" s="18">
        <f>BCC!G125+Sheet1!G125</f>
        <v>0</v>
      </c>
      <c r="H125" s="49"/>
      <c r="I125" s="18">
        <f>BCC!I125+Sheet1!I125</f>
        <v>0</v>
      </c>
      <c r="J125" s="49"/>
      <c r="K125" s="18">
        <f>BCC!K125+Sheet1!K125</f>
        <v>0</v>
      </c>
      <c r="L125" s="49"/>
      <c r="M125" s="18">
        <f>BCC!M125+Sheet1!M125</f>
        <v>0</v>
      </c>
      <c r="N125" s="49"/>
      <c r="O125" s="18">
        <f>BCC!O125+Sheet1!O125</f>
        <v>0</v>
      </c>
      <c r="P125" s="49"/>
      <c r="Q125" s="18">
        <f>BCC!Q125+Sheet1!Q125</f>
        <v>0</v>
      </c>
      <c r="R125" s="49"/>
      <c r="S125" s="18">
        <f>BCC!S125+Sheet1!S125</f>
        <v>0</v>
      </c>
      <c r="T125" s="49"/>
      <c r="U125" s="18">
        <f>BCC!U125+Sheet1!U125</f>
        <v>0</v>
      </c>
      <c r="V125" s="49"/>
      <c r="W125" s="18">
        <f>BCC!W125+Sheet1!W125</f>
        <v>0</v>
      </c>
      <c r="X125" s="49"/>
      <c r="Y125" s="18">
        <f>BCC!Y125+Sheet1!Y125</f>
        <v>0</v>
      </c>
      <c r="Z125" s="179"/>
      <c r="AA125" s="286">
        <f t="shared" si="14"/>
        <v>0</v>
      </c>
      <c r="AB125" s="214"/>
      <c r="AC125" s="205">
        <f t="shared" si="15"/>
        <v>0</v>
      </c>
      <c r="AD125" s="214"/>
      <c r="AE125" s="170"/>
      <c r="AF125" s="238"/>
      <c r="AG125" s="75"/>
      <c r="AH125" s="205">
        <v>0</v>
      </c>
      <c r="AI125" s="255">
        <f>AH125/AH12</f>
        <v>0</v>
      </c>
      <c r="AJ125" s="293">
        <f t="shared" si="16"/>
        <v>0</v>
      </c>
      <c r="AK125" s="53">
        <f t="shared" si="11"/>
        <v>0</v>
      </c>
      <c r="AL125" s="53">
        <f t="shared" si="12"/>
        <v>0</v>
      </c>
      <c r="AM125" s="53">
        <f t="shared" si="13"/>
        <v>0</v>
      </c>
      <c r="AN125" s="53" t="e">
        <f>#REF!-AM125</f>
        <v>#REF!</v>
      </c>
      <c r="AO125" s="53"/>
    </row>
    <row r="126" spans="1:41">
      <c r="A126" s="2">
        <v>6413</v>
      </c>
      <c r="B126" s="2" t="s">
        <v>42</v>
      </c>
      <c r="C126" s="18">
        <f>BCC!C126+Sheet1!C126</f>
        <v>1100.5110000000002</v>
      </c>
      <c r="D126" s="49"/>
      <c r="E126" s="18">
        <f>BCC!E126+Sheet1!E126</f>
        <v>856.19940641010464</v>
      </c>
      <c r="F126" s="49"/>
      <c r="G126" s="18">
        <f>BCC!G126+Sheet1!G126</f>
        <v>1420.2443919818973</v>
      </c>
      <c r="H126" s="49"/>
      <c r="I126" s="18">
        <f>BCC!I126+Sheet1!I126</f>
        <v>1254.0676545811621</v>
      </c>
      <c r="J126" s="49"/>
      <c r="K126" s="18">
        <f>BCC!K126+Sheet1!K126</f>
        <v>1146.9726230841452</v>
      </c>
      <c r="L126" s="49"/>
      <c r="M126" s="18">
        <f>BCC!M126+Sheet1!M126</f>
        <v>1626.3912994439042</v>
      </c>
      <c r="N126" s="49"/>
      <c r="O126" s="18">
        <f>BCC!O126+Sheet1!O126</f>
        <v>1029.6854430945932</v>
      </c>
      <c r="P126" s="49"/>
      <c r="Q126" s="18">
        <f>BCC!Q126+Sheet1!Q126</f>
        <v>1278.6006125698291</v>
      </c>
      <c r="R126" s="49"/>
      <c r="S126" s="18">
        <f>BCC!S126+Sheet1!S126</f>
        <v>1288.0357591057743</v>
      </c>
      <c r="T126" s="49"/>
      <c r="U126" s="18">
        <f>BCC!U126+Sheet1!U126</f>
        <v>1021.678374050685</v>
      </c>
      <c r="V126" s="49"/>
      <c r="W126" s="18">
        <f>BCC!W126+Sheet1!W126</f>
        <v>1039.498007367222</v>
      </c>
      <c r="X126" s="49"/>
      <c r="Y126" s="18">
        <f>BCC!Y126+Sheet1!Y126</f>
        <v>1570.331679602652</v>
      </c>
      <c r="Z126" s="179"/>
      <c r="AA126" s="286">
        <f t="shared" si="14"/>
        <v>14632.216251291969</v>
      </c>
      <c r="AB126" s="214"/>
      <c r="AC126" s="205">
        <f t="shared" si="15"/>
        <v>1219.3513542743308</v>
      </c>
      <c r="AD126" s="214"/>
      <c r="AE126" s="170"/>
      <c r="AF126" s="249"/>
      <c r="AG126" s="171"/>
      <c r="AH126" s="205">
        <v>12000</v>
      </c>
      <c r="AI126" s="255">
        <f>AH126/AH12</f>
        <v>1.490257164364747E-2</v>
      </c>
      <c r="AJ126" s="293">
        <f t="shared" si="16"/>
        <v>27851.567605566299</v>
      </c>
      <c r="AK126" s="53">
        <f t="shared" si="11"/>
        <v>0</v>
      </c>
      <c r="AL126" s="53">
        <f t="shared" si="12"/>
        <v>14632.216251291969</v>
      </c>
      <c r="AM126" s="53">
        <f t="shared" si="13"/>
        <v>119149.75494188954</v>
      </c>
      <c r="AN126" s="53" t="e">
        <f>#REF!-AM126</f>
        <v>#REF!</v>
      </c>
      <c r="AO126" s="53"/>
    </row>
    <row r="127" spans="1:41">
      <c r="A127" s="2">
        <v>6414</v>
      </c>
      <c r="B127" s="2" t="s">
        <v>44</v>
      </c>
      <c r="C127" s="18">
        <f>BCC!C127+Sheet1!C127</f>
        <v>50</v>
      </c>
      <c r="D127" s="49"/>
      <c r="E127" s="18">
        <f>BCC!E127+Sheet1!E127</f>
        <v>50</v>
      </c>
      <c r="F127" s="49"/>
      <c r="G127" s="18">
        <f>BCC!G127+Sheet1!G127</f>
        <v>50</v>
      </c>
      <c r="H127" s="49"/>
      <c r="I127" s="18">
        <f>BCC!I127+Sheet1!I127</f>
        <v>50</v>
      </c>
      <c r="J127" s="49"/>
      <c r="K127" s="18">
        <f>BCC!K127+Sheet1!K127</f>
        <v>50</v>
      </c>
      <c r="L127" s="49"/>
      <c r="M127" s="18">
        <f>BCC!M127+Sheet1!M127</f>
        <v>50</v>
      </c>
      <c r="N127" s="49"/>
      <c r="O127" s="18">
        <f>BCC!O127+Sheet1!O127</f>
        <v>50</v>
      </c>
      <c r="P127" s="49"/>
      <c r="Q127" s="18">
        <f>BCC!Q127+Sheet1!Q127</f>
        <v>50</v>
      </c>
      <c r="R127" s="49"/>
      <c r="S127" s="18">
        <f>BCC!S127+Sheet1!S127</f>
        <v>50</v>
      </c>
      <c r="T127" s="49"/>
      <c r="U127" s="18">
        <f>BCC!U127+Sheet1!U127</f>
        <v>50</v>
      </c>
      <c r="V127" s="49"/>
      <c r="W127" s="18">
        <f>BCC!W127+Sheet1!W127</f>
        <v>50</v>
      </c>
      <c r="X127" s="49"/>
      <c r="Y127" s="18">
        <f>BCC!Y127+Sheet1!Y127</f>
        <v>50</v>
      </c>
      <c r="Z127" s="179"/>
      <c r="AA127" s="286">
        <f t="shared" si="14"/>
        <v>600</v>
      </c>
      <c r="AB127" s="214"/>
      <c r="AC127" s="205">
        <f t="shared" si="15"/>
        <v>50</v>
      </c>
      <c r="AD127" s="214"/>
      <c r="AE127" s="170"/>
      <c r="AF127" s="238"/>
      <c r="AG127" s="75"/>
      <c r="AH127" s="205">
        <v>15</v>
      </c>
      <c r="AI127" s="255">
        <f>AH127/AH12</f>
        <v>1.8628214554559339E-5</v>
      </c>
      <c r="AJ127" s="293">
        <f t="shared" si="16"/>
        <v>665</v>
      </c>
      <c r="AK127" s="53">
        <f t="shared" si="11"/>
        <v>0</v>
      </c>
      <c r="AL127" s="53">
        <f t="shared" si="12"/>
        <v>600</v>
      </c>
      <c r="AM127" s="53">
        <f t="shared" si="13"/>
        <v>4700</v>
      </c>
      <c r="AN127" s="53" t="e">
        <f>#REF!-AM127</f>
        <v>#REF!</v>
      </c>
      <c r="AO127" s="53"/>
    </row>
    <row r="128" spans="1:41">
      <c r="A128" s="2">
        <v>6415</v>
      </c>
      <c r="B128" s="112" t="s">
        <v>45</v>
      </c>
      <c r="C128" s="18">
        <f>BCC!C128+Sheet1!C128</f>
        <v>0</v>
      </c>
      <c r="D128" s="49"/>
      <c r="E128" s="18">
        <f>BCC!E128+Sheet1!E128</f>
        <v>0</v>
      </c>
      <c r="F128" s="49"/>
      <c r="G128" s="18">
        <f>BCC!G128+Sheet1!G128</f>
        <v>0</v>
      </c>
      <c r="H128" s="49"/>
      <c r="I128" s="18">
        <f>BCC!I128+Sheet1!I128</f>
        <v>0</v>
      </c>
      <c r="J128" s="49"/>
      <c r="K128" s="18">
        <f>BCC!K128+Sheet1!K128</f>
        <v>0</v>
      </c>
      <c r="L128" s="49"/>
      <c r="M128" s="18">
        <f>BCC!M128+Sheet1!M128</f>
        <v>0</v>
      </c>
      <c r="N128" s="49"/>
      <c r="O128" s="18">
        <f>BCC!O128+Sheet1!O128</f>
        <v>0</v>
      </c>
      <c r="P128" s="49"/>
      <c r="Q128" s="18">
        <f>BCC!Q128+Sheet1!Q128</f>
        <v>0</v>
      </c>
      <c r="R128" s="49"/>
      <c r="S128" s="18">
        <f>BCC!S128+Sheet1!S128</f>
        <v>0</v>
      </c>
      <c r="T128" s="49"/>
      <c r="U128" s="18">
        <f>BCC!U128+Sheet1!U128</f>
        <v>0</v>
      </c>
      <c r="V128" s="49"/>
      <c r="W128" s="18">
        <f>BCC!W128+Sheet1!W128</f>
        <v>0</v>
      </c>
      <c r="X128" s="49"/>
      <c r="Y128" s="18">
        <f>BCC!Y128+Sheet1!Y128</f>
        <v>0</v>
      </c>
      <c r="Z128" s="179"/>
      <c r="AA128" s="286">
        <f t="shared" si="14"/>
        <v>0</v>
      </c>
      <c r="AB128" s="214"/>
      <c r="AC128" s="205">
        <f t="shared" si="15"/>
        <v>0</v>
      </c>
      <c r="AD128" s="214"/>
      <c r="AE128" s="170"/>
      <c r="AF128" s="238"/>
      <c r="AG128" s="170"/>
      <c r="AH128" s="205">
        <v>1160</v>
      </c>
      <c r="AI128" s="255">
        <f>AH128/AH12</f>
        <v>1.4405819255525888E-3</v>
      </c>
      <c r="AJ128" s="293">
        <f t="shared" si="16"/>
        <v>1160</v>
      </c>
      <c r="AK128" s="53">
        <f t="shared" si="11"/>
        <v>0</v>
      </c>
      <c r="AL128" s="53">
        <f t="shared" si="12"/>
        <v>0</v>
      </c>
      <c r="AM128" s="53">
        <f t="shared" si="13"/>
        <v>0</v>
      </c>
      <c r="AN128" s="53" t="e">
        <f>#REF!-AM128</f>
        <v>#REF!</v>
      </c>
      <c r="AO128" s="53"/>
    </row>
    <row r="129" spans="1:41" ht="15.75" thickBot="1">
      <c r="A129" s="4">
        <v>6499</v>
      </c>
      <c r="B129" s="113" t="s">
        <v>102</v>
      </c>
      <c r="C129" s="27">
        <f>BCC!C129+Sheet1!C128</f>
        <v>1300.5110000000002</v>
      </c>
      <c r="D129" s="68"/>
      <c r="E129" s="27">
        <f>BCC!E129+Sheet1!E128</f>
        <v>1056.1994064101045</v>
      </c>
      <c r="F129" s="68"/>
      <c r="G129" s="27">
        <f>BCC!G129+Sheet1!G128</f>
        <v>1620.2443919818973</v>
      </c>
      <c r="H129" s="68"/>
      <c r="I129" s="27">
        <f>BCC!I129+Sheet1!I128</f>
        <v>1454.0676545811621</v>
      </c>
      <c r="J129" s="68"/>
      <c r="K129" s="27">
        <f>BCC!K129+Sheet1!K128</f>
        <v>1346.9726230841452</v>
      </c>
      <c r="L129" s="68"/>
      <c r="M129" s="27">
        <f>BCC!M129+Sheet1!M128</f>
        <v>1826.3912994439042</v>
      </c>
      <c r="N129" s="68"/>
      <c r="O129" s="27">
        <f>BCC!O129+Sheet1!O128</f>
        <v>1229.6854430945932</v>
      </c>
      <c r="P129" s="68"/>
      <c r="Q129" s="27">
        <f>BCC!Q129+Sheet1!Q128</f>
        <v>1478.6006125698291</v>
      </c>
      <c r="R129" s="68"/>
      <c r="S129" s="27">
        <f>BCC!S129+Sheet1!S128</f>
        <v>1488.0357591057743</v>
      </c>
      <c r="T129" s="68"/>
      <c r="U129" s="27">
        <f>BCC!U129+Sheet1!U128</f>
        <v>1221.6783740506849</v>
      </c>
      <c r="V129" s="68"/>
      <c r="W129" s="27">
        <f>BCC!W129+Sheet1!W128</f>
        <v>1239.498007367222</v>
      </c>
      <c r="X129" s="68"/>
      <c r="Y129" s="27">
        <f>BCC!Y129+Sheet1!Y128</f>
        <v>1770.331679602652</v>
      </c>
      <c r="Z129" s="223"/>
      <c r="AA129" s="211">
        <f t="shared" si="14"/>
        <v>17032.216251291968</v>
      </c>
      <c r="AB129" s="245"/>
      <c r="AC129" s="210">
        <f t="shared" si="15"/>
        <v>1419.3513542743306</v>
      </c>
      <c r="AD129" s="245"/>
      <c r="AE129" s="75"/>
      <c r="AF129" s="169"/>
      <c r="AG129" s="75"/>
      <c r="AH129" s="210">
        <f>SUM(AH116:AH128)</f>
        <v>14275.269</v>
      </c>
      <c r="AI129" s="259">
        <f>AH129/AH12</f>
        <v>1.7728184917069983E-2</v>
      </c>
      <c r="AJ129" s="297">
        <f t="shared" si="16"/>
        <v>32726.836605566299</v>
      </c>
      <c r="AK129" s="53">
        <f t="shared" si="11"/>
        <v>0</v>
      </c>
      <c r="AL129" s="53">
        <f t="shared" si="12"/>
        <v>17032.216251291968</v>
      </c>
      <c r="AM129" s="53">
        <f t="shared" si="13"/>
        <v>137949.75494188952</v>
      </c>
      <c r="AN129" s="53" t="e">
        <f>#REF!-AM129</f>
        <v>#REF!</v>
      </c>
      <c r="AO129" s="53"/>
    </row>
    <row r="130" spans="1:41" ht="15.75" thickTop="1">
      <c r="A130" s="109"/>
      <c r="B130" s="114"/>
      <c r="C130" s="136">
        <f>BCC!C130+Sheet1!C129</f>
        <v>0</v>
      </c>
      <c r="D130" s="70"/>
      <c r="E130" s="136">
        <f>BCC!E130+Sheet1!E129</f>
        <v>0</v>
      </c>
      <c r="F130" s="70"/>
      <c r="G130" s="136">
        <f>BCC!G130+Sheet1!G129</f>
        <v>0</v>
      </c>
      <c r="H130" s="70"/>
      <c r="I130" s="136">
        <f>BCC!I130+Sheet1!I129</f>
        <v>0</v>
      </c>
      <c r="J130" s="70"/>
      <c r="K130" s="136">
        <f>BCC!K130+Sheet1!K129</f>
        <v>0</v>
      </c>
      <c r="L130" s="70"/>
      <c r="M130" s="136">
        <f>BCC!M130+Sheet1!M129</f>
        <v>0</v>
      </c>
      <c r="N130" s="70"/>
      <c r="O130" s="136">
        <f>BCC!O130+Sheet1!O129</f>
        <v>0</v>
      </c>
      <c r="P130" s="70"/>
      <c r="Q130" s="136">
        <f>BCC!Q130+Sheet1!Q129</f>
        <v>0</v>
      </c>
      <c r="R130" s="70"/>
      <c r="S130" s="136">
        <f>BCC!S130+Sheet1!S129</f>
        <v>0</v>
      </c>
      <c r="T130" s="70"/>
      <c r="U130" s="136">
        <f>BCC!U130+Sheet1!U129</f>
        <v>0</v>
      </c>
      <c r="V130" s="70"/>
      <c r="W130" s="136">
        <f>BCC!W130+Sheet1!W129</f>
        <v>0</v>
      </c>
      <c r="X130" s="70"/>
      <c r="Y130" s="136">
        <f>BCC!Y130+Sheet1!Y129</f>
        <v>0</v>
      </c>
      <c r="AA130" s="204">
        <f t="shared" si="14"/>
        <v>0</v>
      </c>
      <c r="AB130" s="213"/>
      <c r="AC130" s="205">
        <f t="shared" si="15"/>
        <v>0</v>
      </c>
      <c r="AD130" s="213"/>
      <c r="AE130" s="75"/>
      <c r="AF130" s="169"/>
      <c r="AG130" s="75"/>
      <c r="AH130" s="205"/>
      <c r="AI130" s="254"/>
      <c r="AJ130" s="293">
        <f t="shared" si="16"/>
        <v>0</v>
      </c>
      <c r="AK130" s="53">
        <f t="shared" si="11"/>
        <v>0</v>
      </c>
      <c r="AL130" s="53">
        <f t="shared" si="12"/>
        <v>0</v>
      </c>
      <c r="AM130" s="53">
        <f t="shared" si="13"/>
        <v>0</v>
      </c>
      <c r="AN130" s="53" t="e">
        <f>#REF!-AM130</f>
        <v>#REF!</v>
      </c>
      <c r="AO130" s="53"/>
    </row>
    <row r="131" spans="1:41" ht="15.75" thickBot="1">
      <c r="A131" s="4"/>
      <c r="B131" s="113" t="s">
        <v>118</v>
      </c>
      <c r="C131" s="131">
        <f>BCC!C131+Sheet1!C130</f>
        <v>4588.1723233513221</v>
      </c>
      <c r="D131" s="126"/>
      <c r="E131" s="131">
        <f>BCC!E131+Sheet1!E130</f>
        <v>-6138.0604647804967</v>
      </c>
      <c r="F131" s="126"/>
      <c r="G131" s="131">
        <f>BCC!G131+Sheet1!G130</f>
        <v>17486.000960450816</v>
      </c>
      <c r="H131" s="126"/>
      <c r="I131" s="131">
        <f>BCC!I131+Sheet1!I130</f>
        <v>19966.715797370332</v>
      </c>
      <c r="J131" s="126"/>
      <c r="K131" s="131">
        <f>BCC!K131+Sheet1!K130</f>
        <v>19220.924991258067</v>
      </c>
      <c r="L131" s="126"/>
      <c r="M131" s="131">
        <f>BCC!M131+Sheet1!M130</f>
        <v>27361.814866862325</v>
      </c>
      <c r="N131" s="126"/>
      <c r="O131" s="131">
        <f>BCC!O131+Sheet1!O130</f>
        <v>2521.8443986052444</v>
      </c>
      <c r="P131" s="126"/>
      <c r="Q131" s="131">
        <f>BCC!Q131+Sheet1!Q130</f>
        <v>18413.930459815489</v>
      </c>
      <c r="R131" s="126"/>
      <c r="S131" s="131">
        <f>BCC!S131+Sheet1!S130</f>
        <v>8999.5560885692958</v>
      </c>
      <c r="T131" s="126"/>
      <c r="U131" s="131">
        <f>BCC!U131+Sheet1!U130</f>
        <v>-1261.3331700507883</v>
      </c>
      <c r="V131" s="126"/>
      <c r="W131" s="131">
        <f>BCC!W131+Sheet1!W130</f>
        <v>12744.805362357452</v>
      </c>
      <c r="X131" s="126"/>
      <c r="Y131" s="131">
        <f>BCC!Y131+Sheet1!Y130</f>
        <v>26167.061774394773</v>
      </c>
      <c r="Z131" s="126"/>
      <c r="AA131" s="289">
        <f t="shared" si="14"/>
        <v>150071.43338820385</v>
      </c>
      <c r="AB131" s="250"/>
      <c r="AC131" s="251">
        <f t="shared" si="15"/>
        <v>12505.952782350321</v>
      </c>
      <c r="AD131" s="250"/>
      <c r="AE131" s="75"/>
      <c r="AF131" s="169"/>
      <c r="AG131" s="75"/>
      <c r="AH131" s="251">
        <f>AH37-AH76-AH93-AH115-AH129</f>
        <v>60012.709566352511</v>
      </c>
      <c r="AI131" s="261">
        <f>AH131/AH12</f>
        <v>7.4528641986831359E-2</v>
      </c>
      <c r="AJ131" s="297">
        <f t="shared" si="16"/>
        <v>222590.09573690669</v>
      </c>
      <c r="AK131" s="53">
        <f t="shared" si="11"/>
        <v>0</v>
      </c>
      <c r="AL131" s="53">
        <f t="shared" si="12"/>
        <v>150071.43338820385</v>
      </c>
      <c r="AM131" s="53">
        <f t="shared" si="13"/>
        <v>1425240.4223785498</v>
      </c>
      <c r="AN131" s="53" t="e">
        <f>#REF!-AM131</f>
        <v>#REF!</v>
      </c>
      <c r="AO131" s="53"/>
    </row>
    <row r="132" spans="1:41" ht="15.75" thickTop="1">
      <c r="A132" s="109"/>
      <c r="B132" s="114"/>
      <c r="C132" s="136">
        <f>BCC!C132+Sheet1!C131</f>
        <v>0</v>
      </c>
      <c r="D132" s="70"/>
      <c r="E132" s="136">
        <f>BCC!E132+Sheet1!E131</f>
        <v>0</v>
      </c>
      <c r="F132" s="70"/>
      <c r="G132" s="136">
        <f>BCC!G132+Sheet1!G131</f>
        <v>0</v>
      </c>
      <c r="H132" s="70"/>
      <c r="I132" s="136">
        <f>BCC!I132+Sheet1!I131</f>
        <v>0</v>
      </c>
      <c r="J132" s="70"/>
      <c r="K132" s="136">
        <f>BCC!K132+Sheet1!K131</f>
        <v>0</v>
      </c>
      <c r="L132" s="70"/>
      <c r="M132" s="136">
        <f>BCC!M132+Sheet1!M131</f>
        <v>0</v>
      </c>
      <c r="N132" s="70"/>
      <c r="O132" s="136">
        <f>BCC!O132+Sheet1!O131</f>
        <v>0</v>
      </c>
      <c r="P132" s="70"/>
      <c r="Q132" s="136">
        <f>BCC!Q132+Sheet1!Q131</f>
        <v>0</v>
      </c>
      <c r="R132" s="70"/>
      <c r="S132" s="136">
        <f>BCC!S132+Sheet1!S131</f>
        <v>0</v>
      </c>
      <c r="T132" s="70"/>
      <c r="U132" s="136">
        <f>BCC!U132+Sheet1!U131</f>
        <v>0</v>
      </c>
      <c r="V132" s="70"/>
      <c r="W132" s="136">
        <f>BCC!W132+Sheet1!W131</f>
        <v>0</v>
      </c>
      <c r="X132" s="70"/>
      <c r="Y132" s="136">
        <f>BCC!Y132+Sheet1!Y131</f>
        <v>0</v>
      </c>
      <c r="AA132" s="204">
        <f t="shared" si="14"/>
        <v>0</v>
      </c>
      <c r="AB132" s="213"/>
      <c r="AC132" s="205">
        <f t="shared" si="15"/>
        <v>0</v>
      </c>
      <c r="AD132" s="213"/>
      <c r="AE132" s="75"/>
      <c r="AF132" s="169"/>
      <c r="AG132" s="75"/>
      <c r="AH132" s="205"/>
      <c r="AI132" s="254"/>
      <c r="AJ132" s="293">
        <f t="shared" si="16"/>
        <v>0</v>
      </c>
      <c r="AK132" s="53">
        <f t="shared" si="11"/>
        <v>0</v>
      </c>
      <c r="AL132" s="53">
        <f t="shared" si="12"/>
        <v>0</v>
      </c>
      <c r="AM132" s="53">
        <f t="shared" si="13"/>
        <v>0</v>
      </c>
      <c r="AN132" s="53" t="e">
        <f>#REF!-AM132</f>
        <v>#REF!</v>
      </c>
      <c r="AO132" s="53"/>
    </row>
    <row r="133" spans="1:41" ht="15.75" thickBot="1">
      <c r="A133" s="4"/>
      <c r="B133" s="274" t="s">
        <v>128</v>
      </c>
      <c r="C133" s="132">
        <f>BCC!C133+Sheet1!C132</f>
        <v>0</v>
      </c>
      <c r="D133" s="275"/>
      <c r="E133" s="132">
        <f>BCC!E133+Sheet1!E132</f>
        <v>0</v>
      </c>
      <c r="F133" s="275"/>
      <c r="G133" s="132">
        <f>BCC!G133+Sheet1!G132</f>
        <v>0</v>
      </c>
      <c r="H133" s="275"/>
      <c r="I133" s="132">
        <f>BCC!I133+Sheet1!I132</f>
        <v>0</v>
      </c>
      <c r="J133" s="275"/>
      <c r="K133" s="132">
        <f>BCC!K133+Sheet1!K132</f>
        <v>0</v>
      </c>
      <c r="L133" s="275"/>
      <c r="M133" s="132">
        <f>BCC!M133+Sheet1!M132</f>
        <v>0</v>
      </c>
      <c r="N133" s="275"/>
      <c r="O133" s="132">
        <f>BCC!O133+Sheet1!O132</f>
        <v>0</v>
      </c>
      <c r="P133" s="275"/>
      <c r="Q133" s="132">
        <f>BCC!Q133+Sheet1!Q132</f>
        <v>0</v>
      </c>
      <c r="R133" s="275"/>
      <c r="S133" s="132">
        <f>BCC!S133+Sheet1!S132</f>
        <v>0</v>
      </c>
      <c r="T133" s="275"/>
      <c r="U133" s="132">
        <f>BCC!U133+Sheet1!U132</f>
        <v>0</v>
      </c>
      <c r="V133" s="275"/>
      <c r="W133" s="132">
        <f>BCC!W133+Sheet1!W132</f>
        <v>0</v>
      </c>
      <c r="X133" s="275"/>
      <c r="Y133" s="132">
        <f>BCC!Y133+Sheet1!Y132</f>
        <v>0</v>
      </c>
      <c r="Z133" s="276"/>
      <c r="AA133" s="287">
        <f t="shared" si="14"/>
        <v>0</v>
      </c>
      <c r="AB133" s="277"/>
      <c r="AC133" s="278">
        <f t="shared" si="15"/>
        <v>0</v>
      </c>
      <c r="AD133" s="277"/>
      <c r="AE133" s="273"/>
      <c r="AF133" s="272"/>
      <c r="AG133" s="273"/>
      <c r="AH133" s="278"/>
      <c r="AI133" s="279"/>
      <c r="AJ133" s="293">
        <f t="shared" si="16"/>
        <v>0</v>
      </c>
      <c r="AK133" s="53">
        <f t="shared" si="11"/>
        <v>0</v>
      </c>
      <c r="AL133" s="53">
        <f t="shared" si="12"/>
        <v>0</v>
      </c>
      <c r="AM133" s="53">
        <f t="shared" si="13"/>
        <v>0</v>
      </c>
      <c r="AN133" s="53" t="e">
        <f>#REF!-AM133</f>
        <v>#REF!</v>
      </c>
      <c r="AO133" s="53"/>
    </row>
    <row r="134" spans="1:41" ht="15.75" thickTop="1">
      <c r="A134" s="109"/>
      <c r="B134" s="109"/>
      <c r="C134" s="136">
        <f>BCC!C134+Sheet1!C133</f>
        <v>0</v>
      </c>
      <c r="D134" s="70"/>
      <c r="E134" s="136">
        <f>BCC!E134+Sheet1!E133</f>
        <v>0</v>
      </c>
      <c r="F134" s="70"/>
      <c r="G134" s="136">
        <f>BCC!G134+Sheet1!G133</f>
        <v>0</v>
      </c>
      <c r="H134" s="70"/>
      <c r="I134" s="136">
        <f>BCC!I134+Sheet1!I133</f>
        <v>0</v>
      </c>
      <c r="J134" s="70"/>
      <c r="K134" s="136">
        <f>BCC!K134+Sheet1!K133</f>
        <v>0</v>
      </c>
      <c r="L134" s="70"/>
      <c r="M134" s="136">
        <f>BCC!M134+Sheet1!M133</f>
        <v>0</v>
      </c>
      <c r="N134" s="70"/>
      <c r="O134" s="136">
        <f>BCC!O134+Sheet1!O133</f>
        <v>0</v>
      </c>
      <c r="P134" s="70"/>
      <c r="Q134" s="136">
        <f>BCC!Q134+Sheet1!Q133</f>
        <v>0</v>
      </c>
      <c r="R134" s="70"/>
      <c r="S134" s="136">
        <f>BCC!S134+Sheet1!S133</f>
        <v>0</v>
      </c>
      <c r="T134" s="70"/>
      <c r="U134" s="136">
        <f>BCC!U134+Sheet1!U133</f>
        <v>0</v>
      </c>
      <c r="V134" s="70"/>
      <c r="W134" s="136">
        <f>BCC!W134+Sheet1!W133</f>
        <v>0</v>
      </c>
      <c r="X134" s="70"/>
      <c r="Y134" s="136">
        <f>BCC!Y134+Sheet1!Y133</f>
        <v>0</v>
      </c>
      <c r="AA134" s="204">
        <f t="shared" si="14"/>
        <v>0</v>
      </c>
      <c r="AB134" s="213"/>
      <c r="AC134" s="205">
        <f t="shared" si="15"/>
        <v>0</v>
      </c>
      <c r="AD134" s="213"/>
      <c r="AE134" s="75"/>
      <c r="AF134" s="169"/>
      <c r="AG134" s="75"/>
      <c r="AH134" s="205"/>
      <c r="AI134" s="254"/>
      <c r="AJ134" s="293">
        <f t="shared" si="16"/>
        <v>0</v>
      </c>
      <c r="AK134" s="53">
        <f t="shared" si="11"/>
        <v>0</v>
      </c>
      <c r="AL134" s="53">
        <f t="shared" si="12"/>
        <v>0</v>
      </c>
      <c r="AM134" s="53">
        <f t="shared" si="13"/>
        <v>0</v>
      </c>
      <c r="AN134" s="53" t="e">
        <f>#REF!-AM134</f>
        <v>#REF!</v>
      </c>
      <c r="AO134" s="53"/>
    </row>
    <row r="135" spans="1:41" ht="15.75" thickBot="1">
      <c r="A135" s="4"/>
      <c r="B135" s="4" t="s">
        <v>125</v>
      </c>
      <c r="C135" s="27">
        <f>BCC!C135+Sheet1!C134</f>
        <v>4588.1723233513221</v>
      </c>
      <c r="D135" s="68"/>
      <c r="E135" s="27">
        <f>BCC!E135+Sheet1!E134</f>
        <v>-6138.0604647804967</v>
      </c>
      <c r="F135" s="68"/>
      <c r="G135" s="27">
        <f>BCC!G135+Sheet1!G134</f>
        <v>17486.000960450816</v>
      </c>
      <c r="H135" s="68"/>
      <c r="I135" s="27">
        <f>BCC!I135+Sheet1!I134</f>
        <v>19966.715797370332</v>
      </c>
      <c r="J135" s="68"/>
      <c r="K135" s="27">
        <f>BCC!K135+Sheet1!K134</f>
        <v>19220.924991258067</v>
      </c>
      <c r="L135" s="68"/>
      <c r="M135" s="27">
        <f>BCC!M135+Sheet1!M134</f>
        <v>27361.814866862325</v>
      </c>
      <c r="N135" s="68"/>
      <c r="O135" s="27">
        <f>BCC!O135+Sheet1!O134</f>
        <v>2521.8443986052444</v>
      </c>
      <c r="P135" s="68"/>
      <c r="Q135" s="27">
        <f>BCC!Q135+Sheet1!Q134</f>
        <v>18413.930459815489</v>
      </c>
      <c r="R135" s="68"/>
      <c r="S135" s="27">
        <f>BCC!S135+Sheet1!S134</f>
        <v>8999.5560885692958</v>
      </c>
      <c r="T135" s="68"/>
      <c r="U135" s="27">
        <f>BCC!U135+Sheet1!U134</f>
        <v>-1261.3331700507883</v>
      </c>
      <c r="V135" s="68"/>
      <c r="W135" s="27">
        <f>BCC!W135+Sheet1!W134</f>
        <v>12744.805362357452</v>
      </c>
      <c r="X135" s="68"/>
      <c r="Y135" s="27">
        <f>BCC!Y135+Sheet1!Y134</f>
        <v>26167.061774394773</v>
      </c>
      <c r="Z135" s="223"/>
      <c r="AA135" s="211">
        <f t="shared" si="14"/>
        <v>150071.43338820385</v>
      </c>
      <c r="AB135" s="245"/>
      <c r="AC135" s="217">
        <f t="shared" si="15"/>
        <v>12505.952782350321</v>
      </c>
      <c r="AD135" s="245"/>
      <c r="AE135" s="75"/>
      <c r="AF135" s="169"/>
      <c r="AG135" s="75"/>
      <c r="AH135" s="217">
        <f>AH131</f>
        <v>60012.709566352511</v>
      </c>
      <c r="AI135" s="259">
        <f>AH135/AH12</f>
        <v>7.4528641986831359E-2</v>
      </c>
      <c r="AJ135" s="297">
        <f t="shared" si="16"/>
        <v>222590.09573690669</v>
      </c>
      <c r="AK135" s="53">
        <f t="shared" si="11"/>
        <v>0</v>
      </c>
      <c r="AL135" s="53">
        <f t="shared" si="12"/>
        <v>150071.43338820385</v>
      </c>
      <c r="AM135" s="53">
        <f t="shared" si="13"/>
        <v>1425240.4223785498</v>
      </c>
      <c r="AN135" s="53" t="e">
        <f>#REF!-AM135</f>
        <v>#REF!</v>
      </c>
      <c r="AO135" s="53"/>
    </row>
    <row r="136" spans="1:41" ht="15.75" thickTop="1">
      <c r="A136" s="16">
        <v>6501</v>
      </c>
      <c r="B136" s="115"/>
      <c r="C136" s="18">
        <f>BCC!C136+Sheet1!C135</f>
        <v>0</v>
      </c>
      <c r="D136" s="49"/>
      <c r="E136" s="18">
        <f>BCC!E136+Sheet1!E135</f>
        <v>0</v>
      </c>
      <c r="F136" s="49"/>
      <c r="G136" s="18">
        <f>BCC!G136+Sheet1!G135</f>
        <v>0</v>
      </c>
      <c r="H136" s="49"/>
      <c r="I136" s="18">
        <f>BCC!I136+Sheet1!I135</f>
        <v>0</v>
      </c>
      <c r="J136" s="49"/>
      <c r="K136" s="18">
        <f>BCC!K136+Sheet1!K135</f>
        <v>0</v>
      </c>
      <c r="L136" s="49"/>
      <c r="M136" s="18">
        <f>BCC!M136+Sheet1!M135</f>
        <v>0</v>
      </c>
      <c r="N136" s="49"/>
      <c r="O136" s="18">
        <f>BCC!O136+Sheet1!O135</f>
        <v>0</v>
      </c>
      <c r="P136" s="49"/>
      <c r="Q136" s="18">
        <f>BCC!Q136+Sheet1!Q135</f>
        <v>0</v>
      </c>
      <c r="R136" s="49"/>
      <c r="S136" s="18">
        <f>BCC!S136+Sheet1!S135</f>
        <v>0</v>
      </c>
      <c r="T136" s="49"/>
      <c r="U136" s="18">
        <f>BCC!U136+Sheet1!U135</f>
        <v>0</v>
      </c>
      <c r="V136" s="49"/>
      <c r="W136" s="18">
        <f>BCC!W136+Sheet1!W135</f>
        <v>0</v>
      </c>
      <c r="X136" s="49"/>
      <c r="Y136" s="18">
        <f>BCC!Y136+Sheet1!Y135</f>
        <v>0</v>
      </c>
      <c r="Z136" s="179"/>
      <c r="AA136" s="286">
        <f t="shared" si="14"/>
        <v>0</v>
      </c>
      <c r="AB136" s="214"/>
      <c r="AC136" s="205">
        <f t="shared" si="15"/>
        <v>0</v>
      </c>
      <c r="AD136" s="214"/>
      <c r="AE136" s="75"/>
      <c r="AF136" s="169"/>
      <c r="AG136" s="75"/>
      <c r="AH136" s="205">
        <v>0</v>
      </c>
      <c r="AI136" s="255">
        <f>AH136/AH12</f>
        <v>0</v>
      </c>
      <c r="AJ136" s="293">
        <f t="shared" si="16"/>
        <v>0</v>
      </c>
      <c r="AK136" s="53">
        <f t="shared" si="11"/>
        <v>0</v>
      </c>
      <c r="AL136" s="53">
        <f t="shared" si="12"/>
        <v>0</v>
      </c>
      <c r="AM136" s="53">
        <f t="shared" si="13"/>
        <v>0</v>
      </c>
      <c r="AN136" s="53" t="e">
        <f>#REF!-AM136</f>
        <v>#REF!</v>
      </c>
      <c r="AO136" s="53"/>
    </row>
    <row r="137" spans="1:41">
      <c r="A137" s="2">
        <v>6502</v>
      </c>
      <c r="B137" s="115" t="s">
        <v>121</v>
      </c>
      <c r="C137" s="18">
        <f>BCC!C137+Sheet1!C136</f>
        <v>6427.06</v>
      </c>
      <c r="D137" s="49"/>
      <c r="E137" s="18">
        <f>BCC!E137+Sheet1!E136</f>
        <v>6427.06</v>
      </c>
      <c r="F137" s="49"/>
      <c r="G137" s="18">
        <f>BCC!G137+Sheet1!G136</f>
        <v>6427.06</v>
      </c>
      <c r="H137" s="49"/>
      <c r="I137" s="18">
        <f>BCC!I137+Sheet1!I136</f>
        <v>6427.06</v>
      </c>
      <c r="J137" s="49"/>
      <c r="K137" s="18">
        <f>BCC!K137+Sheet1!K136</f>
        <v>6427.06</v>
      </c>
      <c r="L137" s="49"/>
      <c r="M137" s="18">
        <f>BCC!M137+Sheet1!M136</f>
        <v>6427.06</v>
      </c>
      <c r="N137" s="49"/>
      <c r="O137" s="18">
        <f>BCC!O137+Sheet1!O136</f>
        <v>6427.06</v>
      </c>
      <c r="P137" s="49"/>
      <c r="Q137" s="18">
        <f>BCC!Q137+Sheet1!Q136</f>
        <v>6427.06</v>
      </c>
      <c r="R137" s="49"/>
      <c r="S137" s="18">
        <f>BCC!S137+Sheet1!S136</f>
        <v>6427.06</v>
      </c>
      <c r="T137" s="49"/>
      <c r="U137" s="18">
        <f>BCC!U137+Sheet1!U136</f>
        <v>6417.27</v>
      </c>
      <c r="V137" s="49"/>
      <c r="W137" s="18">
        <f>BCC!W137+Sheet1!W136</f>
        <v>6417.27</v>
      </c>
      <c r="X137" s="49"/>
      <c r="Y137" s="18">
        <f>BCC!Y137+Sheet1!Y136</f>
        <v>6417.27</v>
      </c>
      <c r="Z137" s="179"/>
      <c r="AA137" s="286">
        <f t="shared" si="14"/>
        <v>77095.350000000006</v>
      </c>
      <c r="AB137" s="214"/>
      <c r="AC137" s="205">
        <f t="shared" si="15"/>
        <v>6424.6125000000002</v>
      </c>
      <c r="AD137" s="214"/>
      <c r="AE137" s="75"/>
      <c r="AF137" s="169"/>
      <c r="AG137" s="75"/>
      <c r="AH137" s="212">
        <v>58510.638297872341</v>
      </c>
      <c r="AI137" s="255">
        <f>AH137/AH12</f>
        <v>7.2663248262465507E-2</v>
      </c>
      <c r="AJ137" s="293">
        <f t="shared" si="16"/>
        <v>142030.60079787235</v>
      </c>
      <c r="AK137" s="53">
        <f t="shared" si="11"/>
        <v>0</v>
      </c>
      <c r="AL137" s="53">
        <f t="shared" si="12"/>
        <v>77095.350000000006</v>
      </c>
      <c r="AM137" s="53">
        <f t="shared" si="13"/>
        <v>603867.56200000003</v>
      </c>
      <c r="AN137" s="53" t="e">
        <f>#REF!-AM137</f>
        <v>#REF!</v>
      </c>
      <c r="AO137" s="53"/>
    </row>
    <row r="138" spans="1:41">
      <c r="A138" s="2">
        <v>6503</v>
      </c>
      <c r="B138" s="115" t="s">
        <v>122</v>
      </c>
      <c r="C138" s="18">
        <f>BCC!C138+Sheet1!C137</f>
        <v>951.23</v>
      </c>
      <c r="D138" s="49"/>
      <c r="E138" s="18">
        <f>BCC!E138+Sheet1!E137</f>
        <v>951.24</v>
      </c>
      <c r="F138" s="49"/>
      <c r="G138" s="18">
        <f>BCC!G138+Sheet1!G137</f>
        <v>951.23</v>
      </c>
      <c r="H138" s="49"/>
      <c r="I138" s="18">
        <f>BCC!I138+Sheet1!I137</f>
        <v>951.24</v>
      </c>
      <c r="J138" s="49"/>
      <c r="K138" s="18">
        <f>BCC!K138+Sheet1!K137</f>
        <v>951.23</v>
      </c>
      <c r="L138" s="49"/>
      <c r="M138" s="18">
        <f>BCC!M138+Sheet1!M137</f>
        <v>951.24</v>
      </c>
      <c r="N138" s="49"/>
      <c r="O138" s="18">
        <f>BCC!O138+Sheet1!O137</f>
        <v>951.23</v>
      </c>
      <c r="P138" s="49"/>
      <c r="Q138" s="18">
        <f>BCC!Q138+Sheet1!Q137</f>
        <v>951.22</v>
      </c>
      <c r="R138" s="49"/>
      <c r="S138" s="18">
        <f>BCC!S138+Sheet1!S137</f>
        <v>951.23</v>
      </c>
      <c r="T138" s="49"/>
      <c r="U138" s="18">
        <f>BCC!U138+Sheet1!U137</f>
        <v>951.22</v>
      </c>
      <c r="V138" s="49"/>
      <c r="W138" s="18">
        <f>BCC!W138+Sheet1!W137</f>
        <v>951.22</v>
      </c>
      <c r="X138" s="49"/>
      <c r="Y138" s="18">
        <f>BCC!Y138+Sheet1!Y137</f>
        <v>951.22</v>
      </c>
      <c r="Z138" s="179"/>
      <c r="AA138" s="286">
        <f t="shared" si="14"/>
        <v>11414.749999999998</v>
      </c>
      <c r="AB138" s="214"/>
      <c r="AC138" s="205">
        <f t="shared" si="15"/>
        <v>951.22916666666652</v>
      </c>
      <c r="AD138" s="214"/>
      <c r="AE138" s="75"/>
      <c r="AF138" s="169"/>
      <c r="AG138" s="75"/>
      <c r="AH138" s="212">
        <v>5319.1489361702124</v>
      </c>
      <c r="AI138" s="255">
        <f>AH138/AH12</f>
        <v>6.605749842042318E-3</v>
      </c>
      <c r="AJ138" s="293">
        <f t="shared" si="16"/>
        <v>17685.128102836876</v>
      </c>
      <c r="AK138" s="53">
        <f t="shared" si="11"/>
        <v>0</v>
      </c>
      <c r="AL138" s="53">
        <f t="shared" si="12"/>
        <v>11414.749999999998</v>
      </c>
      <c r="AM138" s="53">
        <f t="shared" si="13"/>
        <v>89415.432000000001</v>
      </c>
      <c r="AN138" s="53" t="e">
        <f>#REF!-AM138</f>
        <v>#REF!</v>
      </c>
      <c r="AO138" s="53"/>
    </row>
    <row r="139" spans="1:41">
      <c r="A139" s="2">
        <v>6504</v>
      </c>
      <c r="B139" s="115" t="s">
        <v>123</v>
      </c>
      <c r="C139" s="18">
        <f>BCC!C139+Sheet1!C138</f>
        <v>0</v>
      </c>
      <c r="D139" s="49"/>
      <c r="E139" s="18">
        <f>BCC!E139+Sheet1!E138</f>
        <v>0</v>
      </c>
      <c r="F139" s="49"/>
      <c r="G139" s="18">
        <f>BCC!G139+Sheet1!G138</f>
        <v>0</v>
      </c>
      <c r="H139" s="49"/>
      <c r="I139" s="18">
        <f>BCC!I139+Sheet1!I138</f>
        <v>0</v>
      </c>
      <c r="J139" s="49"/>
      <c r="K139" s="18">
        <f>BCC!K139+Sheet1!K138</f>
        <v>0</v>
      </c>
      <c r="L139" s="49"/>
      <c r="M139" s="18">
        <f>BCC!M139+Sheet1!M138</f>
        <v>0</v>
      </c>
      <c r="N139" s="49"/>
      <c r="O139" s="18">
        <f>BCC!O139+Sheet1!O138</f>
        <v>0</v>
      </c>
      <c r="P139" s="49"/>
      <c r="Q139" s="18">
        <f>BCC!Q139+Sheet1!Q138</f>
        <v>0</v>
      </c>
      <c r="R139" s="49"/>
      <c r="S139" s="18">
        <f>BCC!S139+Sheet1!S138</f>
        <v>0</v>
      </c>
      <c r="T139" s="49"/>
      <c r="U139" s="18">
        <f>BCC!U139+Sheet1!U138</f>
        <v>0</v>
      </c>
      <c r="V139" s="49"/>
      <c r="W139" s="18">
        <f>BCC!W139+Sheet1!W138</f>
        <v>0</v>
      </c>
      <c r="X139" s="49"/>
      <c r="Y139" s="18">
        <f>BCC!Y139+Sheet1!Y138</f>
        <v>0</v>
      </c>
      <c r="Z139" s="179"/>
      <c r="AA139" s="286">
        <f t="shared" si="14"/>
        <v>0</v>
      </c>
      <c r="AB139" s="214"/>
      <c r="AC139" s="205">
        <f t="shared" si="15"/>
        <v>0</v>
      </c>
      <c r="AD139" s="214"/>
      <c r="AE139" s="75"/>
      <c r="AF139" s="169"/>
      <c r="AG139" s="75"/>
      <c r="AH139" s="76"/>
      <c r="AI139" s="255">
        <f>AH139/AH12</f>
        <v>0</v>
      </c>
      <c r="AJ139" s="293">
        <f t="shared" si="16"/>
        <v>0</v>
      </c>
      <c r="AK139" s="53">
        <f t="shared" si="11"/>
        <v>0</v>
      </c>
      <c r="AL139" s="53">
        <f t="shared" si="12"/>
        <v>0</v>
      </c>
      <c r="AM139" s="53">
        <f t="shared" si="13"/>
        <v>0</v>
      </c>
      <c r="AN139" s="53" t="e">
        <f>#REF!-AM139</f>
        <v>#REF!</v>
      </c>
      <c r="AO139" s="53"/>
    </row>
    <row r="140" spans="1:41">
      <c r="A140" s="99">
        <v>6505</v>
      </c>
      <c r="B140" s="2" t="s">
        <v>124</v>
      </c>
      <c r="C140" s="18">
        <f>BCC!C140+Sheet1!C139</f>
        <v>0</v>
      </c>
      <c r="D140" s="49"/>
      <c r="E140" s="18">
        <f>BCC!E140+Sheet1!E139</f>
        <v>0</v>
      </c>
      <c r="F140" s="49"/>
      <c r="G140" s="18">
        <f>BCC!G140+Sheet1!G139</f>
        <v>0</v>
      </c>
      <c r="H140" s="49"/>
      <c r="I140" s="18">
        <f>BCC!I140+Sheet1!I139</f>
        <v>0</v>
      </c>
      <c r="J140" s="49"/>
      <c r="K140" s="18">
        <f>BCC!K140+Sheet1!K139</f>
        <v>0</v>
      </c>
      <c r="L140" s="49"/>
      <c r="M140" s="18">
        <f>BCC!M140+Sheet1!M139</f>
        <v>0</v>
      </c>
      <c r="N140" s="49"/>
      <c r="O140" s="18">
        <f>BCC!O140+Sheet1!O139</f>
        <v>0</v>
      </c>
      <c r="P140" s="49"/>
      <c r="Q140" s="18">
        <f>BCC!Q140+Sheet1!Q139</f>
        <v>0</v>
      </c>
      <c r="R140" s="49"/>
      <c r="S140" s="18">
        <f>BCC!S140+Sheet1!S139</f>
        <v>0</v>
      </c>
      <c r="T140" s="49"/>
      <c r="U140" s="18">
        <f>BCC!U140+Sheet1!U139</f>
        <v>0</v>
      </c>
      <c r="V140" s="49"/>
      <c r="W140" s="18">
        <f>BCC!W140+Sheet1!W139</f>
        <v>0</v>
      </c>
      <c r="X140" s="49"/>
      <c r="Y140" s="18">
        <f>BCC!Y140+Sheet1!Y139</f>
        <v>0</v>
      </c>
      <c r="Z140" s="179"/>
      <c r="AA140" s="286">
        <f t="shared" si="14"/>
        <v>0</v>
      </c>
      <c r="AB140" s="214"/>
      <c r="AC140" s="205">
        <f t="shared" si="15"/>
        <v>0</v>
      </c>
      <c r="AD140" s="214"/>
      <c r="AE140" s="75"/>
      <c r="AF140" s="169"/>
      <c r="AG140" s="75"/>
      <c r="AH140" s="76"/>
      <c r="AI140" s="255">
        <f>AH140/AH12</f>
        <v>0</v>
      </c>
      <c r="AJ140" s="293">
        <f t="shared" si="16"/>
        <v>0</v>
      </c>
      <c r="AK140" s="53">
        <f t="shared" si="11"/>
        <v>0</v>
      </c>
      <c r="AL140" s="53">
        <f t="shared" si="12"/>
        <v>0</v>
      </c>
      <c r="AM140" s="53">
        <f t="shared" si="13"/>
        <v>0</v>
      </c>
      <c r="AN140" s="53" t="e">
        <f>#REF!-AM140</f>
        <v>#REF!</v>
      </c>
      <c r="AO140" s="53"/>
    </row>
    <row r="141" spans="1:41">
      <c r="A141" s="2">
        <v>6506</v>
      </c>
      <c r="B141" s="2" t="s">
        <v>212</v>
      </c>
      <c r="C141" s="18">
        <f>BCC!C141+Sheet1!C140</f>
        <v>0</v>
      </c>
      <c r="D141" s="49"/>
      <c r="E141" s="18">
        <f>BCC!E141+Sheet1!E140</f>
        <v>0</v>
      </c>
      <c r="F141" s="49"/>
      <c r="G141" s="18">
        <f>BCC!G141+Sheet1!G140</f>
        <v>0</v>
      </c>
      <c r="H141" s="49"/>
      <c r="I141" s="18">
        <f>BCC!I141+Sheet1!I140</f>
        <v>0</v>
      </c>
      <c r="J141" s="49"/>
      <c r="K141" s="18">
        <f>BCC!K141+Sheet1!K140</f>
        <v>0</v>
      </c>
      <c r="L141" s="49"/>
      <c r="M141" s="18">
        <f>BCC!M141+Sheet1!M140</f>
        <v>0</v>
      </c>
      <c r="N141" s="49"/>
      <c r="O141" s="18">
        <f>BCC!O141+Sheet1!O140</f>
        <v>0</v>
      </c>
      <c r="P141" s="49"/>
      <c r="Q141" s="18">
        <f>BCC!Q141+Sheet1!Q140</f>
        <v>0</v>
      </c>
      <c r="R141" s="49"/>
      <c r="S141" s="18">
        <f>BCC!S141+Sheet1!S140</f>
        <v>0</v>
      </c>
      <c r="T141" s="49"/>
      <c r="U141" s="18">
        <f>BCC!U141+Sheet1!U140</f>
        <v>0</v>
      </c>
      <c r="V141" s="49"/>
      <c r="W141" s="18">
        <f>BCC!W141+Sheet1!W140</f>
        <v>0</v>
      </c>
      <c r="X141" s="49"/>
      <c r="Y141" s="18">
        <f>BCC!Y141+Sheet1!Y140</f>
        <v>0</v>
      </c>
      <c r="Z141" s="179"/>
      <c r="AA141" s="286">
        <f t="shared" si="14"/>
        <v>0</v>
      </c>
      <c r="AB141" s="214"/>
      <c r="AC141" s="205">
        <f t="shared" si="15"/>
        <v>0</v>
      </c>
      <c r="AD141" s="214"/>
      <c r="AE141" s="170"/>
      <c r="AF141" s="215"/>
      <c r="AG141" s="215"/>
      <c r="AH141" s="205"/>
      <c r="AI141" s="255">
        <f t="shared" ref="AI141" si="17">AH141/AH$12</f>
        <v>0</v>
      </c>
      <c r="AJ141" s="293">
        <f t="shared" si="16"/>
        <v>0</v>
      </c>
      <c r="AK141" s="53">
        <f t="shared" si="11"/>
        <v>0</v>
      </c>
      <c r="AL141" s="53">
        <f t="shared" si="12"/>
        <v>0</v>
      </c>
      <c r="AM141" s="1"/>
      <c r="AN141" s="1"/>
      <c r="AO141" s="1"/>
    </row>
    <row r="142" spans="1:41">
      <c r="A142" s="130">
        <v>6604</v>
      </c>
      <c r="B142" s="2" t="s">
        <v>127</v>
      </c>
      <c r="C142" s="18">
        <f>BCC!C142+Sheet1!C141</f>
        <v>7224</v>
      </c>
      <c r="D142" s="49"/>
      <c r="E142" s="18">
        <f>BCC!E142+Sheet1!E141</f>
        <v>7224</v>
      </c>
      <c r="F142" s="49"/>
      <c r="G142" s="18">
        <f>BCC!G142+Sheet1!G141</f>
        <v>7224</v>
      </c>
      <c r="H142" s="49"/>
      <c r="I142" s="18">
        <f>BCC!I142+Sheet1!I141</f>
        <v>7224</v>
      </c>
      <c r="J142" s="49"/>
      <c r="K142" s="18">
        <f>BCC!K142+Sheet1!K141</f>
        <v>7224</v>
      </c>
      <c r="L142" s="49"/>
      <c r="M142" s="18">
        <f>BCC!M142+Sheet1!M141</f>
        <v>7224</v>
      </c>
      <c r="N142" s="49"/>
      <c r="O142" s="18">
        <f>BCC!O142+Sheet1!O141</f>
        <v>7224</v>
      </c>
      <c r="P142" s="49"/>
      <c r="Q142" s="18">
        <f>BCC!Q142+Sheet1!Q141</f>
        <v>7224</v>
      </c>
      <c r="R142" s="49"/>
      <c r="S142" s="18">
        <f>BCC!S142+Sheet1!S141</f>
        <v>7224</v>
      </c>
      <c r="T142" s="49"/>
      <c r="U142" s="18">
        <f>BCC!U142+Sheet1!U141</f>
        <v>7224</v>
      </c>
      <c r="V142" s="49"/>
      <c r="W142" s="18">
        <f>BCC!W142+Sheet1!W141</f>
        <v>7224</v>
      </c>
      <c r="X142" s="49"/>
      <c r="Y142" s="18">
        <f>BCC!Y142+Sheet1!Y141</f>
        <v>7224</v>
      </c>
      <c r="Z142" s="179"/>
      <c r="AA142" s="286">
        <f t="shared" si="14"/>
        <v>86688</v>
      </c>
      <c r="AB142" s="214"/>
      <c r="AC142" s="205">
        <f t="shared" si="15"/>
        <v>7224</v>
      </c>
      <c r="AD142" s="214"/>
      <c r="AE142" s="170"/>
      <c r="AF142" s="238"/>
      <c r="AG142" s="170"/>
      <c r="AH142" s="216"/>
      <c r="AI142" s="255">
        <f>AH142/AH12</f>
        <v>0</v>
      </c>
      <c r="AJ142" s="293">
        <f t="shared" si="16"/>
        <v>93912</v>
      </c>
      <c r="AK142" s="53">
        <f t="shared" si="11"/>
        <v>0</v>
      </c>
      <c r="AL142" s="53">
        <f t="shared" si="12"/>
        <v>86688</v>
      </c>
      <c r="AM142" s="53">
        <f t="shared" si="13"/>
        <v>679055.99999999988</v>
      </c>
      <c r="AN142" s="53" t="e">
        <f>#REF!-AM142</f>
        <v>#REF!</v>
      </c>
      <c r="AO142" s="53"/>
    </row>
    <row r="143" spans="1:41">
      <c r="A143" s="2"/>
      <c r="B143" s="2"/>
      <c r="C143" s="18">
        <f>BCC!C143+Sheet1!C142</f>
        <v>0</v>
      </c>
      <c r="D143" s="49"/>
      <c r="E143" s="18">
        <f>BCC!E143+Sheet1!E142</f>
        <v>0</v>
      </c>
      <c r="F143" s="49"/>
      <c r="G143" s="18">
        <f>BCC!G143+Sheet1!G142</f>
        <v>0</v>
      </c>
      <c r="H143" s="49"/>
      <c r="I143" s="18">
        <f>BCC!I143+Sheet1!I142</f>
        <v>0</v>
      </c>
      <c r="J143" s="49"/>
      <c r="K143" s="18">
        <f>BCC!K143+Sheet1!K142</f>
        <v>0</v>
      </c>
      <c r="L143" s="49"/>
      <c r="M143" s="18">
        <f>BCC!M143+Sheet1!M142</f>
        <v>0</v>
      </c>
      <c r="N143" s="49"/>
      <c r="O143" s="18">
        <f>BCC!O143+Sheet1!O142</f>
        <v>0</v>
      </c>
      <c r="P143" s="49"/>
      <c r="Q143" s="18">
        <f>BCC!Q143+Sheet1!Q142</f>
        <v>0</v>
      </c>
      <c r="R143" s="49"/>
      <c r="S143" s="18">
        <f>BCC!S143+Sheet1!S142</f>
        <v>0</v>
      </c>
      <c r="T143" s="49"/>
      <c r="U143" s="18">
        <f>BCC!U143+Sheet1!U142</f>
        <v>0</v>
      </c>
      <c r="V143" s="49"/>
      <c r="W143" s="18">
        <f>BCC!W143+Sheet1!W142</f>
        <v>0</v>
      </c>
      <c r="X143" s="49"/>
      <c r="Y143" s="18">
        <f>BCC!Y143+Sheet1!Y142</f>
        <v>0</v>
      </c>
      <c r="Z143" s="179"/>
      <c r="AA143" s="286">
        <f t="shared" si="14"/>
        <v>0</v>
      </c>
      <c r="AB143" s="214"/>
      <c r="AC143" s="205">
        <f t="shared" si="15"/>
        <v>0</v>
      </c>
      <c r="AD143" s="214"/>
      <c r="AE143" s="170"/>
      <c r="AF143" s="238"/>
      <c r="AG143" s="170"/>
      <c r="AH143" s="216">
        <f>AF143/12</f>
        <v>0</v>
      </c>
      <c r="AI143" s="255">
        <f>AH143/AH12</f>
        <v>0</v>
      </c>
      <c r="AJ143" s="293">
        <f t="shared" si="16"/>
        <v>0</v>
      </c>
      <c r="AK143" s="53">
        <f t="shared" si="11"/>
        <v>0</v>
      </c>
      <c r="AL143" s="53">
        <f t="shared" si="12"/>
        <v>0</v>
      </c>
      <c r="AM143" s="53">
        <f t="shared" si="13"/>
        <v>0</v>
      </c>
      <c r="AN143" s="53" t="e">
        <f>#REF!-AM143</f>
        <v>#REF!</v>
      </c>
      <c r="AO143" s="53"/>
    </row>
    <row r="144" spans="1:41" ht="15" customHeight="1">
      <c r="A144" s="45">
        <v>6798</v>
      </c>
      <c r="B144" s="45" t="s">
        <v>196</v>
      </c>
      <c r="C144" s="58">
        <f>BCC!C144+Sheet1!C143</f>
        <v>14602.29</v>
      </c>
      <c r="D144" s="66"/>
      <c r="E144" s="58">
        <f>BCC!E144+Sheet1!E143</f>
        <v>14602.3</v>
      </c>
      <c r="F144" s="66"/>
      <c r="G144" s="58">
        <f>BCC!G144+Sheet1!G143</f>
        <v>14602.29</v>
      </c>
      <c r="H144" s="66"/>
      <c r="I144" s="58">
        <f>BCC!I144+Sheet1!I143</f>
        <v>14602.3</v>
      </c>
      <c r="J144" s="66"/>
      <c r="K144" s="58">
        <f>BCC!K144+Sheet1!K143</f>
        <v>14602.29</v>
      </c>
      <c r="L144" s="66"/>
      <c r="M144" s="58">
        <f>BCC!M144+Sheet1!M143</f>
        <v>14602.3</v>
      </c>
      <c r="N144" s="66"/>
      <c r="O144" s="58">
        <f>BCC!O144+Sheet1!O143</f>
        <v>14602.29</v>
      </c>
      <c r="P144" s="66"/>
      <c r="Q144" s="58">
        <f>BCC!Q144+Sheet1!Q143</f>
        <v>14602.28</v>
      </c>
      <c r="R144" s="66"/>
      <c r="S144" s="58">
        <f>BCC!S144+Sheet1!S143</f>
        <v>14602.29</v>
      </c>
      <c r="T144" s="66"/>
      <c r="U144" s="58">
        <f>BCC!U144+Sheet1!U143</f>
        <v>14592.490000000002</v>
      </c>
      <c r="V144" s="66"/>
      <c r="W144" s="58">
        <f>BCC!W144+Sheet1!W143</f>
        <v>14592.490000000002</v>
      </c>
      <c r="X144" s="66"/>
      <c r="Y144" s="58">
        <f>BCC!Y144+Sheet1!Y143</f>
        <v>14592.490000000002</v>
      </c>
      <c r="Z144" s="224"/>
      <c r="AA144" s="287">
        <f t="shared" si="14"/>
        <v>175198.09999999998</v>
      </c>
      <c r="AB144" s="241"/>
      <c r="AC144" s="240">
        <f t="shared" si="15"/>
        <v>14599.841666666665</v>
      </c>
      <c r="AD144" s="241"/>
      <c r="AE144" s="241"/>
      <c r="AF144" s="272"/>
      <c r="AG144" s="273"/>
      <c r="AH144" s="240">
        <f>SUM(AH136:AH143)</f>
        <v>63829.787234042553</v>
      </c>
      <c r="AI144" s="257">
        <f t="shared" ref="AI144" si="18">AH144/AH$12</f>
        <v>7.9268998104507826E-2</v>
      </c>
      <c r="AJ144" s="297">
        <f t="shared" si="16"/>
        <v>253627.72890070919</v>
      </c>
      <c r="AK144" s="53">
        <f t="shared" si="11"/>
        <v>0</v>
      </c>
      <c r="AL144" s="53">
        <f t="shared" si="12"/>
        <v>175198.09999999998</v>
      </c>
      <c r="AM144" s="53">
        <f t="shared" si="13"/>
        <v>1372338.9939999999</v>
      </c>
      <c r="AN144" s="53" t="e">
        <f>#REF!-AM144</f>
        <v>#REF!</v>
      </c>
      <c r="AO144" s="53"/>
    </row>
    <row r="145" spans="1:42">
      <c r="A145" s="45">
        <v>6799</v>
      </c>
      <c r="B145" s="45" t="s">
        <v>119</v>
      </c>
      <c r="C145" s="29">
        <f>BCC!C145+Sheet1!C144</f>
        <v>67741.489376648678</v>
      </c>
      <c r="D145" s="66"/>
      <c r="E145" s="29">
        <f>BCC!E145+Sheet1!E144</f>
        <v>70308.332749401336</v>
      </c>
      <c r="F145" s="66"/>
      <c r="G145" s="29">
        <f>BCC!G145+Sheet1!G144</f>
        <v>71622.558632110289</v>
      </c>
      <c r="H145" s="66"/>
      <c r="I145" s="29">
        <f>BCC!I145+Sheet1!I144</f>
        <v>69854.643477499383</v>
      </c>
      <c r="J145" s="66"/>
      <c r="K145" s="29">
        <f>BCC!K145+Sheet1!K144</f>
        <v>70470.327680496935</v>
      </c>
      <c r="L145" s="66"/>
      <c r="M145" s="29">
        <f>BCC!M145+Sheet1!M144</f>
        <v>66890.5877914507</v>
      </c>
      <c r="N145" s="66"/>
      <c r="O145" s="29">
        <f>BCC!O145+Sheet1!O144</f>
        <v>69065.696300732059</v>
      </c>
      <c r="P145" s="66"/>
      <c r="Q145" s="29">
        <f>BCC!Q145+Sheet1!Q144</f>
        <v>70947.278702046518</v>
      </c>
      <c r="R145" s="66"/>
      <c r="S145" s="29">
        <f>BCC!S145+Sheet1!S144</f>
        <v>69464.307563077105</v>
      </c>
      <c r="T145" s="66"/>
      <c r="U145" s="29">
        <f>BCC!U145+Sheet1!U144</f>
        <v>69682.625464455778</v>
      </c>
      <c r="V145" s="66"/>
      <c r="W145" s="29">
        <f>BCC!W145+Sheet1!W144</f>
        <v>68904.956046407271</v>
      </c>
      <c r="X145" s="66"/>
      <c r="Y145" s="29">
        <f>BCC!Y145+Sheet1!Y144</f>
        <v>71279.044649078525</v>
      </c>
      <c r="Z145" s="224"/>
      <c r="AA145" s="211">
        <f t="shared" si="14"/>
        <v>836231.84843340446</v>
      </c>
      <c r="AB145" s="245"/>
      <c r="AC145" s="211">
        <f t="shared" si="15"/>
        <v>69685.987369450377</v>
      </c>
      <c r="AD145" s="245"/>
      <c r="AE145" s="75"/>
      <c r="AF145" s="169"/>
      <c r="AG145" s="75"/>
      <c r="AH145" s="211">
        <f>AH41+AH76+AH93+AH115+AH129+AH144+AH133</f>
        <v>399979.26616717328</v>
      </c>
      <c r="AI145" s="259">
        <f>AH145/AH12</f>
        <v>0.49672663916915338</v>
      </c>
      <c r="AJ145" s="297">
        <f t="shared" si="16"/>
        <v>1305897.1019700281</v>
      </c>
      <c r="AK145" s="53">
        <f t="shared" si="11"/>
        <v>0</v>
      </c>
      <c r="AL145" s="53">
        <f t="shared" si="12"/>
        <v>836231.84843340446</v>
      </c>
      <c r="AM145" s="53">
        <f t="shared" si="13"/>
        <v>6562911.0472891331</v>
      </c>
      <c r="AN145" s="53" t="e">
        <f>#REF!-AM145</f>
        <v>#REF!</v>
      </c>
      <c r="AO145" s="53">
        <f>AC145*9.61</f>
        <v>669682.3386204181</v>
      </c>
      <c r="AP145" s="1" t="s">
        <v>227</v>
      </c>
    </row>
    <row r="146" spans="1:42" ht="15.75" thickBot="1">
      <c r="A146" s="10">
        <v>6999</v>
      </c>
      <c r="B146" s="10" t="s">
        <v>126</v>
      </c>
      <c r="C146" s="28">
        <f>BCC!C146+Sheet1!C145</f>
        <v>-10014.117676648679</v>
      </c>
      <c r="D146" s="67"/>
      <c r="E146" s="28">
        <f>BCC!E146+Sheet1!E145</f>
        <v>-20740.360464780497</v>
      </c>
      <c r="F146" s="165"/>
      <c r="G146" s="28">
        <f>BCC!G146+Sheet1!G145</f>
        <v>2883.710960450815</v>
      </c>
      <c r="H146" s="67"/>
      <c r="I146" s="28">
        <f>BCC!I146+Sheet1!I145</f>
        <v>5364.4157973703332</v>
      </c>
      <c r="J146" s="67"/>
      <c r="K146" s="28">
        <f>BCC!K146+Sheet1!K145</f>
        <v>4618.6349912580663</v>
      </c>
      <c r="L146" s="67"/>
      <c r="M146" s="28">
        <f>BCC!M146+Sheet1!M145</f>
        <v>12759.514866862326</v>
      </c>
      <c r="N146" s="67"/>
      <c r="O146" s="28">
        <f>BCC!O146+Sheet1!O145</f>
        <v>-12080.445601394757</v>
      </c>
      <c r="P146" s="67"/>
      <c r="Q146" s="28">
        <f>BCC!Q146+Sheet1!Q145</f>
        <v>3811.6504598154879</v>
      </c>
      <c r="R146" s="67"/>
      <c r="S146" s="28">
        <f>BCC!S146+Sheet1!S145</f>
        <v>-5602.7339114307051</v>
      </c>
      <c r="T146" s="67"/>
      <c r="U146" s="28">
        <f>BCC!U146+Sheet1!U145</f>
        <v>-15853.823170050789</v>
      </c>
      <c r="V146" s="67"/>
      <c r="W146" s="28">
        <f>BCC!W146+Sheet1!W145</f>
        <v>-1847.6846376425492</v>
      </c>
      <c r="X146" s="67"/>
      <c r="Y146" s="28">
        <f>BCC!Y146+Sheet1!Y145</f>
        <v>11574.571774394772</v>
      </c>
      <c r="Z146" s="225"/>
      <c r="AA146" s="290">
        <f t="shared" si="14"/>
        <v>-25126.666611796176</v>
      </c>
      <c r="AB146" s="247"/>
      <c r="AC146" s="290">
        <f t="shared" si="15"/>
        <v>-2093.8888843163481</v>
      </c>
      <c r="AD146" s="247"/>
      <c r="AE146" s="271"/>
      <c r="AF146" s="270"/>
      <c r="AG146" s="271"/>
      <c r="AH146" s="290">
        <f>AH135-AH144</f>
        <v>-3817.0776676900423</v>
      </c>
      <c r="AI146" s="260">
        <f>AH146/AH12</f>
        <v>-4.7403561176764704E-3</v>
      </c>
      <c r="AJ146" s="298">
        <f t="shared" si="16"/>
        <v>-31037.633163802566</v>
      </c>
      <c r="AK146" s="53">
        <f t="shared" si="11"/>
        <v>0</v>
      </c>
      <c r="AL146" s="53">
        <f t="shared" si="12"/>
        <v>-25126.666611796176</v>
      </c>
      <c r="AM146" s="53">
        <f t="shared" si="13"/>
        <v>52901.428378550212</v>
      </c>
      <c r="AN146" s="53" t="e">
        <f>#REF!-AM146</f>
        <v>#REF!</v>
      </c>
      <c r="AO146" s="53"/>
    </row>
    <row r="147" spans="1:42" ht="15.75" thickTop="1">
      <c r="A147" s="1"/>
      <c r="B147" s="1"/>
      <c r="C147" s="30">
        <f>BCC!C147+Sheet1!C146</f>
        <v>0</v>
      </c>
      <c r="D147" s="72"/>
      <c r="E147" s="30">
        <f>BCC!E147+Sheet1!E146</f>
        <v>0</v>
      </c>
      <c r="F147" s="72"/>
      <c r="G147" s="30">
        <f>BCC!G147+Sheet1!G146</f>
        <v>0</v>
      </c>
      <c r="H147" s="72"/>
      <c r="I147" s="30">
        <f>BCC!I147+Sheet1!I146</f>
        <v>0</v>
      </c>
      <c r="J147" s="72"/>
      <c r="K147" s="30">
        <f>BCC!K147+Sheet1!K146</f>
        <v>0</v>
      </c>
      <c r="L147" s="72"/>
      <c r="M147" s="30">
        <f>BCC!M147+Sheet1!M146</f>
        <v>0</v>
      </c>
      <c r="N147" s="72"/>
      <c r="O147" s="30">
        <f>BCC!O147+Sheet1!O146</f>
        <v>0</v>
      </c>
      <c r="P147" s="72"/>
      <c r="Q147" s="30">
        <f>BCC!Q147+Sheet1!Q146</f>
        <v>0</v>
      </c>
      <c r="R147" s="72"/>
      <c r="S147" s="30">
        <f>BCC!S147+Sheet1!S146</f>
        <v>0</v>
      </c>
      <c r="T147" s="72"/>
      <c r="U147" s="30">
        <f>BCC!U147+Sheet1!U146</f>
        <v>0</v>
      </c>
      <c r="V147" s="72"/>
      <c r="W147" s="30">
        <f>BCC!W147+Sheet1!W146</f>
        <v>0</v>
      </c>
      <c r="X147" s="72"/>
      <c r="Y147" s="30">
        <f>BCC!Y147+Sheet1!Y146</f>
        <v>0</v>
      </c>
      <c r="Z147" s="107"/>
      <c r="AA147" s="204">
        <f t="shared" si="14"/>
        <v>0</v>
      </c>
      <c r="AB147" s="213"/>
      <c r="AC147" s="208">
        <f t="shared" si="15"/>
        <v>0</v>
      </c>
      <c r="AD147" s="213"/>
      <c r="AE147" s="170"/>
      <c r="AF147" s="238"/>
      <c r="AG147" s="170"/>
      <c r="AH147" s="208"/>
      <c r="AI147" s="262"/>
      <c r="AJ147" s="293"/>
      <c r="AK147" s="53"/>
      <c r="AL147" s="53"/>
      <c r="AM147" s="53"/>
      <c r="AN147" s="53"/>
      <c r="AO147" s="53"/>
    </row>
    <row r="148" spans="1:42" ht="15.75" thickBot="1">
      <c r="A148" s="196"/>
      <c r="B148" s="10" t="s">
        <v>220</v>
      </c>
      <c r="C148" s="197">
        <f>BCC!C148+Sheet1!C147</f>
        <v>0</v>
      </c>
      <c r="D148" s="198"/>
      <c r="E148" s="197">
        <f>BCC!E148+Sheet1!E147</f>
        <v>0</v>
      </c>
      <c r="F148" s="198"/>
      <c r="G148" s="197">
        <f>BCC!G148+Sheet1!G147</f>
        <v>0</v>
      </c>
      <c r="H148" s="198"/>
      <c r="I148" s="197">
        <f>BCC!I148+Sheet1!I147</f>
        <v>0</v>
      </c>
      <c r="J148" s="198"/>
      <c r="K148" s="197">
        <f>BCC!K148+Sheet1!K147</f>
        <v>0</v>
      </c>
      <c r="L148" s="198"/>
      <c r="M148" s="197">
        <f>BCC!M148+Sheet1!M147</f>
        <v>0</v>
      </c>
      <c r="N148" s="198"/>
      <c r="O148" s="197">
        <f>BCC!O148+Sheet1!O147</f>
        <v>0</v>
      </c>
      <c r="P148" s="198"/>
      <c r="Q148" s="197">
        <f>BCC!Q148+Sheet1!Q147</f>
        <v>0</v>
      </c>
      <c r="R148" s="198"/>
      <c r="S148" s="197">
        <f>BCC!S148+Sheet1!S147</f>
        <v>0</v>
      </c>
      <c r="T148" s="198"/>
      <c r="U148" s="197">
        <f>BCC!U148+Sheet1!U147</f>
        <v>0</v>
      </c>
      <c r="V148" s="198"/>
      <c r="W148" s="197">
        <f>BCC!W148+Sheet1!W147</f>
        <v>0</v>
      </c>
      <c r="X148" s="198"/>
      <c r="Y148" s="197">
        <f>BCC!Y148+Sheet1!Y147</f>
        <v>0</v>
      </c>
      <c r="Z148" s="229"/>
      <c r="AA148" s="290">
        <f t="shared" si="14"/>
        <v>0</v>
      </c>
      <c r="AB148" s="252"/>
      <c r="AC148" s="218">
        <f t="shared" si="15"/>
        <v>0</v>
      </c>
      <c r="AD148" s="252"/>
      <c r="AE148" s="75"/>
      <c r="AF148" s="76"/>
      <c r="AG148" s="76"/>
      <c r="AH148" s="218">
        <v>0</v>
      </c>
      <c r="AI148" s="263">
        <f t="shared" ref="AI148" si="19">AH148/AH$12</f>
        <v>0</v>
      </c>
      <c r="AJ148" s="293">
        <f t="shared" si="16"/>
        <v>0</v>
      </c>
      <c r="AK148" s="53">
        <f t="shared" si="11"/>
        <v>0</v>
      </c>
      <c r="AL148" s="53">
        <f t="shared" si="12"/>
        <v>0</v>
      </c>
      <c r="AM148" s="1"/>
      <c r="AN148" s="1"/>
      <c r="AO148" s="1"/>
    </row>
    <row r="149" spans="1:42" ht="15.75" thickTop="1">
      <c r="A149" s="1"/>
      <c r="B149" s="269"/>
      <c r="C149" s="136">
        <f>BCC!C149+Sheet1!C148</f>
        <v>0</v>
      </c>
      <c r="D149" s="49"/>
      <c r="E149" s="136">
        <f>BCC!E149+Sheet1!E148</f>
        <v>0</v>
      </c>
      <c r="F149" s="70"/>
      <c r="G149" s="136">
        <f>BCC!G149+Sheet1!G148</f>
        <v>0</v>
      </c>
      <c r="H149" s="70"/>
      <c r="I149" s="136">
        <f>BCC!I149+Sheet1!I148</f>
        <v>0</v>
      </c>
      <c r="J149" s="70"/>
      <c r="K149" s="136">
        <f>BCC!K149+Sheet1!K148</f>
        <v>0</v>
      </c>
      <c r="L149" s="70"/>
      <c r="M149" s="136">
        <f>BCC!M149+Sheet1!M148</f>
        <v>0</v>
      </c>
      <c r="N149" s="70"/>
      <c r="O149" s="136">
        <f>BCC!O149+Sheet1!O148</f>
        <v>0</v>
      </c>
      <c r="P149" s="70"/>
      <c r="Q149" s="136">
        <f>BCC!Q149+Sheet1!Q148</f>
        <v>0</v>
      </c>
      <c r="R149" s="70"/>
      <c r="S149" s="136">
        <f>BCC!S149+Sheet1!S148</f>
        <v>0</v>
      </c>
      <c r="T149" s="70"/>
      <c r="U149" s="136">
        <f>BCC!U149+Sheet1!U148</f>
        <v>0</v>
      </c>
      <c r="V149" s="70"/>
      <c r="W149" s="136">
        <f>BCC!W149+Sheet1!W148</f>
        <v>0</v>
      </c>
      <c r="X149" s="70"/>
      <c r="Y149" s="136">
        <f>BCC!Y149+Sheet1!Y148</f>
        <v>0</v>
      </c>
      <c r="AA149" s="204">
        <f t="shared" si="14"/>
        <v>0</v>
      </c>
      <c r="AB149" s="213"/>
      <c r="AC149" s="170">
        <f t="shared" si="15"/>
        <v>0</v>
      </c>
      <c r="AD149" s="213"/>
      <c r="AE149" s="170"/>
      <c r="AF149" s="215"/>
      <c r="AG149" s="215"/>
      <c r="AH149" s="170"/>
      <c r="AI149" s="254"/>
      <c r="AJ149" s="293"/>
      <c r="AK149" s="53"/>
      <c r="AL149" s="53"/>
      <c r="AM149" s="1"/>
      <c r="AN149" s="1"/>
      <c r="AO149" s="1"/>
    </row>
    <row r="150" spans="1:42" ht="15.75" thickBot="1">
      <c r="A150" s="196"/>
      <c r="B150" s="10" t="s">
        <v>215</v>
      </c>
      <c r="C150" s="197">
        <f>BCC!C150+Sheet1!C149</f>
        <v>0</v>
      </c>
      <c r="D150" s="198"/>
      <c r="E150" s="197">
        <f>BCC!E150+Sheet1!E149</f>
        <v>0</v>
      </c>
      <c r="F150" s="198"/>
      <c r="G150" s="197">
        <f>BCC!G150+Sheet1!G149</f>
        <v>0</v>
      </c>
      <c r="H150" s="198"/>
      <c r="I150" s="197">
        <f>BCC!I150+Sheet1!I149</f>
        <v>0</v>
      </c>
      <c r="J150" s="198"/>
      <c r="K150" s="197">
        <f>BCC!K150+Sheet1!K149</f>
        <v>0</v>
      </c>
      <c r="L150" s="198"/>
      <c r="M150" s="197">
        <f>BCC!M150+Sheet1!M149</f>
        <v>0</v>
      </c>
      <c r="N150" s="198"/>
      <c r="O150" s="197">
        <f>BCC!O150+Sheet1!O149</f>
        <v>0</v>
      </c>
      <c r="P150" s="198"/>
      <c r="Q150" s="197">
        <f>BCC!Q150+Sheet1!Q149</f>
        <v>0</v>
      </c>
      <c r="R150" s="198"/>
      <c r="S150" s="197">
        <f>BCC!S150+Sheet1!S149</f>
        <v>0</v>
      </c>
      <c r="T150" s="198"/>
      <c r="U150" s="197">
        <f>BCC!U150+Sheet1!U149</f>
        <v>0</v>
      </c>
      <c r="V150" s="198"/>
      <c r="W150" s="197">
        <f>BCC!W150+Sheet1!W149</f>
        <v>0</v>
      </c>
      <c r="X150" s="198"/>
      <c r="Y150" s="197">
        <f>BCC!Y150+Sheet1!Y149</f>
        <v>0</v>
      </c>
      <c r="Z150" s="229"/>
      <c r="AA150" s="290">
        <f t="shared" si="14"/>
        <v>0</v>
      </c>
      <c r="AB150" s="252"/>
      <c r="AC150" s="218">
        <f t="shared" si="15"/>
        <v>0</v>
      </c>
      <c r="AD150" s="252"/>
      <c r="AE150" s="75"/>
      <c r="AF150" s="76"/>
      <c r="AG150" s="76"/>
      <c r="AH150" s="218">
        <v>0</v>
      </c>
      <c r="AI150" s="263">
        <f t="shared" ref="AI150" si="20">AH150/AH$12</f>
        <v>0</v>
      </c>
      <c r="AJ150" s="293">
        <f t="shared" si="16"/>
        <v>0</v>
      </c>
      <c r="AK150" s="53">
        <f t="shared" ref="AK150:AK152" si="21">AA150-AL150</f>
        <v>0</v>
      </c>
      <c r="AL150" s="53">
        <f t="shared" ref="AL150:AL152" si="22">C150+E150+G150+I150+K150+M150+O150+Q150+S150+U150+W150+Y150</f>
        <v>0</v>
      </c>
      <c r="AM150" s="1"/>
      <c r="AN150" s="1"/>
      <c r="AO150" s="1"/>
    </row>
    <row r="151" spans="1:42" ht="15.75" thickTop="1">
      <c r="A151" s="1"/>
      <c r="B151" s="65"/>
      <c r="C151" s="136">
        <f>BCC!C151+Sheet1!C150</f>
        <v>0</v>
      </c>
      <c r="D151" s="49"/>
      <c r="E151" s="136">
        <f>BCC!E151+Sheet1!E150</f>
        <v>0</v>
      </c>
      <c r="F151" s="70"/>
      <c r="G151" s="136">
        <f>BCC!G151+Sheet1!G150</f>
        <v>0</v>
      </c>
      <c r="H151" s="70"/>
      <c r="I151" s="136">
        <f>BCC!I151+Sheet1!I150</f>
        <v>0</v>
      </c>
      <c r="J151" s="70"/>
      <c r="K151" s="136">
        <f>BCC!K151+Sheet1!K150</f>
        <v>0</v>
      </c>
      <c r="L151" s="70"/>
      <c r="M151" s="136">
        <f>BCC!M151+Sheet1!M150</f>
        <v>0</v>
      </c>
      <c r="N151" s="70"/>
      <c r="O151" s="136">
        <f>BCC!O151+Sheet1!O150</f>
        <v>0</v>
      </c>
      <c r="P151" s="70"/>
      <c r="Q151" s="136">
        <f>BCC!Q151+Sheet1!Q150</f>
        <v>0</v>
      </c>
      <c r="R151" s="70"/>
      <c r="S151" s="136">
        <f>BCC!S151+Sheet1!S150</f>
        <v>0</v>
      </c>
      <c r="T151" s="70"/>
      <c r="U151" s="136">
        <f>BCC!U151+Sheet1!U150</f>
        <v>0</v>
      </c>
      <c r="V151" s="70"/>
      <c r="W151" s="136">
        <f>BCC!W151+Sheet1!W150</f>
        <v>0</v>
      </c>
      <c r="X151" s="72"/>
      <c r="Y151" s="136">
        <f>BCC!Y151+Sheet1!Y150</f>
        <v>0</v>
      </c>
      <c r="Z151" s="107"/>
      <c r="AA151" s="204">
        <f t="shared" si="14"/>
        <v>0</v>
      </c>
      <c r="AB151" s="213"/>
      <c r="AC151" s="170">
        <f t="shared" si="15"/>
        <v>0</v>
      </c>
      <c r="AD151" s="213"/>
      <c r="AE151" s="170"/>
      <c r="AF151" s="215"/>
      <c r="AG151" s="215"/>
      <c r="AH151" s="170"/>
      <c r="AI151" s="254"/>
      <c r="AJ151" s="293"/>
      <c r="AK151" s="53"/>
      <c r="AL151" s="53"/>
      <c r="AM151" s="1"/>
      <c r="AN151" s="1"/>
      <c r="AO151" s="1"/>
    </row>
    <row r="152" spans="1:42" ht="15.75" thickBot="1">
      <c r="A152" s="110"/>
      <c r="B152" s="199" t="s">
        <v>214</v>
      </c>
      <c r="C152" s="302">
        <f>BCC!C152+Sheet1!C151</f>
        <v>-10014.117676648679</v>
      </c>
      <c r="D152" s="124"/>
      <c r="E152" s="302">
        <f>BCC!E152+Sheet1!E151</f>
        <v>-20740.360464780497</v>
      </c>
      <c r="F152" s="124"/>
      <c r="G152" s="302">
        <f>BCC!G152+Sheet1!G151</f>
        <v>2883.710960450815</v>
      </c>
      <c r="H152" s="124"/>
      <c r="I152" s="302">
        <f>BCC!I152+Sheet1!I151</f>
        <v>5364.4157973703332</v>
      </c>
      <c r="J152" s="124"/>
      <c r="K152" s="302">
        <f>BCC!K152+Sheet1!K151</f>
        <v>4618.6349912580663</v>
      </c>
      <c r="L152" s="124"/>
      <c r="M152" s="302">
        <f>BCC!M152+Sheet1!M151</f>
        <v>12759.514866862326</v>
      </c>
      <c r="N152" s="124"/>
      <c r="O152" s="302">
        <f>BCC!O152+Sheet1!O151</f>
        <v>-12080.445601394757</v>
      </c>
      <c r="P152" s="124"/>
      <c r="Q152" s="302">
        <f>BCC!Q152+Sheet1!Q151</f>
        <v>3811.6504598154879</v>
      </c>
      <c r="R152" s="124"/>
      <c r="S152" s="302">
        <f>BCC!S152+Sheet1!S151</f>
        <v>-5602.7339114307051</v>
      </c>
      <c r="T152" s="124"/>
      <c r="U152" s="302">
        <f>BCC!U152+Sheet1!U151</f>
        <v>-15853.823170050789</v>
      </c>
      <c r="V152" s="124"/>
      <c r="W152" s="302">
        <f>BCC!W152+Sheet1!W151</f>
        <v>-1847.6846376425492</v>
      </c>
      <c r="X152" s="124"/>
      <c r="Y152" s="302">
        <f>BCC!Y152+Sheet1!Y151</f>
        <v>11574.571774394772</v>
      </c>
      <c r="Z152" s="230"/>
      <c r="AA152" s="291">
        <f t="shared" si="14"/>
        <v>-25126.666611796176</v>
      </c>
      <c r="AB152" s="264"/>
      <c r="AC152" s="265">
        <f t="shared" si="15"/>
        <v>-2093.8888843163481</v>
      </c>
      <c r="AD152" s="264"/>
      <c r="AE152" s="266"/>
      <c r="AF152" s="267"/>
      <c r="AG152" s="267"/>
      <c r="AH152" s="265">
        <f>AH146-AH148-AH150</f>
        <v>-3817.0776676900423</v>
      </c>
      <c r="AI152" s="268">
        <f t="shared" ref="AI152" si="23">AH152/AH$12</f>
        <v>-4.7403561176764704E-3</v>
      </c>
      <c r="AJ152" s="296">
        <f t="shared" si="16"/>
        <v>-31037.633163802566</v>
      </c>
      <c r="AK152" s="53">
        <f t="shared" si="21"/>
        <v>0</v>
      </c>
      <c r="AL152" s="53">
        <f t="shared" si="22"/>
        <v>-25126.666611796176</v>
      </c>
      <c r="AM152" s="1"/>
      <c r="AN152" s="1"/>
      <c r="AO152" s="1"/>
    </row>
    <row r="153" spans="1:42" ht="15.75" thickTop="1">
      <c r="AA153" s="312">
        <f>AA152*9.61</f>
        <v>-241467.26613936122</v>
      </c>
      <c r="AB153" s="313" t="s">
        <v>227</v>
      </c>
      <c r="AC153" s="312">
        <f>AC152*9.61</f>
        <v>-20122.272178280105</v>
      </c>
    </row>
    <row r="154" spans="1:42">
      <c r="A154" s="1"/>
      <c r="B154" s="64" t="s">
        <v>216</v>
      </c>
      <c r="C154" s="63">
        <f>C152</f>
        <v>-10014.117676648679</v>
      </c>
      <c r="D154" s="15"/>
      <c r="E154" s="63">
        <f>E152+C154</f>
        <v>-30754.478141429176</v>
      </c>
      <c r="F154" s="201"/>
      <c r="G154" s="301">
        <f>G152+E154</f>
        <v>-27870.767180978361</v>
      </c>
      <c r="H154" s="201"/>
      <c r="I154" s="63">
        <f>I152+G154</f>
        <v>-22506.351383608027</v>
      </c>
      <c r="J154" s="201"/>
      <c r="K154" s="63">
        <f>K152+I154</f>
        <v>-17887.716392349961</v>
      </c>
      <c r="L154" s="201"/>
      <c r="M154" s="63">
        <f>M152+K154</f>
        <v>-5128.2015254876351</v>
      </c>
      <c r="N154" s="201"/>
      <c r="O154" s="63">
        <f>O152+M154</f>
        <v>-17208.647126882392</v>
      </c>
      <c r="P154" s="201"/>
      <c r="Q154" s="63">
        <f>Q152+O154</f>
        <v>-13396.996667066904</v>
      </c>
      <c r="R154" s="201"/>
      <c r="S154" s="63">
        <f>S152+Q154</f>
        <v>-18999.730578497609</v>
      </c>
      <c r="T154" s="201"/>
      <c r="U154" s="63">
        <f>U152+S154</f>
        <v>-34853.553748548395</v>
      </c>
      <c r="V154" s="201"/>
      <c r="W154" s="63">
        <f>W152+U154</f>
        <v>-36701.238386190947</v>
      </c>
      <c r="X154" s="201"/>
      <c r="Y154" s="63">
        <f>Y152+W154</f>
        <v>-25126.666611796176</v>
      </c>
      <c r="Z154" s="292"/>
      <c r="AA154" s="128"/>
      <c r="AJ154" s="100"/>
      <c r="AK154" s="1"/>
      <c r="AL154" s="202"/>
      <c r="AM154" s="202">
        <f t="shared" ref="AM154" si="24">C154*0.985+E154*0.985+G154*0.985+I154*0.985+K154*0.985+M154*0.985+O154*0.985+Q154*0.985+S154*0.985+U154*0.985+W154*0.985+Y154*0.985</f>
        <v>-256541.738438192</v>
      </c>
      <c r="AN154" s="202" t="e">
        <f>#REF!-AM154</f>
        <v>#REF!</v>
      </c>
      <c r="AO154" s="202"/>
    </row>
    <row r="155" spans="1:42">
      <c r="AA155" s="128"/>
    </row>
    <row r="156" spans="1:42">
      <c r="E156" s="316"/>
      <c r="AA156" s="128"/>
    </row>
    <row r="157" spans="1:42">
      <c r="E157" s="317"/>
      <c r="I157" s="24" t="s">
        <v>221</v>
      </c>
    </row>
    <row r="158" spans="1:42">
      <c r="I158" s="24" t="s">
        <v>221</v>
      </c>
    </row>
    <row r="159" spans="1:42">
      <c r="C159" s="25"/>
      <c r="I159" s="24" t="s">
        <v>221</v>
      </c>
    </row>
    <row r="160" spans="1:42" s="105" customFormat="1" hidden="1">
      <c r="B160" s="305" t="s">
        <v>126</v>
      </c>
      <c r="C160" s="25"/>
      <c r="D160" s="306"/>
      <c r="E160" s="306"/>
      <c r="F160" s="306"/>
      <c r="G160" s="306"/>
      <c r="H160" s="306"/>
      <c r="I160" s="306">
        <f>I152</f>
        <v>5364.4157973703332</v>
      </c>
      <c r="J160" s="306"/>
      <c r="K160" s="306">
        <f>K152</f>
        <v>4618.6349912580663</v>
      </c>
      <c r="L160" s="306"/>
      <c r="M160" s="306">
        <f>M152</f>
        <v>12759.514866862326</v>
      </c>
      <c r="N160" s="306"/>
      <c r="O160" s="306">
        <f>O152</f>
        <v>-12080.445601394757</v>
      </c>
      <c r="P160" s="306"/>
      <c r="Q160" s="306">
        <f>Q152</f>
        <v>3811.6504598154879</v>
      </c>
      <c r="R160" s="306"/>
      <c r="S160" s="306">
        <f>S152</f>
        <v>-5602.7339114307051</v>
      </c>
      <c r="T160" s="306"/>
      <c r="U160" s="306">
        <f>U152</f>
        <v>-15853.823170050789</v>
      </c>
      <c r="V160" s="306"/>
      <c r="W160" s="306">
        <f>W152</f>
        <v>-1847.6846376425492</v>
      </c>
      <c r="X160" s="306"/>
      <c r="Y160" s="306">
        <f>Y152</f>
        <v>11574.571774394772</v>
      </c>
      <c r="Z160" s="306"/>
      <c r="AA160" s="306">
        <f>AA152</f>
        <v>-25126.666611796176</v>
      </c>
      <c r="AB160" s="306"/>
      <c r="AC160" s="306">
        <f>AC152</f>
        <v>-2093.8888843163481</v>
      </c>
      <c r="AD160" s="306"/>
    </row>
    <row r="161" spans="2:30" s="105" customFormat="1" hidden="1">
      <c r="C161" s="106"/>
      <c r="D161" s="228"/>
      <c r="E161" s="106"/>
      <c r="F161" s="107"/>
      <c r="G161" s="106"/>
      <c r="H161" s="107"/>
      <c r="I161" s="106"/>
      <c r="J161" s="107"/>
      <c r="K161" s="106"/>
      <c r="L161" s="107"/>
      <c r="M161" s="106"/>
      <c r="N161" s="107"/>
      <c r="O161" s="106"/>
      <c r="P161" s="107"/>
      <c r="Q161" s="106"/>
      <c r="R161" s="107"/>
      <c r="S161" s="106"/>
      <c r="T161" s="107"/>
      <c r="U161" s="106"/>
      <c r="V161" s="107"/>
      <c r="W161" s="106"/>
      <c r="X161" s="107"/>
      <c r="Y161" s="106"/>
      <c r="Z161" s="107"/>
      <c r="AA161" s="104"/>
      <c r="AB161" s="108"/>
      <c r="AC161" s="104"/>
      <c r="AD161" s="108"/>
    </row>
    <row r="162" spans="2:30" s="105" customFormat="1" hidden="1">
      <c r="B162" s="105" t="s">
        <v>222</v>
      </c>
      <c r="C162" s="106"/>
      <c r="D162" s="228"/>
      <c r="E162" s="106"/>
      <c r="F162" s="107"/>
      <c r="G162" s="106"/>
      <c r="H162" s="107"/>
      <c r="I162" s="106">
        <f>I150</f>
        <v>0</v>
      </c>
      <c r="J162" s="107"/>
      <c r="K162" s="106">
        <f>K150</f>
        <v>0</v>
      </c>
      <c r="L162" s="107"/>
      <c r="M162" s="106">
        <f>M150</f>
        <v>0</v>
      </c>
      <c r="N162" s="107"/>
      <c r="O162" s="106">
        <f>O150</f>
        <v>0</v>
      </c>
      <c r="P162" s="107"/>
      <c r="Q162" s="106">
        <f>Q150</f>
        <v>0</v>
      </c>
      <c r="R162" s="107"/>
      <c r="S162" s="106">
        <f>S150</f>
        <v>0</v>
      </c>
      <c r="T162" s="107"/>
      <c r="U162" s="106">
        <f>U150</f>
        <v>0</v>
      </c>
      <c r="V162" s="107"/>
      <c r="W162" s="106">
        <f>W150</f>
        <v>0</v>
      </c>
      <c r="X162" s="107"/>
      <c r="Y162" s="106">
        <f>Y150</f>
        <v>0</v>
      </c>
      <c r="Z162" s="107"/>
      <c r="AA162" s="106">
        <f>AA150</f>
        <v>0</v>
      </c>
      <c r="AB162" s="108"/>
      <c r="AC162" s="106">
        <f>AC150</f>
        <v>0</v>
      </c>
      <c r="AD162" s="108"/>
    </row>
    <row r="163" spans="2:30" s="105" customFormat="1" hidden="1">
      <c r="C163" s="106"/>
      <c r="D163" s="228"/>
      <c r="E163" s="106"/>
      <c r="F163" s="107"/>
      <c r="G163" s="106"/>
      <c r="H163" s="107"/>
      <c r="I163" s="106"/>
      <c r="J163" s="107"/>
      <c r="K163" s="106"/>
      <c r="L163" s="107"/>
      <c r="M163" s="106"/>
      <c r="N163" s="107"/>
      <c r="O163" s="106"/>
      <c r="P163" s="107"/>
      <c r="Q163" s="106"/>
      <c r="R163" s="107"/>
      <c r="S163" s="106"/>
      <c r="T163" s="107"/>
      <c r="U163" s="106"/>
      <c r="V163" s="107"/>
      <c r="W163" s="106"/>
      <c r="X163" s="107"/>
      <c r="Y163" s="106"/>
      <c r="Z163" s="107"/>
      <c r="AA163" s="104"/>
      <c r="AB163" s="108"/>
      <c r="AC163" s="104"/>
      <c r="AD163" s="108"/>
    </row>
    <row r="164" spans="2:30" s="105" customFormat="1" hidden="1">
      <c r="B164" s="105" t="s">
        <v>223</v>
      </c>
      <c r="C164" s="106"/>
      <c r="D164" s="106"/>
      <c r="E164" s="106"/>
      <c r="F164" s="106"/>
      <c r="G164" s="106"/>
      <c r="H164" s="106"/>
      <c r="I164" s="106">
        <f>I142</f>
        <v>7224</v>
      </c>
      <c r="J164" s="106"/>
      <c r="K164" s="106">
        <f>K142</f>
        <v>7224</v>
      </c>
      <c r="L164" s="106"/>
      <c r="M164" s="106">
        <f>M142</f>
        <v>7224</v>
      </c>
      <c r="N164" s="106"/>
      <c r="O164" s="106">
        <f>O142</f>
        <v>7224</v>
      </c>
      <c r="P164" s="106"/>
      <c r="Q164" s="106">
        <f>Q142</f>
        <v>7224</v>
      </c>
      <c r="R164" s="106"/>
      <c r="S164" s="106">
        <f>S142</f>
        <v>7224</v>
      </c>
      <c r="T164" s="106"/>
      <c r="U164" s="106">
        <f>U142</f>
        <v>7224</v>
      </c>
      <c r="V164" s="106"/>
      <c r="W164" s="106">
        <f>W142</f>
        <v>7224</v>
      </c>
      <c r="X164" s="106"/>
      <c r="Y164" s="106">
        <f>Y142</f>
        <v>7224</v>
      </c>
      <c r="Z164" s="106"/>
      <c r="AA164" s="106">
        <f>AA142</f>
        <v>86688</v>
      </c>
      <c r="AB164" s="106"/>
      <c r="AC164" s="106">
        <f>AC142</f>
        <v>7224</v>
      </c>
      <c r="AD164" s="106"/>
    </row>
    <row r="165" spans="2:30" s="105" customFormat="1" hidden="1">
      <c r="C165" s="106"/>
      <c r="D165" s="228"/>
      <c r="E165" s="106"/>
      <c r="F165" s="107"/>
      <c r="G165" s="106"/>
      <c r="H165" s="107"/>
      <c r="I165" s="106"/>
      <c r="J165" s="107"/>
      <c r="K165" s="106"/>
      <c r="L165" s="107"/>
      <c r="M165" s="106"/>
      <c r="N165" s="107"/>
      <c r="O165" s="106"/>
      <c r="P165" s="107"/>
      <c r="Q165" s="106"/>
      <c r="R165" s="107"/>
      <c r="S165" s="106"/>
      <c r="T165" s="107"/>
      <c r="U165" s="106"/>
      <c r="V165" s="107"/>
      <c r="W165" s="106"/>
      <c r="X165" s="107"/>
      <c r="Y165" s="106"/>
      <c r="Z165" s="107"/>
      <c r="AA165" s="106"/>
      <c r="AB165" s="108"/>
      <c r="AC165" s="106"/>
      <c r="AD165" s="108"/>
    </row>
    <row r="166" spans="2:30" s="105" customFormat="1" hidden="1">
      <c r="B166" s="105" t="s">
        <v>224</v>
      </c>
      <c r="C166" s="106"/>
      <c r="D166" s="106"/>
      <c r="E166" s="106"/>
      <c r="F166" s="106"/>
      <c r="G166" s="106"/>
      <c r="H166" s="106"/>
      <c r="I166" s="106">
        <f>I144-I142</f>
        <v>7378.2999999999993</v>
      </c>
      <c r="J166" s="106"/>
      <c r="K166" s="106">
        <f>K144-K142</f>
        <v>7378.2900000000009</v>
      </c>
      <c r="L166" s="106"/>
      <c r="M166" s="106">
        <f>M144-M142</f>
        <v>7378.2999999999993</v>
      </c>
      <c r="N166" s="106"/>
      <c r="O166" s="106">
        <f>O144-O142</f>
        <v>7378.2900000000009</v>
      </c>
      <c r="P166" s="106"/>
      <c r="Q166" s="106">
        <f>Q144-Q142</f>
        <v>7378.2800000000007</v>
      </c>
      <c r="R166" s="106"/>
      <c r="S166" s="106">
        <f>S144-S142</f>
        <v>7378.2900000000009</v>
      </c>
      <c r="T166" s="106"/>
      <c r="U166" s="106">
        <f>U144-U142</f>
        <v>7368.4900000000016</v>
      </c>
      <c r="V166" s="106"/>
      <c r="W166" s="106">
        <f>W144-W142</f>
        <v>7368.4900000000016</v>
      </c>
      <c r="X166" s="106"/>
      <c r="Y166" s="106">
        <f>Y144-Y142</f>
        <v>7368.4900000000016</v>
      </c>
      <c r="Z166" s="106"/>
      <c r="AA166" s="106">
        <f>AA144-AA142</f>
        <v>88510.099999999977</v>
      </c>
      <c r="AB166" s="106"/>
      <c r="AC166" s="106">
        <f>AC144-AC142</f>
        <v>7375.8416666666653</v>
      </c>
      <c r="AD166" s="106"/>
    </row>
    <row r="167" spans="2:30" s="105" customFormat="1" hidden="1">
      <c r="C167" s="106"/>
      <c r="D167" s="228"/>
      <c r="E167" s="106"/>
      <c r="F167" s="107"/>
      <c r="G167" s="106"/>
      <c r="H167" s="107"/>
      <c r="I167" s="106"/>
      <c r="J167" s="107"/>
      <c r="K167" s="106"/>
      <c r="L167" s="107"/>
      <c r="M167" s="106"/>
      <c r="N167" s="107"/>
      <c r="O167" s="106"/>
      <c r="P167" s="107"/>
      <c r="Q167" s="106"/>
      <c r="R167" s="107"/>
      <c r="S167" s="106"/>
      <c r="T167" s="107"/>
      <c r="U167" s="106"/>
      <c r="V167" s="107"/>
      <c r="W167" s="106"/>
      <c r="X167" s="107"/>
      <c r="Y167" s="106"/>
      <c r="Z167" s="107"/>
      <c r="AA167" s="104"/>
      <c r="AB167" s="108"/>
      <c r="AC167" s="106"/>
      <c r="AD167" s="108"/>
    </row>
    <row r="168" spans="2:30" s="105" customFormat="1" hidden="1">
      <c r="C168" s="106"/>
      <c r="D168" s="228"/>
      <c r="E168" s="106"/>
      <c r="F168" s="107"/>
      <c r="G168" s="106"/>
      <c r="H168" s="107"/>
      <c r="I168" s="106"/>
      <c r="J168" s="107"/>
      <c r="K168" s="106"/>
      <c r="L168" s="107"/>
      <c r="M168" s="106"/>
      <c r="N168" s="107"/>
      <c r="O168" s="106"/>
      <c r="P168" s="107"/>
      <c r="Q168" s="106"/>
      <c r="R168" s="107"/>
      <c r="S168" s="106"/>
      <c r="T168" s="107"/>
      <c r="U168" s="106"/>
      <c r="V168" s="107"/>
      <c r="W168" s="106"/>
      <c r="X168" s="107"/>
      <c r="Y168" s="106"/>
      <c r="Z168" s="107"/>
      <c r="AA168" s="104"/>
      <c r="AB168" s="108"/>
      <c r="AC168" s="104"/>
      <c r="AD168" s="108"/>
    </row>
    <row r="169" spans="2:30" s="105" customFormat="1" hidden="1">
      <c r="B169" s="307" t="s">
        <v>225</v>
      </c>
      <c r="C169" s="308"/>
      <c r="D169" s="309"/>
      <c r="E169" s="308"/>
      <c r="F169" s="308"/>
      <c r="G169" s="308"/>
      <c r="H169" s="308"/>
      <c r="I169" s="308">
        <f>I162+I160+I164+I166</f>
        <v>19966.715797370332</v>
      </c>
      <c r="J169" s="308"/>
      <c r="K169" s="308">
        <f>K162+K160+K164+K166</f>
        <v>19220.924991258067</v>
      </c>
      <c r="L169" s="308"/>
      <c r="M169" s="308">
        <f>M162+M160+M164+M166</f>
        <v>27361.814866862325</v>
      </c>
      <c r="N169" s="308"/>
      <c r="O169" s="308">
        <f>O162+O160+O164+O166</f>
        <v>2521.8443986052444</v>
      </c>
      <c r="P169" s="308"/>
      <c r="Q169" s="308">
        <f>Q162+Q160+Q164+Q166</f>
        <v>18413.930459815489</v>
      </c>
      <c r="R169" s="308"/>
      <c r="S169" s="308">
        <f>S162+S160+S164+S166</f>
        <v>8999.5560885692958</v>
      </c>
      <c r="T169" s="308"/>
      <c r="U169" s="308">
        <f>U162+U160+U164+U166</f>
        <v>-1261.3331700507879</v>
      </c>
      <c r="V169" s="308"/>
      <c r="W169" s="308">
        <f>W162+W160+W164+W166</f>
        <v>12744.805362357452</v>
      </c>
      <c r="X169" s="308"/>
      <c r="Y169" s="308">
        <f>Y162+Y160+Y164+Y166</f>
        <v>26167.061774394773</v>
      </c>
      <c r="Z169" s="308"/>
      <c r="AA169" s="308">
        <f>AA162+AA160+AA164+AA166</f>
        <v>150071.43338820379</v>
      </c>
      <c r="AB169" s="108"/>
      <c r="AC169" s="106">
        <f>AA169/12</f>
        <v>12505.952782350316</v>
      </c>
      <c r="AD169" s="108"/>
    </row>
    <row r="170" spans="2:30" s="105" customFormat="1" hidden="1">
      <c r="C170" s="106"/>
      <c r="D170" s="228"/>
      <c r="E170" s="106"/>
      <c r="F170" s="107"/>
      <c r="G170" s="106"/>
      <c r="H170" s="107"/>
      <c r="I170" s="106"/>
      <c r="J170" s="107"/>
      <c r="K170" s="106"/>
      <c r="L170" s="107"/>
      <c r="M170" s="106"/>
      <c r="N170" s="107"/>
      <c r="O170" s="106"/>
      <c r="P170" s="107"/>
      <c r="Q170" s="106"/>
      <c r="R170" s="107"/>
      <c r="S170" s="106"/>
      <c r="T170" s="107"/>
      <c r="U170" s="106"/>
      <c r="V170" s="107"/>
      <c r="W170" s="106"/>
      <c r="X170" s="107"/>
      <c r="Y170" s="106"/>
      <c r="Z170" s="107"/>
      <c r="AA170" s="104"/>
      <c r="AB170" s="108"/>
      <c r="AC170" s="104"/>
      <c r="AD170" s="108"/>
    </row>
    <row r="171" spans="2:30" s="105" customFormat="1" hidden="1">
      <c r="B171" s="310"/>
      <c r="C171" s="106"/>
      <c r="D171" s="228"/>
      <c r="E171" s="106"/>
      <c r="F171" s="107"/>
      <c r="G171" s="106"/>
      <c r="H171" s="107"/>
      <c r="I171" s="106"/>
      <c r="J171" s="107"/>
      <c r="K171" s="106"/>
      <c r="L171" s="107"/>
      <c r="M171" s="106"/>
      <c r="N171" s="107"/>
      <c r="O171" s="106"/>
      <c r="P171" s="107"/>
      <c r="Q171" s="106"/>
      <c r="R171" s="107"/>
      <c r="S171" s="106"/>
      <c r="T171" s="107"/>
      <c r="U171" s="106"/>
      <c r="V171" s="107"/>
      <c r="W171" s="106"/>
      <c r="X171" s="107"/>
      <c r="Y171" s="106"/>
      <c r="Z171" s="107"/>
      <c r="AA171" s="104"/>
      <c r="AB171" s="108"/>
      <c r="AC171" s="104"/>
      <c r="AD171" s="108"/>
    </row>
    <row r="172" spans="2:30" s="105" customFormat="1" hidden="1">
      <c r="B172" s="311" t="s">
        <v>226</v>
      </c>
      <c r="C172" s="306"/>
      <c r="D172" s="306"/>
      <c r="E172" s="306"/>
      <c r="F172" s="306"/>
      <c r="G172" s="306"/>
      <c r="H172" s="306"/>
      <c r="I172" s="306">
        <f>G172+I169</f>
        <v>19966.715797370332</v>
      </c>
      <c r="J172" s="306"/>
      <c r="K172" s="306">
        <f>I172+K169</f>
        <v>39187.6407886284</v>
      </c>
      <c r="L172" s="306"/>
      <c r="M172" s="306">
        <f>K172+M169</f>
        <v>66549.455655490718</v>
      </c>
      <c r="N172" s="306"/>
      <c r="O172" s="306">
        <f>M172+O169</f>
        <v>69071.300054095962</v>
      </c>
      <c r="P172" s="306"/>
      <c r="Q172" s="306">
        <f>O172+Q169</f>
        <v>87485.230513911447</v>
      </c>
      <c r="R172" s="306"/>
      <c r="S172" s="306">
        <f>Q172+S169</f>
        <v>96484.786602480744</v>
      </c>
      <c r="T172" s="306"/>
      <c r="U172" s="306">
        <f>S172+U169</f>
        <v>95223.45343242996</v>
      </c>
      <c r="V172" s="306"/>
      <c r="W172" s="306">
        <f>U172+W169</f>
        <v>107968.25879478741</v>
      </c>
      <c r="X172" s="306"/>
      <c r="Y172" s="306">
        <f>W172+Y169</f>
        <v>134135.32056918219</v>
      </c>
      <c r="Z172" s="306"/>
      <c r="AA172" s="306"/>
      <c r="AB172" s="306"/>
      <c r="AC172" s="306"/>
      <c r="AD172" s="306"/>
    </row>
    <row r="173" spans="2:30">
      <c r="C173" s="25"/>
    </row>
  </sheetData>
  <mergeCells count="14">
    <mergeCell ref="Y2:Z2"/>
    <mergeCell ref="AA2:AB2"/>
    <mergeCell ref="AC2:AD2"/>
    <mergeCell ref="AH2:AI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printOptions gridLines="1"/>
  <pageMargins left="0.7" right="0.7" top="1.83" bottom="0.75" header="0.3" footer="0.3"/>
  <pageSetup paperSize="8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9"/>
  <sheetViews>
    <sheetView topLeftCell="AC1" workbookViewId="0">
      <selection activeCell="AP15" sqref="AP15"/>
    </sheetView>
  </sheetViews>
  <sheetFormatPr defaultRowHeight="15"/>
  <cols>
    <col min="1" max="1" width="6.42578125" hidden="1" customWidth="1"/>
    <col min="2" max="2" width="11" hidden="1" customWidth="1"/>
    <col min="3" max="3" width="12.28515625" hidden="1" customWidth="1"/>
    <col min="4" max="4" width="2" hidden="1" customWidth="1"/>
    <col min="5" max="5" width="12.28515625" hidden="1" customWidth="1"/>
    <col min="6" max="6" width="2.5703125" hidden="1" customWidth="1"/>
    <col min="7" max="7" width="13.28515625" hidden="1" customWidth="1"/>
    <col min="8" max="8" width="2.5703125" hidden="1" customWidth="1"/>
    <col min="9" max="9" width="13.28515625" hidden="1" customWidth="1"/>
    <col min="10" max="10" width="2.7109375" hidden="1" customWidth="1"/>
    <col min="11" max="11" width="13.28515625" hidden="1" customWidth="1"/>
    <col min="12" max="12" width="2.140625" hidden="1" customWidth="1"/>
    <col min="13" max="13" width="13.28515625" hidden="1" customWidth="1"/>
    <col min="14" max="14" width="0.85546875" hidden="1" customWidth="1"/>
    <col min="15" max="15" width="13.28515625" hidden="1" customWidth="1"/>
    <col min="16" max="16" width="1.28515625" hidden="1" customWidth="1"/>
    <col min="17" max="17" width="13.28515625" hidden="1" customWidth="1"/>
    <col min="18" max="18" width="1.28515625" hidden="1" customWidth="1"/>
    <col min="19" max="19" width="13.28515625" hidden="1" customWidth="1"/>
    <col min="20" max="20" width="1.28515625" hidden="1" customWidth="1"/>
    <col min="21" max="21" width="13.28515625" hidden="1" customWidth="1"/>
    <col min="22" max="22" width="1.85546875" hidden="1" customWidth="1"/>
    <col min="23" max="23" width="13.28515625" hidden="1" customWidth="1"/>
    <col min="24" max="24" width="0.5703125" hidden="1" customWidth="1"/>
    <col min="25" max="25" width="13.28515625" hidden="1" customWidth="1"/>
    <col min="26" max="26" width="1.28515625" hidden="1" customWidth="1"/>
    <col min="27" max="27" width="14.28515625" hidden="1" customWidth="1"/>
    <col min="28" max="28" width="0" hidden="1" customWidth="1"/>
  </cols>
  <sheetData>
    <row r="1" spans="1:28" s="408" customFormat="1">
      <c r="C1" s="544" t="s">
        <v>65</v>
      </c>
      <c r="D1" s="546"/>
      <c r="E1" s="539" t="s">
        <v>66</v>
      </c>
      <c r="F1" s="539"/>
      <c r="G1" s="544" t="s">
        <v>81</v>
      </c>
      <c r="H1" s="546"/>
      <c r="I1" s="544" t="s">
        <v>82</v>
      </c>
      <c r="J1" s="546"/>
      <c r="K1" s="544" t="s">
        <v>83</v>
      </c>
      <c r="L1" s="546"/>
      <c r="M1" s="544" t="s">
        <v>84</v>
      </c>
      <c r="N1" s="545"/>
      <c r="O1" s="544" t="s">
        <v>85</v>
      </c>
      <c r="P1" s="546"/>
      <c r="Q1" s="544" t="s">
        <v>86</v>
      </c>
      <c r="R1" s="546"/>
      <c r="S1" s="539" t="s">
        <v>87</v>
      </c>
      <c r="T1" s="539"/>
      <c r="U1" s="544" t="s">
        <v>108</v>
      </c>
      <c r="V1" s="546"/>
      <c r="W1" s="544" t="s">
        <v>109</v>
      </c>
      <c r="X1" s="546"/>
      <c r="Y1" s="539" t="s">
        <v>110</v>
      </c>
      <c r="Z1" s="539"/>
      <c r="AA1" s="540" t="s">
        <v>335</v>
      </c>
      <c r="AB1" s="540"/>
    </row>
    <row r="2" spans="1:28" s="408" customFormat="1" ht="15.75" thickBot="1">
      <c r="A2" s="37">
        <v>5199</v>
      </c>
      <c r="B2" s="37" t="s">
        <v>72</v>
      </c>
      <c r="C2" s="63">
        <f>BCC!C16*9.61</f>
        <v>1175101.19</v>
      </c>
      <c r="E2" s="63">
        <f>BCC!E16*9.61</f>
        <v>914230.69951123383</v>
      </c>
      <c r="G2" s="63">
        <f>BCC!G16*9.61</f>
        <v>1516505.4007717811</v>
      </c>
      <c r="I2" s="63">
        <f>BCC!I16*9.61</f>
        <v>1339065.5733916629</v>
      </c>
      <c r="K2" s="63">
        <f>BCC!K16*9.61</f>
        <v>1224711.878648737</v>
      </c>
      <c r="M2" s="63">
        <f>BCC!M16*9.61</f>
        <v>1736624.487517324</v>
      </c>
      <c r="O2" s="63">
        <f>BCC!O16*9.61</f>
        <v>1099475.2342376709</v>
      </c>
      <c r="Q2" s="63">
        <f>BCC!Q16*9.61</f>
        <v>1365261.3207551173</v>
      </c>
      <c r="S2" s="63">
        <f>BCC!S16*9.61</f>
        <v>1375335.9605562766</v>
      </c>
      <c r="U2" s="63">
        <f>BCC!U16*9.61</f>
        <v>1090925.4638474535</v>
      </c>
      <c r="W2" s="63">
        <f>BCC!W16*9.61</f>
        <v>1109952.8723110002</v>
      </c>
      <c r="Y2" s="63">
        <f>BCC!Y16*9.61</f>
        <v>1676765.2712201648</v>
      </c>
      <c r="AA2" s="63">
        <f>C2+E2+G2+I2+K2+M2+O2+Q2+S2+U2+W2+Y2</f>
        <v>15623955.352768421</v>
      </c>
    </row>
    <row r="3" spans="1:28" s="408" customFormat="1" ht="15.75" thickTop="1">
      <c r="A3" s="8">
        <v>5999</v>
      </c>
      <c r="B3" s="475" t="s">
        <v>97</v>
      </c>
      <c r="C3" s="63">
        <f>BCC!C36*9.61</f>
        <v>620341.147963</v>
      </c>
      <c r="E3" s="63">
        <f>BCC!E36*9.61</f>
        <v>437882.48585602758</v>
      </c>
      <c r="G3" s="63">
        <f>BCC!G36*9.61</f>
        <v>800500.14998726884</v>
      </c>
      <c r="H3" s="474"/>
      <c r="I3" s="63">
        <f>BCC!I36*9.61</f>
        <v>616210.41376016499</v>
      </c>
      <c r="J3" s="474"/>
      <c r="K3" s="63">
        <f>BCC!K36*9.61</f>
        <v>503106.94737317145</v>
      </c>
      <c r="M3" s="63">
        <f>BCC!M36*9.61</f>
        <v>971187.00097093591</v>
      </c>
      <c r="O3" s="63">
        <f>BCC!O36*9.61</f>
        <v>551846.97501703957</v>
      </c>
      <c r="Q3" s="63">
        <f>BCC!Q36*9.61</f>
        <v>646828.01150962338</v>
      </c>
      <c r="S3" s="63">
        <f>BCC!S36*9.61</f>
        <v>761626.23776395468</v>
      </c>
      <c r="U3" s="63">
        <f>BCC!U36*9.61</f>
        <v>573630.67379822151</v>
      </c>
      <c r="W3" s="63">
        <f>BCC!W36*9.61</f>
        <v>465532.49407277134</v>
      </c>
      <c r="Y3" s="63">
        <f>BCC!Y36*9.61</f>
        <v>880542.01739058644</v>
      </c>
      <c r="AA3" s="63">
        <f t="shared" ref="AA3:AA7" si="0">C3+E3+G3+I3+K3+M3+O3+Q3+S3+U3+W3+Y3</f>
        <v>7829234.5554627655</v>
      </c>
    </row>
    <row r="4" spans="1:28" s="408" customFormat="1">
      <c r="A4" s="45">
        <v>6799</v>
      </c>
      <c r="B4" s="45" t="s">
        <v>119</v>
      </c>
      <c r="C4" s="63">
        <f>(BCC!C145-BCC!C142)*9.61</f>
        <v>581573.07290959381</v>
      </c>
      <c r="E4" s="63">
        <f>(BCC!E145-BCC!E142)*9.61</f>
        <v>606240.43772174686</v>
      </c>
      <c r="G4" s="63">
        <f>(BCC!G145-BCC!G142)*9.61</f>
        <v>618870.14845457987</v>
      </c>
      <c r="H4" s="474"/>
      <c r="I4" s="63">
        <f>(BCC!I145-BCC!I142)*9.61</f>
        <v>601880.48381876899</v>
      </c>
      <c r="J4" s="474"/>
      <c r="K4" s="63">
        <f>(BCC!K145-BCC!K142)*9.61</f>
        <v>607797.20900957554</v>
      </c>
      <c r="M4" s="63">
        <f>(BCC!M145-BCC!M142)*9.61</f>
        <v>573395.90867584117</v>
      </c>
      <c r="N4" s="100"/>
      <c r="O4" s="63">
        <f>(BCC!O145-BCC!O142)*9.61</f>
        <v>594298.70145003509</v>
      </c>
      <c r="Q4" s="63">
        <f>(BCC!Q145-BCC!Q142)*9.61</f>
        <v>612380.70832666697</v>
      </c>
      <c r="S4" s="63">
        <f>(BCC!S145-BCC!S142)*9.61</f>
        <v>598129.35568117094</v>
      </c>
      <c r="U4" s="63">
        <f>(BCC!U145-BCC!U142)*9.61</f>
        <v>600227.39071342</v>
      </c>
      <c r="W4" s="63">
        <f>(BCC!W145-BCC!W142)*9.61</f>
        <v>592753.98760597385</v>
      </c>
      <c r="Y4" s="63">
        <f>(BCC!Y145-BCC!Y142)*9.61</f>
        <v>615568.97907764465</v>
      </c>
      <c r="AA4" s="63">
        <f t="shared" si="0"/>
        <v>7203116.383445017</v>
      </c>
    </row>
    <row r="5" spans="1:28" s="408" customFormat="1" ht="15.75" thickBot="1">
      <c r="B5" s="476" t="s">
        <v>336</v>
      </c>
      <c r="C5" s="63">
        <f>C2-C3-C4</f>
        <v>-26813.030872593867</v>
      </c>
      <c r="E5" s="63">
        <f>E2-E3-E4</f>
        <v>-129892.2240665406</v>
      </c>
      <c r="G5" s="63">
        <f>G2-G3-G4</f>
        <v>97135.102329932386</v>
      </c>
      <c r="I5" s="63">
        <f>I2-I3-I4</f>
        <v>120974.67581272894</v>
      </c>
      <c r="K5" s="63">
        <f>K2-K3-K4</f>
        <v>113807.72226598999</v>
      </c>
      <c r="M5" s="63">
        <f>M2-M3-M4</f>
        <v>192041.57787054696</v>
      </c>
      <c r="O5" s="63">
        <f>O2-O3-O4</f>
        <v>-46670.442229403765</v>
      </c>
      <c r="Q5" s="63">
        <f>Q2-Q3-Q4</f>
        <v>106052.600918827</v>
      </c>
      <c r="S5" s="63">
        <f>S2-S3-S4</f>
        <v>15580.36711115099</v>
      </c>
      <c r="U5" s="63">
        <f>U2-U3-U4</f>
        <v>-82932.600664188038</v>
      </c>
      <c r="W5" s="63">
        <f>W2-W3-W4</f>
        <v>51666.390632255003</v>
      </c>
      <c r="Y5" s="63">
        <f>Y2-Y3-Y4</f>
        <v>180654.27475193376</v>
      </c>
      <c r="AA5" s="63">
        <f>AA2-AA3-AA4</f>
        <v>591604.41386063863</v>
      </c>
    </row>
    <row r="6" spans="1:28" s="408" customFormat="1" ht="15.75" thickTop="1">
      <c r="A6" s="45">
        <v>6798</v>
      </c>
      <c r="B6" s="45" t="s">
        <v>196</v>
      </c>
      <c r="C6" s="63">
        <f>(BCC!C144-BCC!C142)*9.61</f>
        <v>70905.366900000008</v>
      </c>
      <c r="E6" s="63">
        <f>(BCC!E144-BCC!E142)*9.61</f>
        <v>70905.462999999989</v>
      </c>
      <c r="G6" s="63">
        <f>(BCC!G144-BCC!G142)*9.61</f>
        <v>70905.366900000008</v>
      </c>
      <c r="H6" s="474"/>
      <c r="I6" s="63">
        <f>(BCC!I144-BCC!I142)*9.61</f>
        <v>70905.462999999989</v>
      </c>
      <c r="J6" s="474"/>
      <c r="K6" s="63">
        <f>(BCC!K144-BCC!K142)*9.61</f>
        <v>70905.366900000008</v>
      </c>
      <c r="M6" s="63">
        <f>(BCC!M144-BCC!M142)*9.61</f>
        <v>70905.462999999989</v>
      </c>
      <c r="O6" s="63">
        <f>(BCC!O144-BCC!O142)*9.61</f>
        <v>70905.366900000008</v>
      </c>
      <c r="Q6" s="63">
        <f>(BCC!Q144-BCC!Q142)*9.61</f>
        <v>70905.270799999998</v>
      </c>
      <c r="S6" s="63">
        <f>(BCC!S144-BCC!S142)*9.61</f>
        <v>70905.366900000008</v>
      </c>
      <c r="U6" s="63">
        <f>(BCC!U144-BCC!U142)*9.61</f>
        <v>70811.188900000008</v>
      </c>
      <c r="W6" s="63">
        <f>(BCC!W144-BCC!W142)*9.61</f>
        <v>70811.188900000008</v>
      </c>
      <c r="Y6" s="63">
        <f>(BCC!Y144-BCC!Y142)*9.61</f>
        <v>70811.188900000008</v>
      </c>
      <c r="AA6" s="63">
        <f t="shared" si="0"/>
        <v>850582.06099999999</v>
      </c>
    </row>
    <row r="7" spans="1:28" s="408" customFormat="1" ht="15.75" thickBot="1">
      <c r="A7" s="4">
        <v>6299</v>
      </c>
      <c r="B7" s="4" t="s">
        <v>100</v>
      </c>
      <c r="C7" s="63">
        <f>BCC!C93*9.61</f>
        <v>116416.24210045663</v>
      </c>
      <c r="E7" s="63">
        <f>BCC!E93*9.61</f>
        <v>116416.24210045663</v>
      </c>
      <c r="G7" s="63">
        <f>BCC!G93*9.61</f>
        <v>116416.24210045663</v>
      </c>
      <c r="I7" s="63">
        <f>BCC!I93*9.61</f>
        <v>116416.24210045663</v>
      </c>
      <c r="K7" s="63">
        <f>BCC!K93*9.61</f>
        <v>116416.24210045663</v>
      </c>
      <c r="M7" s="63">
        <f>BCC!M93*9.61</f>
        <v>116416.24210045663</v>
      </c>
      <c r="O7" s="63">
        <f>BCC!O93*9.61</f>
        <v>116416.24210045663</v>
      </c>
      <c r="Q7" s="63">
        <f>BCC!Q93*9.61</f>
        <v>116416.24210045663</v>
      </c>
      <c r="S7" s="63">
        <f>BCC!S93*9.61</f>
        <v>116416.24210045663</v>
      </c>
      <c r="U7" s="63">
        <f>BCC!U93*9.61</f>
        <v>116416.24210045663</v>
      </c>
      <c r="W7" s="63">
        <f>BCC!W93*9.61</f>
        <v>116416.24210045663</v>
      </c>
      <c r="Y7" s="63">
        <f>BCC!Y93*9.61</f>
        <v>116416.24210045663</v>
      </c>
      <c r="AA7" s="63">
        <f t="shared" si="0"/>
        <v>1396994.9052054798</v>
      </c>
    </row>
    <row r="8" spans="1:28" ht="15.75" thickTop="1"/>
    <row r="9" spans="1:28">
      <c r="A9" s="408"/>
    </row>
  </sheetData>
  <mergeCells count="13">
    <mergeCell ref="M1:N1"/>
    <mergeCell ref="C1:D1"/>
    <mergeCell ref="E1:F1"/>
    <mergeCell ref="G1:H1"/>
    <mergeCell ref="I1:J1"/>
    <mergeCell ref="K1:L1"/>
    <mergeCell ref="AA1:AB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E5:F28"/>
  <sheetViews>
    <sheetView workbookViewId="0"/>
  </sheetViews>
  <sheetFormatPr defaultRowHeight="15"/>
  <sheetData>
    <row r="5" spans="5:6">
      <c r="E5" s="474"/>
      <c r="F5" s="474"/>
    </row>
    <row r="16" spans="5:6">
      <c r="E16" s="474"/>
      <c r="F16" s="474"/>
    </row>
    <row r="28" spans="5:6">
      <c r="E28" s="474"/>
      <c r="F28" s="4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AR174"/>
  <sheetViews>
    <sheetView tabSelected="1" zoomScale="85" zoomScaleNormal="85" zoomScaleSheetLayoutView="91" workbookViewId="0">
      <pane xSplit="2" ySplit="5" topLeftCell="C116" activePane="bottomRight" state="frozen"/>
      <selection pane="topRight" activeCell="C1" sqref="C1"/>
      <selection pane="bottomLeft" activeCell="A6" sqref="A6"/>
      <selection pane="bottomRight" activeCell="C142" sqref="C142"/>
    </sheetView>
  </sheetViews>
  <sheetFormatPr defaultColWidth="9.140625" defaultRowHeight="15"/>
  <cols>
    <col min="1" max="1" width="6.42578125" style="104" bestFit="1" customWidth="1"/>
    <col min="2" max="2" width="37.140625" style="104" bestFit="1" customWidth="1"/>
    <col min="3" max="3" width="13.28515625" style="24" bestFit="1" customWidth="1"/>
    <col min="4" max="4" width="8.7109375" style="108" bestFit="1" customWidth="1"/>
    <col min="5" max="5" width="13.28515625" style="128" bestFit="1" customWidth="1"/>
    <col min="6" max="6" width="8.140625" style="108" bestFit="1" customWidth="1"/>
    <col min="7" max="7" width="13.28515625" style="128" bestFit="1" customWidth="1"/>
    <col min="8" max="8" width="8.140625" style="108" bestFit="1" customWidth="1"/>
    <col min="9" max="9" width="15.42578125" style="24" customWidth="1"/>
    <col min="10" max="10" width="7.7109375" style="108" bestFit="1" customWidth="1"/>
    <col min="11" max="11" width="13.7109375" style="128" customWidth="1"/>
    <col min="12" max="12" width="8.85546875" style="108" bestFit="1" customWidth="1"/>
    <col min="13" max="13" width="14.28515625" style="24" customWidth="1"/>
    <col min="14" max="14" width="7.5703125" style="108" customWidth="1"/>
    <col min="15" max="15" width="13.5703125" style="24" customWidth="1"/>
    <col min="16" max="16" width="7.5703125" style="108" customWidth="1"/>
    <col min="17" max="17" width="14" style="24" customWidth="1"/>
    <col min="18" max="18" width="7.5703125" style="108" customWidth="1"/>
    <col min="19" max="19" width="13.5703125" style="24" customWidth="1"/>
    <col min="20" max="20" width="7.5703125" style="108" customWidth="1"/>
    <col min="21" max="21" width="13.5703125" style="128" customWidth="1"/>
    <col min="22" max="22" width="7.5703125" style="108" customWidth="1"/>
    <col min="23" max="23" width="12.5703125" style="104" bestFit="1" customWidth="1"/>
    <col min="24" max="24" width="7.5703125" style="108" customWidth="1"/>
    <col min="25" max="25" width="13.5703125" style="128" customWidth="1"/>
    <col min="26" max="26" width="7.5703125" style="108" customWidth="1"/>
    <col min="27" max="27" width="15.28515625" style="104" bestFit="1" customWidth="1"/>
    <col min="28" max="28" width="9.7109375" style="166" customWidth="1"/>
    <col min="29" max="29" width="12.85546875" style="104" customWidth="1"/>
    <col min="30" max="30" width="8" style="166" bestFit="1" customWidth="1"/>
    <col min="31" max="31" width="22.5703125" style="104" hidden="1" customWidth="1"/>
    <col min="32" max="32" width="14" style="128" hidden="1" customWidth="1"/>
    <col min="33" max="33" width="57.42578125" style="104" hidden="1" customWidth="1"/>
    <col min="34" max="34" width="10.28515625" style="104" hidden="1" customWidth="1"/>
    <col min="35" max="36" width="14.28515625" style="104" hidden="1" customWidth="1"/>
    <col min="37" max="37" width="14.28515625" style="5" hidden="1" customWidth="1"/>
    <col min="38" max="38" width="14.28515625" style="1" hidden="1" customWidth="1"/>
    <col min="39" max="39" width="9.140625" style="1" hidden="1" customWidth="1"/>
    <col min="40" max="40" width="10.140625" style="1" hidden="1" customWidth="1"/>
    <col min="41" max="41" width="9.140625" style="1" customWidth="1"/>
    <col min="42" max="42" width="23.28515625" style="1" hidden="1" customWidth="1"/>
    <col min="43" max="43" width="14.28515625" style="1" hidden="1" customWidth="1"/>
    <col min="44" max="44" width="11.140625" style="1" bestFit="1" customWidth="1"/>
    <col min="45" max="16384" width="9.140625" style="1"/>
  </cols>
  <sheetData>
    <row r="1" spans="1:43">
      <c r="A1" s="547" t="s">
        <v>350</v>
      </c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7"/>
      <c r="S1" s="547"/>
      <c r="T1" s="547"/>
      <c r="U1" s="547"/>
      <c r="V1" s="547"/>
      <c r="W1" s="547"/>
      <c r="X1" s="547"/>
      <c r="Y1" s="547"/>
      <c r="Z1" s="547"/>
      <c r="AA1" s="547"/>
      <c r="AB1" s="547"/>
      <c r="AC1" s="547"/>
      <c r="AD1" s="548"/>
      <c r="AE1" s="1"/>
      <c r="AF1" s="63"/>
      <c r="AG1" s="1"/>
      <c r="AH1" s="1"/>
      <c r="AI1" s="5"/>
      <c r="AJ1" s="5"/>
      <c r="AK1" s="5" t="s">
        <v>246</v>
      </c>
      <c r="AL1" s="1">
        <v>19206.599999999999</v>
      </c>
      <c r="AM1" s="100"/>
    </row>
    <row r="2" spans="1:43">
      <c r="A2" s="26"/>
      <c r="B2" s="26"/>
      <c r="C2" s="134" t="s">
        <v>65</v>
      </c>
      <c r="D2" s="74"/>
      <c r="E2" s="544" t="s">
        <v>66</v>
      </c>
      <c r="F2" s="545"/>
      <c r="G2" s="167" t="s">
        <v>81</v>
      </c>
      <c r="H2" s="74"/>
      <c r="I2" s="544" t="s">
        <v>82</v>
      </c>
      <c r="J2" s="545"/>
      <c r="K2" s="544" t="s">
        <v>83</v>
      </c>
      <c r="L2" s="546"/>
      <c r="M2" s="544" t="s">
        <v>84</v>
      </c>
      <c r="N2" s="545"/>
      <c r="O2" s="544" t="s">
        <v>85</v>
      </c>
      <c r="P2" s="546"/>
      <c r="Q2" s="544" t="s">
        <v>86</v>
      </c>
      <c r="R2" s="545"/>
      <c r="S2" s="539" t="s">
        <v>87</v>
      </c>
      <c r="T2" s="539"/>
      <c r="U2" s="544" t="s">
        <v>108</v>
      </c>
      <c r="V2" s="546"/>
      <c r="W2" s="544" t="s">
        <v>109</v>
      </c>
      <c r="X2" s="545"/>
      <c r="Y2" s="539" t="s">
        <v>110</v>
      </c>
      <c r="Z2" s="539"/>
      <c r="AA2" s="540" t="s">
        <v>206</v>
      </c>
      <c r="AB2" s="540"/>
      <c r="AC2" s="541" t="s">
        <v>238</v>
      </c>
      <c r="AD2" s="541"/>
      <c r="AE2" s="89"/>
      <c r="AF2" s="154"/>
      <c r="AG2" s="89"/>
      <c r="AH2" s="1"/>
      <c r="AI2" s="5"/>
      <c r="AJ2" s="5"/>
    </row>
    <row r="3" spans="1:43" ht="15.75" thickBot="1">
      <c r="A3" s="47"/>
      <c r="B3" s="11" t="s">
        <v>70</v>
      </c>
      <c r="C3" s="135" t="s">
        <v>239</v>
      </c>
      <c r="D3" s="69" t="s">
        <v>80</v>
      </c>
      <c r="E3" s="135" t="s">
        <v>239</v>
      </c>
      <c r="F3" s="69" t="s">
        <v>80</v>
      </c>
      <c r="G3" s="135" t="s">
        <v>239</v>
      </c>
      <c r="H3" s="69" t="s">
        <v>80</v>
      </c>
      <c r="I3" s="135" t="s">
        <v>239</v>
      </c>
      <c r="J3" s="69" t="s">
        <v>80</v>
      </c>
      <c r="K3" s="135" t="s">
        <v>239</v>
      </c>
      <c r="L3" s="69" t="s">
        <v>80</v>
      </c>
      <c r="M3" s="135" t="s">
        <v>239</v>
      </c>
      <c r="N3" s="69" t="s">
        <v>80</v>
      </c>
      <c r="O3" s="135" t="s">
        <v>239</v>
      </c>
      <c r="P3" s="69" t="s">
        <v>80</v>
      </c>
      <c r="Q3" s="135" t="s">
        <v>239</v>
      </c>
      <c r="R3" s="69" t="s">
        <v>80</v>
      </c>
      <c r="S3" s="135" t="s">
        <v>239</v>
      </c>
      <c r="T3" s="69" t="s">
        <v>80</v>
      </c>
      <c r="U3" s="135" t="s">
        <v>239</v>
      </c>
      <c r="V3" s="69" t="s">
        <v>80</v>
      </c>
      <c r="W3" s="135" t="s">
        <v>239</v>
      </c>
      <c r="X3" s="69" t="s">
        <v>80</v>
      </c>
      <c r="Y3" s="135" t="s">
        <v>239</v>
      </c>
      <c r="Z3" s="69" t="s">
        <v>80</v>
      </c>
      <c r="AA3" s="231" t="s">
        <v>239</v>
      </c>
      <c r="AB3" s="232" t="s">
        <v>80</v>
      </c>
      <c r="AC3" s="233" t="s">
        <v>239</v>
      </c>
      <c r="AD3" s="234" t="s">
        <v>80</v>
      </c>
      <c r="AE3" s="157" t="s">
        <v>165</v>
      </c>
      <c r="AF3" s="235" t="s">
        <v>160</v>
      </c>
      <c r="AG3" s="157" t="s">
        <v>159</v>
      </c>
      <c r="AH3" s="1"/>
      <c r="AI3" s="5"/>
      <c r="AJ3" s="5"/>
    </row>
    <row r="4" spans="1:43">
      <c r="A4" s="1"/>
      <c r="B4" s="1"/>
      <c r="C4" s="136" t="s">
        <v>221</v>
      </c>
      <c r="D4" s="70"/>
      <c r="E4" s="53" t="s">
        <v>221</v>
      </c>
      <c r="F4" s="70"/>
      <c r="G4" s="78" t="s">
        <v>221</v>
      </c>
      <c r="H4" s="70"/>
      <c r="I4" s="18" t="s">
        <v>221</v>
      </c>
      <c r="J4" s="70"/>
      <c r="K4" s="53" t="s">
        <v>221</v>
      </c>
      <c r="L4" s="70"/>
      <c r="M4" s="18" t="s">
        <v>221</v>
      </c>
      <c r="N4" s="70"/>
      <c r="O4" s="18" t="s">
        <v>221</v>
      </c>
      <c r="P4" s="70"/>
      <c r="Q4" s="18" t="s">
        <v>221</v>
      </c>
      <c r="R4" s="70"/>
      <c r="S4" s="18" t="s">
        <v>221</v>
      </c>
      <c r="T4" s="70"/>
      <c r="U4" s="53" t="s">
        <v>221</v>
      </c>
      <c r="V4" s="70"/>
      <c r="W4" s="409" t="s">
        <v>221</v>
      </c>
      <c r="X4" s="70"/>
      <c r="Y4" s="53" t="s">
        <v>221</v>
      </c>
      <c r="AA4" s="280"/>
      <c r="AB4" s="281"/>
      <c r="AC4" s="282"/>
      <c r="AD4" s="281"/>
      <c r="AE4" s="282"/>
      <c r="AF4" s="283"/>
      <c r="AG4" s="282"/>
      <c r="AH4" s="1"/>
      <c r="AI4" s="5"/>
      <c r="AJ4" s="5"/>
    </row>
    <row r="5" spans="1:43" s="5" customFormat="1">
      <c r="A5" s="469">
        <v>5004</v>
      </c>
      <c r="B5" s="470" t="s">
        <v>72</v>
      </c>
      <c r="C5" s="521">
        <f>122279+C9</f>
        <v>152848.75847906905</v>
      </c>
      <c r="D5" s="471"/>
      <c r="E5" s="522">
        <f>95133.2673789005+E9</f>
        <v>111305.92283331358</v>
      </c>
      <c r="F5" s="49"/>
      <c r="G5" s="523">
        <f>157804.932442433+G9</f>
        <v>203568.36285073854</v>
      </c>
      <c r="H5" s="49"/>
      <c r="I5" s="524">
        <f>139340.850509018+I9</f>
        <v>174176.06313627251</v>
      </c>
      <c r="J5" s="23"/>
      <c r="K5" s="525">
        <f>127441.402564905+K9</f>
        <v>149106.44100093891</v>
      </c>
      <c r="L5" s="471"/>
      <c r="M5" s="526">
        <f>180710.144382656+M9</f>
        <v>238537.39058510601</v>
      </c>
      <c r="N5" s="471"/>
      <c r="O5" s="527">
        <f>114409.493677177+O9</f>
        <v>141867.77215969944</v>
      </c>
      <c r="P5" s="471"/>
      <c r="Q5" s="528">
        <f>142066.734729981+Q9</f>
        <v>174742.08371787673</v>
      </c>
      <c r="R5" s="471"/>
      <c r="S5" s="529">
        <f>143115.084345086+S9</f>
        <v>167444.64868375068</v>
      </c>
      <c r="T5" s="471"/>
      <c r="U5" s="530">
        <f>113519.819338965+U9</f>
        <v>140764.5759803165</v>
      </c>
      <c r="V5" s="471"/>
      <c r="W5" s="531">
        <f>115499.778596358+W9</f>
        <v>129359.75202792096</v>
      </c>
      <c r="X5" s="471"/>
      <c r="Y5" s="532">
        <f>174481.297733628+Y9</f>
        <v>218101.62216703509</v>
      </c>
      <c r="Z5" s="472"/>
      <c r="AA5" s="286">
        <f>C5+E5+G5+I5+K5+M5+O5+Q5+S5+U5+W5+Y5</f>
        <v>2001823.393622038</v>
      </c>
      <c r="AB5" s="473"/>
      <c r="AC5" s="207">
        <f>AA5/12</f>
        <v>166818.61613516984</v>
      </c>
      <c r="AD5" s="473"/>
      <c r="AE5" s="170"/>
      <c r="AF5" s="238"/>
      <c r="AG5" s="238"/>
      <c r="AH5" s="53">
        <f t="shared" ref="AH5:AH36" si="0">AA5-AI5</f>
        <v>0</v>
      </c>
      <c r="AI5" s="53">
        <f>C5+E5+G5+I5+K5+M5+O5+Q5+S5+U5+W5+Y5</f>
        <v>2001823.393622038</v>
      </c>
      <c r="AJ5" s="53">
        <f>G5*9.4+J5*9.4+K5*9.4+M5*9.4+O5*9.4+Q5*9.4+S5*9.4+U5*9.4+W5*9.4+Y5*9.4</f>
        <v>14696830.902229801</v>
      </c>
      <c r="AK5" s="53"/>
      <c r="AQ5" s="53">
        <f>AA5*9.61</f>
        <v>19237522.812707782</v>
      </c>
    </row>
    <row r="6" spans="1:43">
      <c r="A6" s="1">
        <v>5005</v>
      </c>
      <c r="B6" s="15" t="s">
        <v>68</v>
      </c>
      <c r="C6" s="136"/>
      <c r="D6" s="49">
        <f>C6/C$5</f>
        <v>0</v>
      </c>
      <c r="E6" s="54"/>
      <c r="F6" s="49">
        <f>E6/E$5</f>
        <v>0</v>
      </c>
      <c r="G6" s="23"/>
      <c r="H6" s="49">
        <f>G6/G$5</f>
        <v>0</v>
      </c>
      <c r="I6" s="23"/>
      <c r="J6" s="49">
        <f>I6/I$5</f>
        <v>0</v>
      </c>
      <c r="K6" s="43"/>
      <c r="L6" s="49">
        <f>K6/K$5</f>
        <v>0</v>
      </c>
      <c r="M6" s="18"/>
      <c r="N6" s="49">
        <f>M6/M$5</f>
        <v>0</v>
      </c>
      <c r="O6" s="23"/>
      <c r="P6" s="49">
        <f>O6/O$5</f>
        <v>0</v>
      </c>
      <c r="Q6" s="23">
        <v>0</v>
      </c>
      <c r="R6" s="49">
        <f>Q6/Q$5</f>
        <v>0</v>
      </c>
      <c r="S6" s="18">
        <v>0</v>
      </c>
      <c r="T6" s="49">
        <f>S6/S$5</f>
        <v>0</v>
      </c>
      <c r="U6" s="54">
        <v>0</v>
      </c>
      <c r="V6" s="49">
        <f>U6/U$5</f>
        <v>0</v>
      </c>
      <c r="W6" s="32">
        <v>0</v>
      </c>
      <c r="X6" s="49">
        <f>W6/W$5</f>
        <v>0</v>
      </c>
      <c r="Y6" s="43">
        <v>0</v>
      </c>
      <c r="Z6" s="179">
        <f>Y6/Y$5</f>
        <v>0</v>
      </c>
      <c r="AA6" s="286">
        <f t="shared" ref="AA6:AA11" si="1">C6+E6+G6+I6+K6+M6+O6+Q6+S6+U6+W6+Y6</f>
        <v>0</v>
      </c>
      <c r="AB6" s="213">
        <f>AA6/AA$5</f>
        <v>0</v>
      </c>
      <c r="AC6" s="205">
        <f t="shared" ref="AC6:AC69" si="2">AA6/12</f>
        <v>0</v>
      </c>
      <c r="AD6" s="213">
        <f>AC6/AC$5</f>
        <v>0</v>
      </c>
      <c r="AE6" s="75"/>
      <c r="AF6" s="169"/>
      <c r="AG6" s="75"/>
      <c r="AH6" s="53">
        <f t="shared" si="0"/>
        <v>0</v>
      </c>
      <c r="AI6" s="53">
        <f t="shared" ref="AI6:AI69" si="3">C6+E6+G6+I6+K6+M6+O6+Q6+S6+U6+W6+Y6</f>
        <v>0</v>
      </c>
      <c r="AJ6" s="53">
        <f>G6*9.4+I6*9.4+K6*9.4+M6*9.4+O6*9.4+Q6*9.4+S6*9.4+U6*9.4+W6*9.4+Y6*9.4</f>
        <v>0</v>
      </c>
      <c r="AK6" s="53"/>
      <c r="AQ6" s="53">
        <f t="shared" ref="AQ6:AQ69" si="4">Q6*9.61</f>
        <v>0</v>
      </c>
    </row>
    <row r="7" spans="1:43">
      <c r="A7" s="13">
        <v>5051</v>
      </c>
      <c r="B7" s="119" t="s">
        <v>106</v>
      </c>
      <c r="C7" s="137"/>
      <c r="D7" s="49">
        <f t="shared" ref="D7:D11" si="5">C7/C$5</f>
        <v>0</v>
      </c>
      <c r="E7" s="60"/>
      <c r="F7" s="49">
        <f t="shared" ref="F7:F11" si="6">E7/E$5</f>
        <v>0</v>
      </c>
      <c r="G7" s="81"/>
      <c r="H7" s="49">
        <f t="shared" ref="H7:J11" si="7">G7/G$5</f>
        <v>0</v>
      </c>
      <c r="I7" s="19">
        <v>0</v>
      </c>
      <c r="J7" s="49">
        <f>I7/I$5</f>
        <v>0</v>
      </c>
      <c r="K7" s="54"/>
      <c r="L7" s="49">
        <f t="shared" ref="L7:L11" si="8">K7/K$5</f>
        <v>0</v>
      </c>
      <c r="M7" s="19"/>
      <c r="N7" s="49">
        <f t="shared" ref="N7:N11" si="9">M7/M$5</f>
        <v>0</v>
      </c>
      <c r="O7" s="23">
        <v>0</v>
      </c>
      <c r="P7" s="49">
        <f t="shared" ref="P7:P11" si="10">O7/O$5</f>
        <v>0</v>
      </c>
      <c r="Q7" s="23">
        <v>0</v>
      </c>
      <c r="R7" s="49">
        <f t="shared" ref="R7:R11" si="11">Q7/Q$5</f>
        <v>0</v>
      </c>
      <c r="S7" s="23">
        <v>0</v>
      </c>
      <c r="T7" s="49">
        <f t="shared" ref="T7:T11" si="12">S7/S$5</f>
        <v>0</v>
      </c>
      <c r="U7" s="54">
        <v>0</v>
      </c>
      <c r="V7" s="49">
        <f t="shared" ref="V7:V11" si="13">U7/U$5</f>
        <v>0</v>
      </c>
      <c r="W7" s="32">
        <v>0</v>
      </c>
      <c r="X7" s="49">
        <f t="shared" ref="X7:X11" si="14">W7/W$5</f>
        <v>0</v>
      </c>
      <c r="Y7" s="54">
        <v>0</v>
      </c>
      <c r="Z7" s="179">
        <f t="shared" ref="Z7:Z11" si="15">Y7/Y$5</f>
        <v>0</v>
      </c>
      <c r="AA7" s="286">
        <f t="shared" si="1"/>
        <v>0</v>
      </c>
      <c r="AB7" s="214">
        <f t="shared" ref="AB7:AB11" si="16">AA7/AA$5</f>
        <v>0</v>
      </c>
      <c r="AC7" s="207">
        <f t="shared" si="2"/>
        <v>0</v>
      </c>
      <c r="AD7" s="214">
        <f t="shared" ref="AD7:AD11" si="17">AC7/AC$5</f>
        <v>0</v>
      </c>
      <c r="AE7" s="75"/>
      <c r="AF7" s="169"/>
      <c r="AG7" s="75"/>
      <c r="AH7" s="53">
        <f t="shared" si="0"/>
        <v>0</v>
      </c>
      <c r="AI7" s="53">
        <f t="shared" si="3"/>
        <v>0</v>
      </c>
      <c r="AJ7" s="53">
        <f>G7*9.4+I7*9.4+K7*9.4+M7*9.4+O7*9.4+Q7*9.4+S7*9.4+U7*9.4+W7*9.4+Y7*9.4</f>
        <v>0</v>
      </c>
      <c r="AK7" s="53"/>
      <c r="AQ7" s="53">
        <f t="shared" si="4"/>
        <v>0</v>
      </c>
    </row>
    <row r="8" spans="1:43">
      <c r="A8" s="1">
        <v>5052</v>
      </c>
      <c r="B8" s="1" t="s">
        <v>90</v>
      </c>
      <c r="C8" s="23"/>
      <c r="D8" s="49">
        <f t="shared" si="5"/>
        <v>0</v>
      </c>
      <c r="E8" s="18"/>
      <c r="F8" s="49">
        <f t="shared" si="6"/>
        <v>0</v>
      </c>
      <c r="G8" s="18"/>
      <c r="H8" s="49">
        <f t="shared" si="7"/>
        <v>0</v>
      </c>
      <c r="I8" s="136"/>
      <c r="J8" s="49">
        <f t="shared" si="7"/>
        <v>0</v>
      </c>
      <c r="K8" s="18"/>
      <c r="L8" s="49">
        <f t="shared" si="8"/>
        <v>0</v>
      </c>
      <c r="M8" s="408"/>
      <c r="N8" s="49">
        <f t="shared" si="9"/>
        <v>0</v>
      </c>
      <c r="O8" s="18"/>
      <c r="P8" s="49">
        <f t="shared" si="10"/>
        <v>0</v>
      </c>
      <c r="Q8" s="18"/>
      <c r="R8" s="49">
        <f t="shared" si="11"/>
        <v>0</v>
      </c>
      <c r="S8" s="18"/>
      <c r="T8" s="49">
        <f t="shared" si="12"/>
        <v>0</v>
      </c>
      <c r="U8" s="18"/>
      <c r="V8" s="49">
        <f t="shared" si="13"/>
        <v>0</v>
      </c>
      <c r="W8" s="18"/>
      <c r="X8" s="49">
        <f t="shared" si="14"/>
        <v>0</v>
      </c>
      <c r="Y8" s="18"/>
      <c r="Z8" s="179">
        <f t="shared" si="15"/>
        <v>0</v>
      </c>
      <c r="AA8" s="286">
        <f t="shared" si="1"/>
        <v>0</v>
      </c>
      <c r="AB8" s="214">
        <f t="shared" si="16"/>
        <v>0</v>
      </c>
      <c r="AC8" s="215">
        <f t="shared" si="2"/>
        <v>0</v>
      </c>
      <c r="AD8" s="214">
        <f t="shared" si="17"/>
        <v>0</v>
      </c>
      <c r="AE8" s="75"/>
      <c r="AF8" s="169"/>
      <c r="AG8" s="75"/>
      <c r="AH8" s="53">
        <f t="shared" si="0"/>
        <v>0</v>
      </c>
      <c r="AI8" s="53">
        <f t="shared" si="3"/>
        <v>0</v>
      </c>
      <c r="AJ8" s="53">
        <f>G8*9.4+I8*9.4+K8*9.4+M8*9.4+O8*9.4+Q8*9.4+S8*9.4+U8*9.4+W8*9.4+Y8*9.4</f>
        <v>0</v>
      </c>
      <c r="AK8" s="53"/>
      <c r="AQ8" s="53">
        <f t="shared" si="4"/>
        <v>0</v>
      </c>
    </row>
    <row r="9" spans="1:43">
      <c r="A9" s="1">
        <v>5101</v>
      </c>
      <c r="B9" s="15" t="s">
        <v>47</v>
      </c>
      <c r="C9" s="136">
        <v>30569.758479069038</v>
      </c>
      <c r="D9" s="49"/>
      <c r="E9" s="136">
        <v>16172.655454413081</v>
      </c>
      <c r="F9" s="49"/>
      <c r="G9" s="136">
        <v>45763.430408305539</v>
      </c>
      <c r="H9" s="49"/>
      <c r="I9" s="136">
        <v>34835.212627254507</v>
      </c>
      <c r="J9" s="49"/>
      <c r="K9" s="136">
        <v>21665.038436033901</v>
      </c>
      <c r="L9" s="49"/>
      <c r="M9" s="474">
        <v>57827.24620245002</v>
      </c>
      <c r="N9" s="49"/>
      <c r="O9" s="136">
        <v>27458.278482522433</v>
      </c>
      <c r="P9" s="49"/>
      <c r="Q9" s="136">
        <v>32675.348987895744</v>
      </c>
      <c r="R9" s="49"/>
      <c r="S9" s="136">
        <v>24329.56433866467</v>
      </c>
      <c r="T9" s="49"/>
      <c r="U9" s="136">
        <v>27244.756641351516</v>
      </c>
      <c r="V9" s="49"/>
      <c r="W9" s="136">
        <v>13859.973431562959</v>
      </c>
      <c r="X9" s="49"/>
      <c r="Y9" s="136">
        <v>43620.324433407099</v>
      </c>
      <c r="Z9" s="179">
        <f t="shared" si="15"/>
        <v>0.20000000000000037</v>
      </c>
      <c r="AA9" s="286">
        <f t="shared" si="1"/>
        <v>376021.58792293048</v>
      </c>
      <c r="AB9" s="214">
        <f t="shared" si="16"/>
        <v>0.18783954125072369</v>
      </c>
      <c r="AC9" s="205">
        <f t="shared" si="2"/>
        <v>31335.132326910873</v>
      </c>
      <c r="AD9" s="214">
        <f t="shared" si="17"/>
        <v>0.18783954125072366</v>
      </c>
      <c r="AE9" s="75"/>
      <c r="AF9" s="169"/>
      <c r="AG9" s="75"/>
      <c r="AH9" s="53">
        <f t="shared" si="0"/>
        <v>0</v>
      </c>
      <c r="AI9" s="53">
        <f t="shared" si="3"/>
        <v>376021.58792293048</v>
      </c>
      <c r="AJ9" s="53">
        <f>G9*9.4+I9*9.4+K9*9.4+M9*9.4+O9*9.4+Q9*9.4+S9*9.4+U9*9.4+W9*9.4+Y9*9.4</f>
        <v>3095224.2355008153</v>
      </c>
      <c r="AK9" s="53"/>
      <c r="AQ9" s="53">
        <f t="shared" si="4"/>
        <v>314010.10377367807</v>
      </c>
    </row>
    <row r="10" spans="1:43">
      <c r="A10" s="1">
        <v>5102</v>
      </c>
      <c r="B10" s="1" t="s">
        <v>210</v>
      </c>
      <c r="C10" s="136"/>
      <c r="D10" s="49">
        <f t="shared" si="5"/>
        <v>0</v>
      </c>
      <c r="E10" s="136"/>
      <c r="F10" s="49">
        <f t="shared" si="6"/>
        <v>0</v>
      </c>
      <c r="G10" s="136"/>
      <c r="H10" s="49">
        <f t="shared" si="7"/>
        <v>0</v>
      </c>
      <c r="I10" s="136"/>
      <c r="J10" s="49">
        <f>I10/I$5</f>
        <v>0</v>
      </c>
      <c r="K10" s="43"/>
      <c r="L10" s="49">
        <f t="shared" si="8"/>
        <v>0</v>
      </c>
      <c r="M10" s="18"/>
      <c r="N10" s="49">
        <f t="shared" si="9"/>
        <v>0</v>
      </c>
      <c r="O10" s="18"/>
      <c r="P10" s="49">
        <f t="shared" si="10"/>
        <v>0</v>
      </c>
      <c r="Q10" s="18"/>
      <c r="R10" s="49">
        <f t="shared" si="11"/>
        <v>0</v>
      </c>
      <c r="S10" s="18"/>
      <c r="T10" s="49">
        <f t="shared" si="12"/>
        <v>0</v>
      </c>
      <c r="U10" s="43"/>
      <c r="V10" s="49">
        <f t="shared" si="13"/>
        <v>0</v>
      </c>
      <c r="W10" s="33"/>
      <c r="X10" s="49">
        <f t="shared" si="14"/>
        <v>0</v>
      </c>
      <c r="Y10" s="18"/>
      <c r="Z10" s="179">
        <f t="shared" si="15"/>
        <v>0</v>
      </c>
      <c r="AA10" s="286">
        <f t="shared" si="1"/>
        <v>0</v>
      </c>
      <c r="AB10" s="214">
        <f t="shared" si="16"/>
        <v>0</v>
      </c>
      <c r="AC10" s="215">
        <f t="shared" si="2"/>
        <v>0</v>
      </c>
      <c r="AD10" s="214">
        <f t="shared" si="17"/>
        <v>0</v>
      </c>
      <c r="AE10" s="75"/>
      <c r="AF10" s="169"/>
      <c r="AG10" s="75"/>
      <c r="AH10" s="53">
        <f t="shared" si="0"/>
        <v>0</v>
      </c>
      <c r="AI10" s="53">
        <f t="shared" si="3"/>
        <v>0</v>
      </c>
      <c r="AJ10" s="53"/>
      <c r="AK10" s="53"/>
      <c r="AQ10" s="53">
        <f t="shared" si="4"/>
        <v>0</v>
      </c>
    </row>
    <row r="11" spans="1:43">
      <c r="A11" s="1">
        <v>5103</v>
      </c>
      <c r="B11" s="15" t="s">
        <v>64</v>
      </c>
      <c r="C11" s="136"/>
      <c r="D11" s="49">
        <f t="shared" si="5"/>
        <v>0</v>
      </c>
      <c r="E11" s="43"/>
      <c r="F11" s="49">
        <f t="shared" si="6"/>
        <v>0</v>
      </c>
      <c r="G11" s="80"/>
      <c r="H11" s="49">
        <f t="shared" si="7"/>
        <v>0</v>
      </c>
      <c r="I11" s="18"/>
      <c r="J11" s="49">
        <f>I11/I$5</f>
        <v>0</v>
      </c>
      <c r="K11" s="43"/>
      <c r="L11" s="49">
        <f t="shared" si="8"/>
        <v>0</v>
      </c>
      <c r="M11" s="18"/>
      <c r="N11" s="49">
        <f t="shared" si="9"/>
        <v>0</v>
      </c>
      <c r="O11" s="18"/>
      <c r="P11" s="49">
        <f t="shared" si="10"/>
        <v>0</v>
      </c>
      <c r="Q11" s="18"/>
      <c r="R11" s="49">
        <f t="shared" si="11"/>
        <v>0</v>
      </c>
      <c r="S11" s="18"/>
      <c r="T11" s="49">
        <f t="shared" si="12"/>
        <v>0</v>
      </c>
      <c r="U11" s="43"/>
      <c r="V11" s="49">
        <f t="shared" si="13"/>
        <v>0</v>
      </c>
      <c r="W11" s="33"/>
      <c r="X11" s="49">
        <f t="shared" si="14"/>
        <v>0</v>
      </c>
      <c r="Y11" s="43"/>
      <c r="Z11" s="179">
        <f t="shared" si="15"/>
        <v>0</v>
      </c>
      <c r="AA11" s="286">
        <f t="shared" si="1"/>
        <v>0</v>
      </c>
      <c r="AB11" s="214">
        <f t="shared" si="16"/>
        <v>0</v>
      </c>
      <c r="AC11" s="215">
        <f t="shared" si="2"/>
        <v>0</v>
      </c>
      <c r="AD11" s="214">
        <f t="shared" si="17"/>
        <v>0</v>
      </c>
      <c r="AE11" s="75"/>
      <c r="AF11" s="169"/>
      <c r="AG11" s="75"/>
      <c r="AH11" s="53">
        <f t="shared" si="0"/>
        <v>0</v>
      </c>
      <c r="AI11" s="53">
        <f t="shared" si="3"/>
        <v>0</v>
      </c>
      <c r="AJ11" s="53">
        <f t="shared" ref="AJ11:AJ42" si="18">G11*9.4+I11*9.4+K11*9.4+M11*9.4+O11*9.4+Q11*9.4+S11*9.4+U11*9.4+W11*9.4+Y11*9.4</f>
        <v>0</v>
      </c>
      <c r="AK11" s="53"/>
      <c r="AQ11" s="53">
        <f t="shared" si="4"/>
        <v>0</v>
      </c>
    </row>
    <row r="12" spans="1:43" ht="15.75" thickBot="1">
      <c r="A12" s="6">
        <v>5149</v>
      </c>
      <c r="B12" s="120" t="s">
        <v>67</v>
      </c>
      <c r="C12" s="55">
        <f>C5+C6-C7-C8-C9-C10+C11</f>
        <v>122279</v>
      </c>
      <c r="D12" s="88">
        <v>1</v>
      </c>
      <c r="E12" s="55">
        <f>E5+E6-E7-E8-E9-E10+E11</f>
        <v>95133.267378900506</v>
      </c>
      <c r="F12" s="88">
        <v>1</v>
      </c>
      <c r="G12" s="55">
        <f>G5+G6-G7-G8-G9-G10+G11</f>
        <v>157804.932442433</v>
      </c>
      <c r="H12" s="88">
        <v>1</v>
      </c>
      <c r="I12" s="55">
        <f>I5+I6-I7-I8-I9-I10+I11</f>
        <v>139340.850509018</v>
      </c>
      <c r="J12" s="88">
        <v>1</v>
      </c>
      <c r="K12" s="55">
        <f>K5+K6-K7-K8-K9-K10+K11</f>
        <v>127441.402564905</v>
      </c>
      <c r="L12" s="88">
        <v>1</v>
      </c>
      <c r="M12" s="55">
        <f>M5+M6-M7-M8-M9-M10+M11</f>
        <v>180710.144382656</v>
      </c>
      <c r="N12" s="88">
        <v>1</v>
      </c>
      <c r="O12" s="55">
        <f>O5+O6-O7-O8-O9-O10+O11</f>
        <v>114409.493677177</v>
      </c>
      <c r="P12" s="88">
        <v>1</v>
      </c>
      <c r="Q12" s="55">
        <f>Q5+Q6-Q7-Q8-Q9-Q10+Q11</f>
        <v>142066.73472998099</v>
      </c>
      <c r="R12" s="88">
        <v>1</v>
      </c>
      <c r="S12" s="55">
        <f>S5+S6-S7-S8-S9-S10+S11</f>
        <v>143115.08434508601</v>
      </c>
      <c r="T12" s="88">
        <v>1</v>
      </c>
      <c r="U12" s="55">
        <f>U5+U6-U7-U8-U9-U10+U11</f>
        <v>113519.81933896498</v>
      </c>
      <c r="V12" s="88">
        <v>1</v>
      </c>
      <c r="W12" s="55">
        <f>W5+W6-W7-W8-W9-W10+W11</f>
        <v>115499.778596358</v>
      </c>
      <c r="X12" s="88">
        <v>1</v>
      </c>
      <c r="Y12" s="55">
        <f>Y5+Y6-Y7-Y8-Y9-Y10+Y11</f>
        <v>174481.29773362799</v>
      </c>
      <c r="Z12" s="220">
        <v>1</v>
      </c>
      <c r="AA12" s="211">
        <f>AA5+AA6-AA7-AA8-AA9-AA10+AA11</f>
        <v>1625801.8056991075</v>
      </c>
      <c r="AB12" s="239">
        <v>1</v>
      </c>
      <c r="AC12" s="210">
        <f t="shared" si="2"/>
        <v>135483.48380825896</v>
      </c>
      <c r="AD12" s="239">
        <v>1</v>
      </c>
      <c r="AE12" s="169" t="s">
        <v>163</v>
      </c>
      <c r="AF12" s="169"/>
      <c r="AG12" s="75" t="s">
        <v>197</v>
      </c>
      <c r="AH12" s="53">
        <f t="shared" si="0"/>
        <v>0</v>
      </c>
      <c r="AI12" s="53">
        <f t="shared" si="3"/>
        <v>1625801.8056991072</v>
      </c>
      <c r="AJ12" s="53">
        <f t="shared" si="18"/>
        <v>13238861.660209944</v>
      </c>
      <c r="AK12" s="53"/>
      <c r="AQ12" s="53">
        <f t="shared" si="4"/>
        <v>1365261.3207551173</v>
      </c>
    </row>
    <row r="13" spans="1:43" ht="15.75" thickTop="1">
      <c r="A13" s="1">
        <v>5151</v>
      </c>
      <c r="B13" s="15" t="s">
        <v>48</v>
      </c>
      <c r="C13" s="136"/>
      <c r="D13" s="70"/>
      <c r="E13" s="43"/>
      <c r="F13" s="70"/>
      <c r="G13" s="80"/>
      <c r="H13" s="70"/>
      <c r="I13" s="18"/>
      <c r="J13" s="70"/>
      <c r="K13" s="43"/>
      <c r="L13" s="70"/>
      <c r="M13" s="18"/>
      <c r="N13" s="70"/>
      <c r="O13" s="18"/>
      <c r="P13" s="70"/>
      <c r="Q13" s="18"/>
      <c r="R13" s="70"/>
      <c r="S13" s="18"/>
      <c r="T13" s="70"/>
      <c r="U13" s="43"/>
      <c r="V13" s="70"/>
      <c r="W13" s="33"/>
      <c r="X13" s="70"/>
      <c r="Y13" s="43"/>
      <c r="AA13" s="286">
        <f>C13+E13+G13+I13+K13+M13+O13+Q13+S13+U13+W13+Y13</f>
        <v>0</v>
      </c>
      <c r="AB13" s="213"/>
      <c r="AC13" s="205">
        <f t="shared" si="2"/>
        <v>0</v>
      </c>
      <c r="AD13" s="213"/>
      <c r="AE13" s="75"/>
      <c r="AF13" s="169"/>
      <c r="AG13" s="75"/>
      <c r="AH13" s="53">
        <f t="shared" si="0"/>
        <v>0</v>
      </c>
      <c r="AI13" s="53">
        <f t="shared" si="3"/>
        <v>0</v>
      </c>
      <c r="AJ13" s="53">
        <f t="shared" si="18"/>
        <v>0</v>
      </c>
      <c r="AK13" s="53"/>
      <c r="AQ13" s="53">
        <f t="shared" si="4"/>
        <v>0</v>
      </c>
    </row>
    <row r="14" spans="1:43">
      <c r="A14" s="1">
        <v>5152</v>
      </c>
      <c r="B14" s="15" t="s">
        <v>49</v>
      </c>
      <c r="C14" s="136"/>
      <c r="D14" s="70"/>
      <c r="E14" s="43"/>
      <c r="F14" s="70"/>
      <c r="G14" s="80"/>
      <c r="H14" s="70"/>
      <c r="I14" s="18"/>
      <c r="J14" s="70"/>
      <c r="K14" s="43"/>
      <c r="L14" s="70"/>
      <c r="M14" s="18"/>
      <c r="N14" s="70"/>
      <c r="O14" s="18"/>
      <c r="P14" s="70"/>
      <c r="Q14" s="18"/>
      <c r="R14" s="70"/>
      <c r="S14" s="18"/>
      <c r="T14" s="70"/>
      <c r="U14" s="43"/>
      <c r="V14" s="70"/>
      <c r="W14" s="33"/>
      <c r="X14" s="70"/>
      <c r="Y14" s="43"/>
      <c r="AA14" s="286">
        <f>C14+E14+G14+I14+K14+M14+O14+Q14+S14+U14+W14+Y14</f>
        <v>0</v>
      </c>
      <c r="AB14" s="213"/>
      <c r="AC14" s="205">
        <f t="shared" si="2"/>
        <v>0</v>
      </c>
      <c r="AD14" s="213"/>
      <c r="AE14" s="75"/>
      <c r="AF14" s="169"/>
      <c r="AG14" s="75"/>
      <c r="AH14" s="53">
        <f t="shared" si="0"/>
        <v>0</v>
      </c>
      <c r="AI14" s="53">
        <f t="shared" si="3"/>
        <v>0</v>
      </c>
      <c r="AJ14" s="53">
        <f t="shared" si="18"/>
        <v>0</v>
      </c>
      <c r="AK14" s="53"/>
      <c r="AQ14" s="53">
        <f t="shared" si="4"/>
        <v>0</v>
      </c>
    </row>
    <row r="15" spans="1:43" ht="15.75" thickBot="1">
      <c r="A15" s="35">
        <v>5198</v>
      </c>
      <c r="B15" s="121" t="s">
        <v>93</v>
      </c>
      <c r="C15" s="138">
        <f>C13+C14</f>
        <v>0</v>
      </c>
      <c r="D15" s="71"/>
      <c r="E15" s="56">
        <f>E13+E14</f>
        <v>0</v>
      </c>
      <c r="F15" s="71"/>
      <c r="G15" s="83">
        <f>G13+G14</f>
        <v>0</v>
      </c>
      <c r="H15" s="71"/>
      <c r="I15" s="132">
        <f>I13+I14</f>
        <v>0</v>
      </c>
      <c r="J15" s="71"/>
      <c r="K15" s="56">
        <f>K13+K14</f>
        <v>0</v>
      </c>
      <c r="L15" s="71"/>
      <c r="M15" s="132">
        <f>M13+M14</f>
        <v>0</v>
      </c>
      <c r="N15" s="71"/>
      <c r="O15" s="132">
        <f>O13+O14</f>
        <v>0</v>
      </c>
      <c r="P15" s="71"/>
      <c r="Q15" s="132">
        <f>Q13+Q14</f>
        <v>0</v>
      </c>
      <c r="R15" s="71"/>
      <c r="S15" s="132">
        <f>S13+S14</f>
        <v>0</v>
      </c>
      <c r="T15" s="71"/>
      <c r="U15" s="56">
        <f>U13+U14</f>
        <v>0</v>
      </c>
      <c r="V15" s="71"/>
      <c r="W15" s="36">
        <f>W13+W14</f>
        <v>0</v>
      </c>
      <c r="X15" s="71"/>
      <c r="Y15" s="56">
        <f>Y13+Y14</f>
        <v>0</v>
      </c>
      <c r="Z15" s="221"/>
      <c r="AA15" s="287">
        <f>AA13+AA14</f>
        <v>0</v>
      </c>
      <c r="AB15" s="241"/>
      <c r="AC15" s="242">
        <f t="shared" si="2"/>
        <v>0</v>
      </c>
      <c r="AD15" s="241"/>
      <c r="AE15" s="75"/>
      <c r="AF15" s="169"/>
      <c r="AG15" s="75"/>
      <c r="AH15" s="53">
        <f t="shared" si="0"/>
        <v>0</v>
      </c>
      <c r="AI15" s="53">
        <f t="shared" si="3"/>
        <v>0</v>
      </c>
      <c r="AJ15" s="53">
        <f t="shared" si="18"/>
        <v>0</v>
      </c>
      <c r="AK15" s="53"/>
      <c r="AQ15" s="53">
        <f t="shared" si="4"/>
        <v>0</v>
      </c>
    </row>
    <row r="16" spans="1:43" ht="16.5" thickTop="1" thickBot="1">
      <c r="A16" s="37">
        <v>5199</v>
      </c>
      <c r="B16" s="122" t="s">
        <v>71</v>
      </c>
      <c r="C16" s="139">
        <f>C12+C15</f>
        <v>122279</v>
      </c>
      <c r="D16" s="39">
        <f>C16/C12</f>
        <v>1</v>
      </c>
      <c r="E16" s="57">
        <f>E12+E15</f>
        <v>95133.267378900506</v>
      </c>
      <c r="F16" s="39">
        <f>E16/E12</f>
        <v>1</v>
      </c>
      <c r="G16" s="84">
        <f>G12+G15</f>
        <v>157804.932442433</v>
      </c>
      <c r="H16" s="39">
        <f>G16/G12</f>
        <v>1</v>
      </c>
      <c r="I16" s="133">
        <f>I12+I15</f>
        <v>139340.850509018</v>
      </c>
      <c r="J16" s="39">
        <f>I16/I12</f>
        <v>1</v>
      </c>
      <c r="K16" s="57">
        <f>K12+K15</f>
        <v>127441.402564905</v>
      </c>
      <c r="L16" s="39">
        <f>K16/K12</f>
        <v>1</v>
      </c>
      <c r="M16" s="133">
        <f>M12+M15</f>
        <v>180710.144382656</v>
      </c>
      <c r="N16" s="39">
        <f>M16/M12</f>
        <v>1</v>
      </c>
      <c r="O16" s="133">
        <f>O12+O15</f>
        <v>114409.493677177</v>
      </c>
      <c r="P16" s="39">
        <f>O16/O12</f>
        <v>1</v>
      </c>
      <c r="Q16" s="133">
        <f>Q12+Q15</f>
        <v>142066.73472998099</v>
      </c>
      <c r="R16" s="39">
        <f>Q16/Q12</f>
        <v>1</v>
      </c>
      <c r="S16" s="133">
        <f>S12+S15</f>
        <v>143115.08434508601</v>
      </c>
      <c r="T16" s="39">
        <f>S16/S12</f>
        <v>1</v>
      </c>
      <c r="U16" s="57">
        <f>U12+U15</f>
        <v>113519.81933896498</v>
      </c>
      <c r="V16" s="39">
        <f>U16/U12</f>
        <v>1</v>
      </c>
      <c r="W16" s="38">
        <f>W12+W15</f>
        <v>115499.778596358</v>
      </c>
      <c r="X16" s="39">
        <f>W16/W12</f>
        <v>1</v>
      </c>
      <c r="Y16" s="57">
        <f>Y12+Y15</f>
        <v>174481.29773362799</v>
      </c>
      <c r="Z16" s="222">
        <f>Y16/Y12</f>
        <v>1</v>
      </c>
      <c r="AA16" s="288">
        <f>AA12+AA15</f>
        <v>1625801.8056991075</v>
      </c>
      <c r="AB16" s="244">
        <f>AA16/AA12</f>
        <v>1</v>
      </c>
      <c r="AC16" s="243">
        <f t="shared" si="2"/>
        <v>135483.48380825896</v>
      </c>
      <c r="AD16" s="244">
        <f>AC16/AC12</f>
        <v>1</v>
      </c>
      <c r="AE16" s="75"/>
      <c r="AF16" s="169"/>
      <c r="AG16" s="75"/>
      <c r="AH16" s="53">
        <f t="shared" si="0"/>
        <v>0</v>
      </c>
      <c r="AI16" s="53">
        <f t="shared" si="3"/>
        <v>1625801.8056991072</v>
      </c>
      <c r="AJ16" s="53">
        <f t="shared" si="18"/>
        <v>13238861.660209944</v>
      </c>
      <c r="AK16" s="53" t="s">
        <v>221</v>
      </c>
      <c r="AL16" s="63" t="s">
        <v>221</v>
      </c>
      <c r="AQ16" s="53">
        <f t="shared" si="4"/>
        <v>1365261.3207551173</v>
      </c>
    </row>
    <row r="17" spans="1:43" ht="15.75" thickTop="1">
      <c r="A17" s="12">
        <v>5502</v>
      </c>
      <c r="B17" s="14" t="s">
        <v>50</v>
      </c>
      <c r="C17" s="136">
        <f>C12*52.41%</f>
        <v>64086.423900000002</v>
      </c>
      <c r="D17" s="49">
        <f>C17/C12</f>
        <v>0.52410000000000001</v>
      </c>
      <c r="E17" s="136">
        <f>E12*47.51%</f>
        <v>45197.815331715625</v>
      </c>
      <c r="F17" s="49">
        <f>E17/E12</f>
        <v>0.47509999999999997</v>
      </c>
      <c r="G17" s="136">
        <f>G12*52.41%</f>
        <v>82705.565093079131</v>
      </c>
      <c r="H17" s="49">
        <f>G17/G12</f>
        <v>0.52410000000000001</v>
      </c>
      <c r="I17" s="136">
        <f>I12*45.64%</f>
        <v>63595.164172315817</v>
      </c>
      <c r="J17" s="49">
        <f>I17/I12</f>
        <v>0.45640000000000003</v>
      </c>
      <c r="K17" s="136">
        <f>K12*40.7%</f>
        <v>51868.650843916337</v>
      </c>
      <c r="L17" s="49">
        <f>K17/K12</f>
        <v>0.40700000000000003</v>
      </c>
      <c r="M17" s="136">
        <f>M12*55.55%</f>
        <v>100384.48520456541</v>
      </c>
      <c r="N17" s="49">
        <f>M17/M12</f>
        <v>0.55549999999999999</v>
      </c>
      <c r="O17" s="136">
        <f>O12*49.81%</f>
        <v>56987.368800601871</v>
      </c>
      <c r="P17" s="49">
        <f>O17/O12</f>
        <v>0.49810000000000004</v>
      </c>
      <c r="Q17" s="136">
        <f>Q12*47%</f>
        <v>66771.365323091057</v>
      </c>
      <c r="R17" s="49">
        <f>Q17/Q12</f>
        <v>0.46999999999999992</v>
      </c>
      <c r="S17" s="136">
        <f>S12*55%</f>
        <v>78713.29638979731</v>
      </c>
      <c r="T17" s="49">
        <f>S17/S12</f>
        <v>0.55000000000000004</v>
      </c>
      <c r="U17" s="136">
        <f>U12*52.2%</f>
        <v>59257.345694939722</v>
      </c>
      <c r="V17" s="49">
        <f>U17/U12</f>
        <v>0.52200000000000002</v>
      </c>
      <c r="W17" s="136">
        <f>W12*41.56%</f>
        <v>48001.707984646389</v>
      </c>
      <c r="X17" s="49">
        <f>W17/W12</f>
        <v>0.41560000000000008</v>
      </c>
      <c r="Y17" s="136">
        <f>Y12*52.14%</f>
        <v>90974.54863831363</v>
      </c>
      <c r="Z17" s="49">
        <f>Y17/Y12</f>
        <v>0.52139999999999997</v>
      </c>
      <c r="AA17" s="286">
        <f>C17+E17+G17+I17+K17+M17+O17+Q17+S17+U17+W17+Y17</f>
        <v>808543.73737698235</v>
      </c>
      <c r="AB17" s="214">
        <f>AA17/AA12</f>
        <v>0.49731998976917252</v>
      </c>
      <c r="AC17" s="216">
        <f t="shared" si="2"/>
        <v>67378.644781415191</v>
      </c>
      <c r="AD17" s="214">
        <f>AC17/AC12</f>
        <v>0.49731998976917247</v>
      </c>
      <c r="AE17" s="75" t="s">
        <v>164</v>
      </c>
      <c r="AF17" s="171">
        <v>0.50339999999999996</v>
      </c>
      <c r="AG17" s="75" t="s">
        <v>197</v>
      </c>
      <c r="AH17" s="53">
        <f t="shared" si="0"/>
        <v>0</v>
      </c>
      <c r="AI17" s="53">
        <f t="shared" si="3"/>
        <v>808543.73737698235</v>
      </c>
      <c r="AJ17" s="53">
        <f t="shared" si="18"/>
        <v>6573039.2825655071</v>
      </c>
      <c r="AK17" s="53"/>
      <c r="AQ17" s="53">
        <f t="shared" si="4"/>
        <v>641672.820754905</v>
      </c>
    </row>
    <row r="18" spans="1:43">
      <c r="A18" s="3">
        <v>5503</v>
      </c>
      <c r="B18" s="116" t="s">
        <v>51</v>
      </c>
      <c r="C18" s="136"/>
      <c r="D18" s="70"/>
      <c r="E18" s="43"/>
      <c r="F18" s="70"/>
      <c r="G18" s="80"/>
      <c r="H18" s="70"/>
      <c r="I18" s="18"/>
      <c r="J18" s="70"/>
      <c r="K18" s="43"/>
      <c r="L18" s="70"/>
      <c r="M18" s="18"/>
      <c r="N18" s="70"/>
      <c r="O18" s="18"/>
      <c r="P18" s="70"/>
      <c r="Q18" s="18"/>
      <c r="R18" s="70"/>
      <c r="S18" s="18"/>
      <c r="T18" s="70"/>
      <c r="U18" s="43"/>
      <c r="V18" s="70"/>
      <c r="W18" s="33"/>
      <c r="X18" s="70"/>
      <c r="Y18" s="43"/>
      <c r="AA18" s="286">
        <f>C18+E18+G18+I18+K18+M18+O18+Q18+S18+U18+W18+Y18</f>
        <v>0</v>
      </c>
      <c r="AB18" s="213"/>
      <c r="AC18" s="205">
        <f t="shared" si="2"/>
        <v>0</v>
      </c>
      <c r="AD18" s="213"/>
      <c r="AE18" s="75"/>
      <c r="AF18" s="169"/>
      <c r="AG18" s="75"/>
      <c r="AH18" s="53">
        <f t="shared" si="0"/>
        <v>0</v>
      </c>
      <c r="AI18" s="53">
        <f t="shared" si="3"/>
        <v>0</v>
      </c>
      <c r="AJ18" s="53">
        <f t="shared" si="18"/>
        <v>0</v>
      </c>
      <c r="AK18" s="53"/>
      <c r="AQ18" s="53">
        <f t="shared" si="4"/>
        <v>0</v>
      </c>
    </row>
    <row r="19" spans="1:43">
      <c r="A19" s="3">
        <v>5504</v>
      </c>
      <c r="B19" s="116" t="s">
        <v>52</v>
      </c>
      <c r="C19" s="136"/>
      <c r="D19" s="49">
        <f>C19/C12</f>
        <v>0</v>
      </c>
      <c r="E19" s="43"/>
      <c r="F19" s="49">
        <f>E19/E12</f>
        <v>0</v>
      </c>
      <c r="G19" s="80"/>
      <c r="H19" s="49">
        <f>G19/G12</f>
        <v>0</v>
      </c>
      <c r="I19" s="18"/>
      <c r="J19" s="49">
        <f>I19/I12</f>
        <v>0</v>
      </c>
      <c r="K19" s="43"/>
      <c r="L19" s="49">
        <f>K19/K12</f>
        <v>0</v>
      </c>
      <c r="M19" s="408"/>
      <c r="N19" s="49">
        <f>M19/M12</f>
        <v>0</v>
      </c>
      <c r="O19" s="18"/>
      <c r="P19" s="49">
        <f>O19/O12</f>
        <v>0</v>
      </c>
      <c r="Q19" s="314"/>
      <c r="R19" s="49">
        <f>Q19/Q12</f>
        <v>0</v>
      </c>
      <c r="S19" s="18"/>
      <c r="T19" s="49">
        <f>S19/S12</f>
        <v>0</v>
      </c>
      <c r="U19" s="43"/>
      <c r="V19" s="49">
        <f>U19/U12</f>
        <v>0</v>
      </c>
      <c r="W19" s="33"/>
      <c r="X19" s="49">
        <f>W19/W12</f>
        <v>0</v>
      </c>
      <c r="Y19" s="43"/>
      <c r="Z19" s="179">
        <f>Y19/Y12</f>
        <v>0</v>
      </c>
      <c r="AA19" s="286">
        <f>C19+E19+G19+I19+K19+M19+O19+Q19+S19+U19+W19+Y19</f>
        <v>0</v>
      </c>
      <c r="AB19" s="214">
        <f>AA19/AA12</f>
        <v>0</v>
      </c>
      <c r="AC19" s="205">
        <f t="shared" si="2"/>
        <v>0</v>
      </c>
      <c r="AD19" s="214">
        <f>AC19/AC12</f>
        <v>0</v>
      </c>
      <c r="AE19" s="75"/>
      <c r="AF19" s="169"/>
      <c r="AG19" s="75"/>
      <c r="AH19" s="53">
        <f t="shared" si="0"/>
        <v>0</v>
      </c>
      <c r="AI19" s="53">
        <f t="shared" si="3"/>
        <v>0</v>
      </c>
      <c r="AJ19" s="53">
        <f t="shared" si="18"/>
        <v>0</v>
      </c>
      <c r="AK19" s="53"/>
      <c r="AQ19" s="53">
        <f t="shared" si="4"/>
        <v>0</v>
      </c>
    </row>
    <row r="20" spans="1:43">
      <c r="A20" s="3">
        <v>5505</v>
      </c>
      <c r="B20" s="116" t="s">
        <v>53</v>
      </c>
      <c r="C20" s="136"/>
      <c r="D20" s="70"/>
      <c r="E20" s="43"/>
      <c r="F20" s="70"/>
      <c r="G20" s="80"/>
      <c r="H20" s="70"/>
      <c r="I20" s="18"/>
      <c r="J20" s="70"/>
      <c r="K20" s="43"/>
      <c r="L20" s="70"/>
      <c r="M20" s="18"/>
      <c r="N20" s="70"/>
      <c r="O20" s="18"/>
      <c r="P20" s="70"/>
      <c r="Q20" s="18"/>
      <c r="R20" s="70"/>
      <c r="S20" s="18"/>
      <c r="T20" s="70"/>
      <c r="U20" s="43"/>
      <c r="V20" s="70"/>
      <c r="W20" s="33"/>
      <c r="X20" s="70"/>
      <c r="Y20" s="43"/>
      <c r="AA20" s="286">
        <f>C20+E20+G20+I20+K20+M20+O20+Q20+S20+U20+W20+Y20</f>
        <v>0</v>
      </c>
      <c r="AB20" s="213"/>
      <c r="AC20" s="205">
        <f t="shared" si="2"/>
        <v>0</v>
      </c>
      <c r="AD20" s="213"/>
      <c r="AE20" s="75"/>
      <c r="AF20" s="169"/>
      <c r="AG20" s="75"/>
      <c r="AH20" s="53">
        <f t="shared" si="0"/>
        <v>0</v>
      </c>
      <c r="AI20" s="53">
        <f t="shared" si="3"/>
        <v>0</v>
      </c>
      <c r="AJ20" s="53">
        <f t="shared" si="18"/>
        <v>0</v>
      </c>
      <c r="AK20" s="53"/>
      <c r="AQ20" s="53">
        <f t="shared" si="4"/>
        <v>0</v>
      </c>
    </row>
    <row r="21" spans="1:43" ht="15.75" thickBot="1">
      <c r="A21" s="7">
        <v>5599</v>
      </c>
      <c r="B21" s="123" t="s">
        <v>94</v>
      </c>
      <c r="C21" s="27">
        <f>SUM(C17:C20)</f>
        <v>64086.423900000002</v>
      </c>
      <c r="D21" s="68">
        <f>C21/C12</f>
        <v>0.52410000000000001</v>
      </c>
      <c r="E21" s="55">
        <f>SUM(E17:E20)</f>
        <v>45197.815331715625</v>
      </c>
      <c r="F21" s="68">
        <f>E21/E12</f>
        <v>0.47509999999999997</v>
      </c>
      <c r="G21" s="82">
        <f>SUM(G17:G20)</f>
        <v>82705.565093079131</v>
      </c>
      <c r="H21" s="68">
        <f>G21/G12</f>
        <v>0.52410000000000001</v>
      </c>
      <c r="I21" s="20">
        <f>SUM(I17:I20)</f>
        <v>63595.164172315817</v>
      </c>
      <c r="J21" s="68">
        <f>I21/I12</f>
        <v>0.45640000000000003</v>
      </c>
      <c r="K21" s="55">
        <f>SUM(K17:K20)</f>
        <v>51868.650843916337</v>
      </c>
      <c r="L21" s="68">
        <f>K21/K12</f>
        <v>0.40700000000000003</v>
      </c>
      <c r="M21" s="20">
        <f>SUM(M17:M20)</f>
        <v>100384.48520456541</v>
      </c>
      <c r="N21" s="68">
        <f>M21/M12</f>
        <v>0.55549999999999999</v>
      </c>
      <c r="O21" s="20">
        <f>SUM(O17:O20)</f>
        <v>56987.368800601871</v>
      </c>
      <c r="P21" s="68">
        <f>O21/O12</f>
        <v>0.49810000000000004</v>
      </c>
      <c r="Q21" s="20">
        <f>SUM(Q17:Q20)</f>
        <v>66771.365323091057</v>
      </c>
      <c r="R21" s="68">
        <f>Q21/Q12</f>
        <v>0.46999999999999992</v>
      </c>
      <c r="S21" s="20">
        <f>SUM(S17:S20)</f>
        <v>78713.29638979731</v>
      </c>
      <c r="T21" s="68">
        <f>S21/S12</f>
        <v>0.55000000000000004</v>
      </c>
      <c r="U21" s="55">
        <f>SUM(U17:U20)</f>
        <v>59257.345694939722</v>
      </c>
      <c r="V21" s="68">
        <f>U21/U12</f>
        <v>0.52200000000000002</v>
      </c>
      <c r="W21" s="34">
        <f>SUM(W17:W20)</f>
        <v>48001.707984646389</v>
      </c>
      <c r="X21" s="68">
        <f>W21/W12</f>
        <v>0.41560000000000008</v>
      </c>
      <c r="Y21" s="55">
        <f>SUM(Y17:Y20)</f>
        <v>90974.54863831363</v>
      </c>
      <c r="Z21" s="223">
        <f>Y21/Y12</f>
        <v>0.52139999999999997</v>
      </c>
      <c r="AA21" s="211">
        <f>SUM(AA17:AA20)</f>
        <v>808543.73737698235</v>
      </c>
      <c r="AB21" s="245">
        <f>AA21/AA12</f>
        <v>0.49731998976917252</v>
      </c>
      <c r="AC21" s="210">
        <f t="shared" si="2"/>
        <v>67378.644781415191</v>
      </c>
      <c r="AD21" s="245">
        <f>AC21/AC12</f>
        <v>0.49731998976917247</v>
      </c>
      <c r="AE21" s="75"/>
      <c r="AF21" s="169"/>
      <c r="AG21" s="75"/>
      <c r="AH21" s="53">
        <f t="shared" si="0"/>
        <v>0</v>
      </c>
      <c r="AI21" s="53">
        <f t="shared" si="3"/>
        <v>808543.73737698235</v>
      </c>
      <c r="AJ21" s="53">
        <f t="shared" si="18"/>
        <v>6573039.2825655071</v>
      </c>
      <c r="AK21" s="53"/>
      <c r="AQ21" s="53">
        <f t="shared" si="4"/>
        <v>641672.820754905</v>
      </c>
    </row>
    <row r="22" spans="1:43" ht="15.75" thickTop="1">
      <c r="A22" s="98">
        <v>5601</v>
      </c>
      <c r="B22" s="3" t="s">
        <v>54</v>
      </c>
      <c r="C22" s="18"/>
      <c r="D22" s="49">
        <f>C22/C12</f>
        <v>0</v>
      </c>
      <c r="E22" s="18"/>
      <c r="F22" s="49">
        <f>E22/E12</f>
        <v>0</v>
      </c>
      <c r="G22" s="18"/>
      <c r="H22" s="49">
        <f>G22/G12</f>
        <v>0</v>
      </c>
      <c r="I22" s="18"/>
      <c r="J22" s="49">
        <f>I22/I12</f>
        <v>0</v>
      </c>
      <c r="K22" s="18"/>
      <c r="L22" s="49">
        <f>K22/K12</f>
        <v>0</v>
      </c>
      <c r="M22" s="18"/>
      <c r="N22" s="49">
        <f>M22/M12</f>
        <v>0</v>
      </c>
      <c r="O22" s="18"/>
      <c r="P22" s="49">
        <f>O22/O12</f>
        <v>0</v>
      </c>
      <c r="Q22" s="18"/>
      <c r="R22" s="49">
        <f>Q22/Q12</f>
        <v>0</v>
      </c>
      <c r="S22" s="18"/>
      <c r="T22" s="49">
        <f>S22/S12</f>
        <v>0</v>
      </c>
      <c r="U22" s="18"/>
      <c r="V22" s="49">
        <f>U22/U12</f>
        <v>0</v>
      </c>
      <c r="W22" s="18"/>
      <c r="X22" s="49">
        <f>W22/W12</f>
        <v>0</v>
      </c>
      <c r="Y22" s="18"/>
      <c r="Z22" s="179">
        <f>Y22/Y12</f>
        <v>0</v>
      </c>
      <c r="AA22" s="286">
        <f t="shared" ref="AA22:AA34" si="19">C22+E22+G22+I22+K22+M22+O22+Q22+S22+U22+W22+Y22</f>
        <v>0</v>
      </c>
      <c r="AB22" s="214">
        <f>AA22/AA12</f>
        <v>0</v>
      </c>
      <c r="AC22" s="215">
        <f t="shared" si="2"/>
        <v>0</v>
      </c>
      <c r="AD22" s="214">
        <f>AC22/AC12</f>
        <v>0</v>
      </c>
      <c r="AE22" s="75"/>
      <c r="AF22" s="169"/>
      <c r="AG22" s="75"/>
      <c r="AH22" s="53">
        <f t="shared" si="0"/>
        <v>0</v>
      </c>
      <c r="AI22" s="53">
        <f t="shared" si="3"/>
        <v>0</v>
      </c>
      <c r="AJ22" s="53">
        <f t="shared" si="18"/>
        <v>0</v>
      </c>
      <c r="AK22" s="53"/>
      <c r="AQ22" s="53">
        <f t="shared" si="4"/>
        <v>0</v>
      </c>
    </row>
    <row r="23" spans="1:43">
      <c r="A23" s="3">
        <v>5602</v>
      </c>
      <c r="B23" s="3" t="s">
        <v>55</v>
      </c>
      <c r="C23" s="18"/>
      <c r="D23" s="49">
        <f>C23/C12</f>
        <v>0</v>
      </c>
      <c r="E23" s="18"/>
      <c r="F23" s="49">
        <f>E23/E12</f>
        <v>0</v>
      </c>
      <c r="G23" s="18"/>
      <c r="H23" s="49">
        <f>G23/G12</f>
        <v>0</v>
      </c>
      <c r="I23" s="18"/>
      <c r="J23" s="49">
        <f>I23/I12</f>
        <v>0</v>
      </c>
      <c r="K23" s="18"/>
      <c r="L23" s="49">
        <f>K23/K12</f>
        <v>0</v>
      </c>
      <c r="M23" s="18"/>
      <c r="N23" s="49">
        <f>M23/M12</f>
        <v>0</v>
      </c>
      <c r="O23" s="18"/>
      <c r="P23" s="49">
        <f>O23/O12</f>
        <v>0</v>
      </c>
      <c r="Q23" s="18"/>
      <c r="R23" s="49">
        <f>Q23/Q12</f>
        <v>0</v>
      </c>
      <c r="S23" s="18"/>
      <c r="T23" s="49">
        <f>S23/S12</f>
        <v>0</v>
      </c>
      <c r="U23" s="18"/>
      <c r="V23" s="49">
        <f>U23/U12</f>
        <v>0</v>
      </c>
      <c r="W23" s="18"/>
      <c r="X23" s="49">
        <f>W23/W12</f>
        <v>0</v>
      </c>
      <c r="Y23" s="18"/>
      <c r="Z23" s="179">
        <f>Y23/Y12</f>
        <v>0</v>
      </c>
      <c r="AA23" s="286">
        <f t="shared" si="19"/>
        <v>0</v>
      </c>
      <c r="AB23" s="214">
        <f>AA23/AA12</f>
        <v>0</v>
      </c>
      <c r="AC23" s="215">
        <f t="shared" si="2"/>
        <v>0</v>
      </c>
      <c r="AD23" s="214">
        <f>AC23/AC12</f>
        <v>0</v>
      </c>
      <c r="AE23" s="75"/>
      <c r="AF23" s="169"/>
      <c r="AG23" s="75"/>
      <c r="AH23" s="53">
        <f t="shared" si="0"/>
        <v>0</v>
      </c>
      <c r="AI23" s="53">
        <f t="shared" si="3"/>
        <v>0</v>
      </c>
      <c r="AJ23" s="53">
        <f t="shared" si="18"/>
        <v>0</v>
      </c>
      <c r="AK23" s="53"/>
      <c r="AQ23" s="53">
        <f t="shared" si="4"/>
        <v>0</v>
      </c>
    </row>
    <row r="24" spans="1:43">
      <c r="A24" s="3">
        <v>5603</v>
      </c>
      <c r="B24" s="3" t="s">
        <v>56</v>
      </c>
      <c r="C24" s="18"/>
      <c r="D24" s="49">
        <f>C24/C12</f>
        <v>0</v>
      </c>
      <c r="E24" s="18"/>
      <c r="F24" s="49">
        <f>E24/E12</f>
        <v>0</v>
      </c>
      <c r="G24" s="18"/>
      <c r="H24" s="49">
        <f>G24/G12</f>
        <v>0</v>
      </c>
      <c r="I24" s="18"/>
      <c r="J24" s="49">
        <f>I24/I12</f>
        <v>0</v>
      </c>
      <c r="K24" s="18"/>
      <c r="L24" s="49">
        <f>K24/K12</f>
        <v>0</v>
      </c>
      <c r="M24" s="18"/>
      <c r="N24" s="49">
        <f>M24/M12</f>
        <v>0</v>
      </c>
      <c r="O24" s="18"/>
      <c r="P24" s="49">
        <f>O24/O12</f>
        <v>0</v>
      </c>
      <c r="Q24" s="18"/>
      <c r="R24" s="49">
        <f>Q24/Q12</f>
        <v>0</v>
      </c>
      <c r="S24" s="18"/>
      <c r="T24" s="49">
        <f>S24/S12</f>
        <v>0</v>
      </c>
      <c r="U24" s="18"/>
      <c r="V24" s="49">
        <f>U24/U12</f>
        <v>0</v>
      </c>
      <c r="W24" s="18"/>
      <c r="X24" s="49">
        <f>W24/W12</f>
        <v>0</v>
      </c>
      <c r="Y24" s="18"/>
      <c r="Z24" s="179">
        <f>Y24/Y12</f>
        <v>0</v>
      </c>
      <c r="AA24" s="286">
        <f t="shared" si="19"/>
        <v>0</v>
      </c>
      <c r="AB24" s="214">
        <f>AA24/AA12</f>
        <v>0</v>
      </c>
      <c r="AC24" s="215">
        <f t="shared" si="2"/>
        <v>0</v>
      </c>
      <c r="AD24" s="214">
        <f>AC24/AC12</f>
        <v>0</v>
      </c>
      <c r="AE24" s="75"/>
      <c r="AF24" s="169"/>
      <c r="AG24" s="75"/>
      <c r="AH24" s="53">
        <f t="shared" si="0"/>
        <v>0</v>
      </c>
      <c r="AI24" s="53">
        <f t="shared" si="3"/>
        <v>0</v>
      </c>
      <c r="AJ24" s="53">
        <f t="shared" si="18"/>
        <v>0</v>
      </c>
      <c r="AK24" s="53"/>
      <c r="AQ24" s="53">
        <f t="shared" si="4"/>
        <v>0</v>
      </c>
    </row>
    <row r="25" spans="1:43">
      <c r="A25" s="3">
        <v>5604</v>
      </c>
      <c r="B25" s="3" t="s">
        <v>57</v>
      </c>
      <c r="C25" s="18">
        <v>25</v>
      </c>
      <c r="D25" s="49">
        <f>C25/C12</f>
        <v>2.0445047800521758E-4</v>
      </c>
      <c r="E25" s="18">
        <v>25</v>
      </c>
      <c r="F25" s="49">
        <f>E25/E12</f>
        <v>2.627892501623961E-4</v>
      </c>
      <c r="G25" s="18">
        <v>25</v>
      </c>
      <c r="H25" s="49">
        <f>G25/G12</f>
        <v>1.5842343843795861E-4</v>
      </c>
      <c r="I25" s="18">
        <v>25</v>
      </c>
      <c r="J25" s="49">
        <f>I25/I12</f>
        <v>1.7941615763556736E-4</v>
      </c>
      <c r="K25" s="18">
        <v>25</v>
      </c>
      <c r="L25" s="49">
        <f>K25/K12</f>
        <v>1.9616858804788874E-4</v>
      </c>
      <c r="M25" s="18">
        <v>25</v>
      </c>
      <c r="N25" s="49">
        <f>M25/M12</f>
        <v>1.3834309128248044E-4</v>
      </c>
      <c r="O25" s="18">
        <v>25</v>
      </c>
      <c r="P25" s="49">
        <f>O25/O12</f>
        <v>2.1851333483339356E-4</v>
      </c>
      <c r="Q25" s="18">
        <v>25</v>
      </c>
      <c r="R25" s="49">
        <f>Q25/Q12</f>
        <v>1.759736369496788E-4</v>
      </c>
      <c r="S25" s="18">
        <v>25</v>
      </c>
      <c r="T25" s="49">
        <f>S25/S12</f>
        <v>1.7468459117641848E-4</v>
      </c>
      <c r="U25" s="18">
        <v>25</v>
      </c>
      <c r="V25" s="49">
        <f>U25/U12</f>
        <v>2.2022586140091666E-4</v>
      </c>
      <c r="W25" s="18">
        <v>25</v>
      </c>
      <c r="X25" s="49">
        <f>W25/W12</f>
        <v>2.164506313676026E-4</v>
      </c>
      <c r="Y25" s="18">
        <v>25</v>
      </c>
      <c r="Z25" s="179">
        <f>Y25/Y12</f>
        <v>1.4328183206297715E-4</v>
      </c>
      <c r="AA25" s="286">
        <f t="shared" si="19"/>
        <v>300</v>
      </c>
      <c r="AB25" s="214">
        <f>AA25/AA12</f>
        <v>1.8452433682160764E-4</v>
      </c>
      <c r="AC25" s="215">
        <f t="shared" si="2"/>
        <v>25</v>
      </c>
      <c r="AD25" s="214">
        <f>AC25/AC12</f>
        <v>1.8452433682160764E-4</v>
      </c>
      <c r="AE25" s="75"/>
      <c r="AF25" s="169"/>
      <c r="AG25" s="75"/>
      <c r="AH25" s="53">
        <f t="shared" si="0"/>
        <v>0</v>
      </c>
      <c r="AI25" s="53">
        <f t="shared" si="3"/>
        <v>300</v>
      </c>
      <c r="AJ25" s="53">
        <f t="shared" si="18"/>
        <v>2350</v>
      </c>
      <c r="AK25" s="53" t="s">
        <v>228</v>
      </c>
      <c r="AQ25" s="53">
        <f t="shared" si="4"/>
        <v>240.25</v>
      </c>
    </row>
    <row r="26" spans="1:43">
      <c r="A26" s="3">
        <v>5605</v>
      </c>
      <c r="B26" s="3" t="s">
        <v>15</v>
      </c>
      <c r="C26" s="18"/>
      <c r="D26" s="49">
        <f>C26/C12</f>
        <v>0</v>
      </c>
      <c r="E26" s="18"/>
      <c r="F26" s="49">
        <f>E26/E12</f>
        <v>0</v>
      </c>
      <c r="G26" s="18"/>
      <c r="H26" s="49">
        <f>G26/G12</f>
        <v>0</v>
      </c>
      <c r="I26" s="18"/>
      <c r="J26" s="49">
        <f>I26/I12</f>
        <v>0</v>
      </c>
      <c r="K26" s="18"/>
      <c r="L26" s="49">
        <f>K26/K12</f>
        <v>0</v>
      </c>
      <c r="M26" s="18"/>
      <c r="N26" s="49">
        <f>M26/M12</f>
        <v>0</v>
      </c>
      <c r="O26" s="18"/>
      <c r="P26" s="49">
        <f>O26/O12</f>
        <v>0</v>
      </c>
      <c r="Q26" s="18"/>
      <c r="R26" s="49">
        <f>Q26/Q12</f>
        <v>0</v>
      </c>
      <c r="S26" s="18"/>
      <c r="T26" s="49">
        <f>S26/S12</f>
        <v>0</v>
      </c>
      <c r="U26" s="18"/>
      <c r="V26" s="49">
        <f>U26/U12</f>
        <v>0</v>
      </c>
      <c r="W26" s="18"/>
      <c r="X26" s="49">
        <f>W26/W12</f>
        <v>0</v>
      </c>
      <c r="Y26" s="18"/>
      <c r="Z26" s="179">
        <f>Y26/Y12</f>
        <v>0</v>
      </c>
      <c r="AA26" s="286">
        <f t="shared" si="19"/>
        <v>0</v>
      </c>
      <c r="AB26" s="214">
        <f>AA26/AA12</f>
        <v>0</v>
      </c>
      <c r="AC26" s="215">
        <f t="shared" si="2"/>
        <v>0</v>
      </c>
      <c r="AD26" s="214">
        <f>AC26/AC12</f>
        <v>0</v>
      </c>
      <c r="AE26" s="75"/>
      <c r="AF26" s="169"/>
      <c r="AG26" s="75"/>
      <c r="AH26" s="53">
        <f t="shared" si="0"/>
        <v>0</v>
      </c>
      <c r="AI26" s="53">
        <f t="shared" si="3"/>
        <v>0</v>
      </c>
      <c r="AJ26" s="53">
        <f t="shared" si="18"/>
        <v>0</v>
      </c>
      <c r="AK26" s="53"/>
      <c r="AQ26" s="53">
        <f t="shared" si="4"/>
        <v>0</v>
      </c>
    </row>
    <row r="27" spans="1:43">
      <c r="A27" s="3">
        <v>5606</v>
      </c>
      <c r="B27" s="3" t="s">
        <v>77</v>
      </c>
      <c r="C27" s="18">
        <f>C12*0.36%</f>
        <v>440.20439999999996</v>
      </c>
      <c r="D27" s="49">
        <f>C27/C12</f>
        <v>3.5999999999999999E-3</v>
      </c>
      <c r="E27" s="18">
        <f>E12*0.36%</f>
        <v>342.47976256404183</v>
      </c>
      <c r="F27" s="49">
        <f>E27/E12</f>
        <v>3.6000000000000003E-3</v>
      </c>
      <c r="G27" s="18">
        <f>G12*0.36%</f>
        <v>568.09775679275879</v>
      </c>
      <c r="H27" s="49">
        <f>G27/G12</f>
        <v>3.5999999999999999E-3</v>
      </c>
      <c r="I27" s="18">
        <f>I12*0.36%</f>
        <v>501.62706183246479</v>
      </c>
      <c r="J27" s="49">
        <f>I27/I12</f>
        <v>3.5999999999999999E-3</v>
      </c>
      <c r="K27" s="18">
        <f>K12*0.36%</f>
        <v>458.78904923365798</v>
      </c>
      <c r="L27" s="49">
        <f>K27/K12</f>
        <v>3.5999999999999999E-3</v>
      </c>
      <c r="M27" s="18">
        <f>M12*0.36%</f>
        <v>650.55651977756156</v>
      </c>
      <c r="N27" s="49">
        <f>M27/M12</f>
        <v>3.5999999999999999E-3</v>
      </c>
      <c r="O27" s="18">
        <f>O12*0.36%</f>
        <v>411.87417723783722</v>
      </c>
      <c r="P27" s="49">
        <f>O27/O12</f>
        <v>3.5999999999999999E-3</v>
      </c>
      <c r="Q27" s="18">
        <f>Q12*0.36%</f>
        <v>511.44024502793155</v>
      </c>
      <c r="R27" s="49">
        <f>Q27/Q12</f>
        <v>3.5999999999999999E-3</v>
      </c>
      <c r="S27" s="18">
        <f>S12*0.36%</f>
        <v>515.21430364230957</v>
      </c>
      <c r="T27" s="49">
        <f>S27/S12</f>
        <v>3.5999999999999995E-3</v>
      </c>
      <c r="U27" s="18">
        <f>U12*0.36%</f>
        <v>408.67134962027393</v>
      </c>
      <c r="V27" s="49">
        <f>U27/U12</f>
        <v>3.5999999999999999E-3</v>
      </c>
      <c r="W27" s="18">
        <f>W12*0.36%</f>
        <v>415.79920294688878</v>
      </c>
      <c r="X27" s="49">
        <f>W27/W12</f>
        <v>3.5999999999999999E-3</v>
      </c>
      <c r="Y27" s="18">
        <f>Y12*0.36%</f>
        <v>628.13267184106076</v>
      </c>
      <c r="Z27" s="179">
        <f>Y27/Y12</f>
        <v>3.5999999999999999E-3</v>
      </c>
      <c r="AA27" s="286">
        <f t="shared" si="19"/>
        <v>5852.8865005167872</v>
      </c>
      <c r="AB27" s="214">
        <f>AA27/AA12</f>
        <v>3.6000000000000003E-3</v>
      </c>
      <c r="AC27" s="215">
        <f t="shared" si="2"/>
        <v>487.74054170973227</v>
      </c>
      <c r="AD27" s="214">
        <f>AC27/AC12</f>
        <v>3.6000000000000003E-3</v>
      </c>
      <c r="AE27" s="75" t="s">
        <v>161</v>
      </c>
      <c r="AF27" s="169">
        <v>-1689</v>
      </c>
      <c r="AG27" s="75" t="s">
        <v>162</v>
      </c>
      <c r="AH27" s="53">
        <f t="shared" si="0"/>
        <v>0</v>
      </c>
      <c r="AI27" s="53">
        <f t="shared" si="3"/>
        <v>5852.8865005167872</v>
      </c>
      <c r="AJ27" s="53">
        <f t="shared" si="18"/>
        <v>47659.901976755806</v>
      </c>
      <c r="AK27" s="53" t="s">
        <v>229</v>
      </c>
      <c r="AM27" s="1">
        <v>1005.56</v>
      </c>
      <c r="AQ27" s="53">
        <f t="shared" si="4"/>
        <v>4914.9407547184219</v>
      </c>
    </row>
    <row r="28" spans="1:43">
      <c r="A28" s="3">
        <v>5607</v>
      </c>
      <c r="B28" s="116" t="s">
        <v>58</v>
      </c>
      <c r="C28" s="136"/>
      <c r="D28" s="49">
        <f>C28/C12</f>
        <v>0</v>
      </c>
      <c r="E28" s="43"/>
      <c r="F28" s="49">
        <f>E28/E12</f>
        <v>0</v>
      </c>
      <c r="G28" s="80"/>
      <c r="H28" s="49">
        <f>G28/G12</f>
        <v>0</v>
      </c>
      <c r="I28" s="18"/>
      <c r="J28" s="49">
        <f>I28/I12</f>
        <v>0</v>
      </c>
      <c r="K28" s="43"/>
      <c r="L28" s="49">
        <f>K28/K12</f>
        <v>0</v>
      </c>
      <c r="M28" s="18"/>
      <c r="N28" s="49">
        <f>M28/M12</f>
        <v>0</v>
      </c>
      <c r="O28" s="18"/>
      <c r="P28" s="49">
        <f>O28/O12</f>
        <v>0</v>
      </c>
      <c r="Q28" s="18"/>
      <c r="R28" s="49">
        <f>Q28/Q12</f>
        <v>0</v>
      </c>
      <c r="S28" s="18"/>
      <c r="T28" s="49">
        <f>S28/S12</f>
        <v>0</v>
      </c>
      <c r="U28" s="43"/>
      <c r="V28" s="49">
        <f>U28/U12</f>
        <v>0</v>
      </c>
      <c r="W28" s="33"/>
      <c r="X28" s="49">
        <f>W28/W12</f>
        <v>0</v>
      </c>
      <c r="Y28" s="43"/>
      <c r="Z28" s="179">
        <f>Y28/Y12</f>
        <v>0</v>
      </c>
      <c r="AA28" s="286">
        <f t="shared" si="19"/>
        <v>0</v>
      </c>
      <c r="AB28" s="214">
        <f>AA28/AA12</f>
        <v>0</v>
      </c>
      <c r="AC28" s="205">
        <f t="shared" si="2"/>
        <v>0</v>
      </c>
      <c r="AD28" s="214">
        <f>AC28/AC12</f>
        <v>0</v>
      </c>
      <c r="AE28" s="75"/>
      <c r="AF28" s="169"/>
      <c r="AG28" s="75"/>
      <c r="AH28" s="53">
        <f t="shared" si="0"/>
        <v>0</v>
      </c>
      <c r="AI28" s="53">
        <f t="shared" si="3"/>
        <v>0</v>
      </c>
      <c r="AJ28" s="53">
        <f t="shared" si="18"/>
        <v>0</v>
      </c>
      <c r="AK28" s="53"/>
      <c r="AQ28" s="53">
        <f t="shared" si="4"/>
        <v>0</v>
      </c>
    </row>
    <row r="29" spans="1:43">
      <c r="A29" s="3">
        <v>5608</v>
      </c>
      <c r="B29" s="116" t="s">
        <v>59</v>
      </c>
      <c r="C29" s="136"/>
      <c r="D29" s="49">
        <f>C29/C12</f>
        <v>0</v>
      </c>
      <c r="E29" s="43"/>
      <c r="F29" s="49">
        <f>E29/E12</f>
        <v>0</v>
      </c>
      <c r="G29" s="80"/>
      <c r="H29" s="49">
        <f>G29/G12</f>
        <v>0</v>
      </c>
      <c r="I29" s="18"/>
      <c r="J29" s="49">
        <f>I29/I12</f>
        <v>0</v>
      </c>
      <c r="K29" s="43"/>
      <c r="L29" s="49">
        <f>K29/K12</f>
        <v>0</v>
      </c>
      <c r="M29" s="18"/>
      <c r="N29" s="49">
        <f>M29/M12</f>
        <v>0</v>
      </c>
      <c r="O29" s="18"/>
      <c r="P29" s="49">
        <f>O29/O12</f>
        <v>0</v>
      </c>
      <c r="Q29" s="18"/>
      <c r="R29" s="49">
        <f>Q29/Q12</f>
        <v>0</v>
      </c>
      <c r="S29" s="18"/>
      <c r="T29" s="49">
        <f>S29/S12</f>
        <v>0</v>
      </c>
      <c r="U29" s="43"/>
      <c r="V29" s="49">
        <f>U29/U12</f>
        <v>0</v>
      </c>
      <c r="W29" s="33"/>
      <c r="X29" s="49">
        <f>W29/W12</f>
        <v>0</v>
      </c>
      <c r="Y29" s="43"/>
      <c r="Z29" s="179">
        <f>Y29/Y12</f>
        <v>0</v>
      </c>
      <c r="AA29" s="286">
        <f t="shared" si="19"/>
        <v>0</v>
      </c>
      <c r="AB29" s="214">
        <f>AA29/AA12</f>
        <v>0</v>
      </c>
      <c r="AC29" s="205">
        <f t="shared" si="2"/>
        <v>0</v>
      </c>
      <c r="AD29" s="214">
        <f>AC29/AC12</f>
        <v>0</v>
      </c>
      <c r="AE29" s="75"/>
      <c r="AF29" s="169"/>
      <c r="AG29" s="75"/>
      <c r="AH29" s="53">
        <f t="shared" si="0"/>
        <v>0</v>
      </c>
      <c r="AI29" s="53">
        <f t="shared" si="3"/>
        <v>0</v>
      </c>
      <c r="AJ29" s="53">
        <f t="shared" si="18"/>
        <v>0</v>
      </c>
      <c r="AK29" s="53"/>
      <c r="AQ29" s="53">
        <f t="shared" si="4"/>
        <v>0</v>
      </c>
    </row>
    <row r="30" spans="1:43">
      <c r="A30" s="3">
        <v>5609</v>
      </c>
      <c r="B30" s="116" t="s">
        <v>60</v>
      </c>
      <c r="C30" s="136"/>
      <c r="D30" s="49">
        <f>C30/C12</f>
        <v>0</v>
      </c>
      <c r="E30" s="43"/>
      <c r="F30" s="49">
        <f>E30/E12</f>
        <v>0</v>
      </c>
      <c r="G30" s="80"/>
      <c r="H30" s="49">
        <f>G30/G12</f>
        <v>0</v>
      </c>
      <c r="I30" s="18"/>
      <c r="J30" s="49">
        <f>I30/I12</f>
        <v>0</v>
      </c>
      <c r="K30" s="43"/>
      <c r="L30" s="49">
        <f>K30/K12</f>
        <v>0</v>
      </c>
      <c r="M30" s="18"/>
      <c r="N30" s="49">
        <f>M30/M12</f>
        <v>0</v>
      </c>
      <c r="O30" s="18"/>
      <c r="P30" s="49">
        <f>O30/O12</f>
        <v>0</v>
      </c>
      <c r="Q30" s="18"/>
      <c r="R30" s="49">
        <f>Q30/Q12</f>
        <v>0</v>
      </c>
      <c r="S30" s="18"/>
      <c r="T30" s="49">
        <f>S30/S12</f>
        <v>0</v>
      </c>
      <c r="U30" s="43"/>
      <c r="V30" s="49">
        <f>U30/U12</f>
        <v>0</v>
      </c>
      <c r="W30" s="33"/>
      <c r="X30" s="49">
        <f>W30/W12</f>
        <v>0</v>
      </c>
      <c r="Y30" s="43"/>
      <c r="Z30" s="179">
        <f>Y30/Y12</f>
        <v>0</v>
      </c>
      <c r="AA30" s="286">
        <f t="shared" si="19"/>
        <v>0</v>
      </c>
      <c r="AB30" s="214">
        <f>AA30/AA12</f>
        <v>0</v>
      </c>
      <c r="AC30" s="205">
        <f t="shared" si="2"/>
        <v>0</v>
      </c>
      <c r="AD30" s="214">
        <f>AC30/AC12</f>
        <v>0</v>
      </c>
      <c r="AE30" s="75"/>
      <c r="AF30" s="169"/>
      <c r="AG30" s="75"/>
      <c r="AH30" s="53">
        <f t="shared" si="0"/>
        <v>0</v>
      </c>
      <c r="AI30" s="53">
        <f t="shared" si="3"/>
        <v>0</v>
      </c>
      <c r="AJ30" s="53">
        <f t="shared" si="18"/>
        <v>0</v>
      </c>
      <c r="AK30" s="53"/>
      <c r="AQ30" s="53">
        <f t="shared" si="4"/>
        <v>0</v>
      </c>
    </row>
    <row r="31" spans="1:43">
      <c r="A31" s="3">
        <v>5610</v>
      </c>
      <c r="B31" s="116" t="s">
        <v>61</v>
      </c>
      <c r="C31" s="136"/>
      <c r="D31" s="49">
        <f>C31/C12</f>
        <v>0</v>
      </c>
      <c r="E31" s="43"/>
      <c r="F31" s="49">
        <f>E31/E12</f>
        <v>0</v>
      </c>
      <c r="G31" s="80"/>
      <c r="H31" s="49">
        <f>G31/G12</f>
        <v>0</v>
      </c>
      <c r="I31" s="18"/>
      <c r="J31" s="49">
        <f>I31/I12</f>
        <v>0</v>
      </c>
      <c r="K31" s="43"/>
      <c r="L31" s="49">
        <f>K31/K12</f>
        <v>0</v>
      </c>
      <c r="M31" s="18"/>
      <c r="N31" s="49">
        <f>M31/M12</f>
        <v>0</v>
      </c>
      <c r="O31" s="18"/>
      <c r="P31" s="49">
        <f>O31/O12</f>
        <v>0</v>
      </c>
      <c r="Q31" s="18"/>
      <c r="R31" s="49">
        <f>Q31/Q12</f>
        <v>0</v>
      </c>
      <c r="S31" s="18"/>
      <c r="T31" s="49">
        <f>S31/S12</f>
        <v>0</v>
      </c>
      <c r="U31" s="43"/>
      <c r="V31" s="49">
        <f>U31/U12</f>
        <v>0</v>
      </c>
      <c r="W31" s="33"/>
      <c r="X31" s="49">
        <f>W31/W12</f>
        <v>0</v>
      </c>
      <c r="Y31" s="43"/>
      <c r="Z31" s="179">
        <f>Y31/Y12</f>
        <v>0</v>
      </c>
      <c r="AA31" s="286">
        <f t="shared" si="19"/>
        <v>0</v>
      </c>
      <c r="AB31" s="214">
        <f>AA31/AA12</f>
        <v>0</v>
      </c>
      <c r="AC31" s="205">
        <f t="shared" si="2"/>
        <v>0</v>
      </c>
      <c r="AD31" s="214">
        <f>AC31/AC12</f>
        <v>0</v>
      </c>
      <c r="AE31" s="75"/>
      <c r="AF31" s="169"/>
      <c r="AG31" s="75"/>
      <c r="AH31" s="53">
        <f t="shared" si="0"/>
        <v>0</v>
      </c>
      <c r="AI31" s="53">
        <f t="shared" si="3"/>
        <v>0</v>
      </c>
      <c r="AJ31" s="53">
        <f t="shared" si="18"/>
        <v>0</v>
      </c>
      <c r="AK31" s="53"/>
      <c r="AQ31" s="53">
        <f t="shared" si="4"/>
        <v>0</v>
      </c>
    </row>
    <row r="32" spans="1:43">
      <c r="A32" s="3">
        <v>5611</v>
      </c>
      <c r="B32" s="116" t="s">
        <v>95</v>
      </c>
      <c r="C32" s="136"/>
      <c r="D32" s="49">
        <f>C32/C12</f>
        <v>0</v>
      </c>
      <c r="E32" s="43"/>
      <c r="F32" s="49">
        <f>E32/E12</f>
        <v>0</v>
      </c>
      <c r="G32" s="80"/>
      <c r="H32" s="49">
        <f>G32/G12</f>
        <v>0</v>
      </c>
      <c r="I32" s="18"/>
      <c r="J32" s="49">
        <f>I32/I12</f>
        <v>0</v>
      </c>
      <c r="K32" s="43"/>
      <c r="L32" s="49">
        <f>K32/K12</f>
        <v>0</v>
      </c>
      <c r="M32" s="18"/>
      <c r="N32" s="49">
        <f>M32/M12</f>
        <v>0</v>
      </c>
      <c r="O32" s="18"/>
      <c r="P32" s="49">
        <f>O32/O12</f>
        <v>0</v>
      </c>
      <c r="Q32" s="18"/>
      <c r="R32" s="49">
        <f>Q32/Q12</f>
        <v>0</v>
      </c>
      <c r="S32" s="18"/>
      <c r="T32" s="49">
        <f>S32/S12</f>
        <v>0</v>
      </c>
      <c r="U32" s="43"/>
      <c r="V32" s="49">
        <f>U32/U12</f>
        <v>0</v>
      </c>
      <c r="W32" s="33"/>
      <c r="X32" s="49">
        <f>W32/W12</f>
        <v>0</v>
      </c>
      <c r="Y32" s="43"/>
      <c r="Z32" s="179">
        <f>Y32/Y12</f>
        <v>0</v>
      </c>
      <c r="AA32" s="286">
        <f t="shared" si="19"/>
        <v>0</v>
      </c>
      <c r="AB32" s="214">
        <f>AA32/AA12</f>
        <v>0</v>
      </c>
      <c r="AC32" s="205">
        <f t="shared" si="2"/>
        <v>0</v>
      </c>
      <c r="AD32" s="214">
        <f>AC32/AC12</f>
        <v>0</v>
      </c>
      <c r="AE32" s="75"/>
      <c r="AF32" s="169"/>
      <c r="AG32" s="75"/>
      <c r="AH32" s="53">
        <f t="shared" si="0"/>
        <v>0</v>
      </c>
      <c r="AI32" s="53">
        <f t="shared" si="3"/>
        <v>0</v>
      </c>
      <c r="AJ32" s="53">
        <f t="shared" si="18"/>
        <v>0</v>
      </c>
      <c r="AK32" s="53"/>
      <c r="AQ32" s="53">
        <f t="shared" si="4"/>
        <v>0</v>
      </c>
    </row>
    <row r="33" spans="1:43">
      <c r="A33" s="3">
        <v>5612</v>
      </c>
      <c r="B33" s="116" t="s">
        <v>62</v>
      </c>
      <c r="C33" s="136"/>
      <c r="D33" s="49">
        <f>C33/C12</f>
        <v>0</v>
      </c>
      <c r="E33" s="43"/>
      <c r="F33" s="49">
        <f>E33/E12</f>
        <v>0</v>
      </c>
      <c r="G33" s="80"/>
      <c r="H33" s="49">
        <f>G33/G12</f>
        <v>0</v>
      </c>
      <c r="I33" s="18"/>
      <c r="J33" s="49">
        <f>I33/I12</f>
        <v>0</v>
      </c>
      <c r="K33" s="43"/>
      <c r="L33" s="49">
        <f>K33/K12</f>
        <v>0</v>
      </c>
      <c r="M33" s="18"/>
      <c r="N33" s="49">
        <f>M33/M12</f>
        <v>0</v>
      </c>
      <c r="O33" s="18"/>
      <c r="P33" s="49">
        <f>O33/O12</f>
        <v>0</v>
      </c>
      <c r="Q33" s="18"/>
      <c r="R33" s="49">
        <f>Q33/Q12</f>
        <v>0</v>
      </c>
      <c r="S33" s="18"/>
      <c r="T33" s="49">
        <f>S33/S12</f>
        <v>0</v>
      </c>
      <c r="U33" s="43"/>
      <c r="V33" s="49">
        <f>U33/U12</f>
        <v>0</v>
      </c>
      <c r="W33" s="33"/>
      <c r="X33" s="49">
        <f>W33/W12</f>
        <v>0</v>
      </c>
      <c r="Y33" s="43"/>
      <c r="Z33" s="179">
        <f>Y33/Y12</f>
        <v>0</v>
      </c>
      <c r="AA33" s="286">
        <f t="shared" si="19"/>
        <v>0</v>
      </c>
      <c r="AB33" s="214">
        <f>AA33/AA12</f>
        <v>0</v>
      </c>
      <c r="AC33" s="205">
        <f t="shared" si="2"/>
        <v>0</v>
      </c>
      <c r="AD33" s="214">
        <f>AC33/AC12</f>
        <v>0</v>
      </c>
      <c r="AE33" s="75"/>
      <c r="AF33" s="169"/>
      <c r="AG33" s="75"/>
      <c r="AH33" s="53">
        <f t="shared" si="0"/>
        <v>0</v>
      </c>
      <c r="AI33" s="53">
        <f t="shared" si="3"/>
        <v>0</v>
      </c>
      <c r="AJ33" s="53">
        <f t="shared" si="18"/>
        <v>0</v>
      </c>
      <c r="AK33" s="53"/>
      <c r="AQ33" s="53">
        <f t="shared" si="4"/>
        <v>0</v>
      </c>
    </row>
    <row r="34" spans="1:43">
      <c r="A34" s="3">
        <v>5613</v>
      </c>
      <c r="B34" s="116" t="s">
        <v>63</v>
      </c>
      <c r="C34" s="136"/>
      <c r="D34" s="49">
        <f>C34/C12</f>
        <v>0</v>
      </c>
      <c r="E34" s="43"/>
      <c r="F34" s="49">
        <f>E34/E12</f>
        <v>0</v>
      </c>
      <c r="G34" s="80"/>
      <c r="H34" s="49">
        <f>G34/G12</f>
        <v>0</v>
      </c>
      <c r="I34" s="18"/>
      <c r="J34" s="49">
        <f>I34/I12</f>
        <v>0</v>
      </c>
      <c r="K34" s="43"/>
      <c r="L34" s="49">
        <f>K34/K12</f>
        <v>0</v>
      </c>
      <c r="M34" s="18"/>
      <c r="N34" s="49">
        <f>M34/M12</f>
        <v>0</v>
      </c>
      <c r="O34" s="18"/>
      <c r="P34" s="49">
        <f>O34/O12</f>
        <v>0</v>
      </c>
      <c r="Q34" s="18"/>
      <c r="R34" s="49">
        <f>Q34/Q12</f>
        <v>0</v>
      </c>
      <c r="S34" s="18"/>
      <c r="T34" s="49">
        <f>S34/S12</f>
        <v>0</v>
      </c>
      <c r="U34" s="43"/>
      <c r="V34" s="49">
        <f>U34/U12</f>
        <v>0</v>
      </c>
      <c r="W34" s="33"/>
      <c r="X34" s="49">
        <f>W34/W12</f>
        <v>0</v>
      </c>
      <c r="Y34" s="43"/>
      <c r="Z34" s="179">
        <f>Y34/Y12</f>
        <v>0</v>
      </c>
      <c r="AA34" s="286">
        <f t="shared" si="19"/>
        <v>0</v>
      </c>
      <c r="AB34" s="214">
        <f>AA34/AA12</f>
        <v>0</v>
      </c>
      <c r="AC34" s="205">
        <f t="shared" si="2"/>
        <v>0</v>
      </c>
      <c r="AD34" s="214">
        <f>AC34/AC12</f>
        <v>0</v>
      </c>
      <c r="AE34" s="75"/>
      <c r="AF34" s="169"/>
      <c r="AG34" s="75"/>
      <c r="AH34" s="53">
        <f t="shared" si="0"/>
        <v>0</v>
      </c>
      <c r="AI34" s="53">
        <f t="shared" si="3"/>
        <v>0</v>
      </c>
      <c r="AJ34" s="53">
        <f t="shared" si="18"/>
        <v>0</v>
      </c>
      <c r="AK34" s="53"/>
      <c r="AQ34" s="53">
        <f t="shared" si="4"/>
        <v>0</v>
      </c>
    </row>
    <row r="35" spans="1:43">
      <c r="A35" s="8">
        <v>5699</v>
      </c>
      <c r="B35" s="117" t="s">
        <v>96</v>
      </c>
      <c r="C35" s="29">
        <f>SUM(C22:C34)</f>
        <v>465.20439999999996</v>
      </c>
      <c r="D35" s="66">
        <f>C35/C12</f>
        <v>3.8044504780052175E-3</v>
      </c>
      <c r="E35" s="58">
        <f>SUM(E22:E34)</f>
        <v>367.47976256404183</v>
      </c>
      <c r="F35" s="66">
        <f>E35/E12</f>
        <v>3.8627892501623962E-3</v>
      </c>
      <c r="G35" s="85">
        <f>SUM(G22:G34)</f>
        <v>593.09775679275879</v>
      </c>
      <c r="H35" s="66">
        <f>G35/G12</f>
        <v>3.7584234384379586E-3</v>
      </c>
      <c r="I35" s="21">
        <f>SUM(I22:I34)</f>
        <v>526.62706183246473</v>
      </c>
      <c r="J35" s="66">
        <f>I35/I12</f>
        <v>3.7794161576355668E-3</v>
      </c>
      <c r="K35" s="58">
        <f>SUM(K22:K34)</f>
        <v>483.78904923365798</v>
      </c>
      <c r="L35" s="66">
        <f>K35/K12</f>
        <v>3.7961685880478885E-3</v>
      </c>
      <c r="M35" s="21">
        <f>SUM(M22:M34)</f>
        <v>675.55651977756156</v>
      </c>
      <c r="N35" s="66">
        <f>M35/M12</f>
        <v>3.7383430912824801E-3</v>
      </c>
      <c r="O35" s="21">
        <f>SUM(O22:O34)</f>
        <v>436.87417723783722</v>
      </c>
      <c r="P35" s="66">
        <f>O35/O12</f>
        <v>3.8185133348333936E-3</v>
      </c>
      <c r="Q35" s="21">
        <f>SUM(Q22:Q34)</f>
        <v>536.4402450279315</v>
      </c>
      <c r="R35" s="66">
        <f>Q35/Q12</f>
        <v>3.7759736369496781E-3</v>
      </c>
      <c r="S35" s="21">
        <f>SUM(S22:S34)</f>
        <v>540.21430364230957</v>
      </c>
      <c r="T35" s="66">
        <f>S35/S12</f>
        <v>3.7746845911764181E-3</v>
      </c>
      <c r="U35" s="58">
        <f>SUM(U22:U34)</f>
        <v>433.67134962027393</v>
      </c>
      <c r="V35" s="66">
        <f>U35/U12</f>
        <v>3.8202258614009168E-3</v>
      </c>
      <c r="W35" s="40">
        <f>SUM(W22:W34)</f>
        <v>440.79920294688878</v>
      </c>
      <c r="X35" s="66">
        <f>W35/W12</f>
        <v>3.8164506313676026E-3</v>
      </c>
      <c r="Y35" s="58">
        <f>SUM(Y22:Y34)</f>
        <v>653.13267184106076</v>
      </c>
      <c r="Z35" s="224">
        <f>Y35/Y12</f>
        <v>3.7432818320629773E-3</v>
      </c>
      <c r="AA35" s="211">
        <f>SUM(AA22:AA34)</f>
        <v>6152.8865005167872</v>
      </c>
      <c r="AB35" s="245">
        <f>AA35/AA12</f>
        <v>3.784524336821608E-3</v>
      </c>
      <c r="AC35" s="246">
        <f t="shared" si="2"/>
        <v>512.74054170973227</v>
      </c>
      <c r="AD35" s="245">
        <f>AC35/AC12</f>
        <v>3.784524336821608E-3</v>
      </c>
      <c r="AE35" s="75"/>
      <c r="AF35" s="169"/>
      <c r="AG35" s="75"/>
      <c r="AH35" s="53">
        <f t="shared" si="0"/>
        <v>0</v>
      </c>
      <c r="AI35" s="53">
        <f t="shared" si="3"/>
        <v>6152.8865005167863</v>
      </c>
      <c r="AJ35" s="53">
        <f t="shared" si="18"/>
        <v>50009.901976755798</v>
      </c>
      <c r="AK35" s="53"/>
      <c r="AQ35" s="53">
        <f t="shared" si="4"/>
        <v>5155.190754718421</v>
      </c>
    </row>
    <row r="36" spans="1:43">
      <c r="A36" s="8">
        <v>5999</v>
      </c>
      <c r="B36" s="117" t="s">
        <v>97</v>
      </c>
      <c r="C36" s="29">
        <f>C21+C35</f>
        <v>64551.628300000004</v>
      </c>
      <c r="D36" s="66">
        <f>C36/C12</f>
        <v>0.52790445047800527</v>
      </c>
      <c r="E36" s="58">
        <f>E21+E35</f>
        <v>45565.295094279667</v>
      </c>
      <c r="F36" s="66">
        <f>E36/E12</f>
        <v>0.47896278925016234</v>
      </c>
      <c r="G36" s="85">
        <f>G21+G35</f>
        <v>83298.662849871893</v>
      </c>
      <c r="H36" s="66">
        <f>G36/G12</f>
        <v>0.52785842343843792</v>
      </c>
      <c r="I36" s="21">
        <f>I21+I35</f>
        <v>64121.791234148281</v>
      </c>
      <c r="J36" s="66">
        <f>I36/I12</f>
        <v>0.46017941615763558</v>
      </c>
      <c r="K36" s="58">
        <f>K21+K35</f>
        <v>52352.439893149996</v>
      </c>
      <c r="L36" s="66">
        <f>K36/K12</f>
        <v>0.41079616858804791</v>
      </c>
      <c r="M36" s="21">
        <f>M21+M35</f>
        <v>101060.04172434297</v>
      </c>
      <c r="N36" s="66">
        <f>M36/M12</f>
        <v>0.55923834309128251</v>
      </c>
      <c r="O36" s="21">
        <f>O21+O35</f>
        <v>57424.242977839705</v>
      </c>
      <c r="P36" s="66">
        <f>O36/O12</f>
        <v>0.50191851333483339</v>
      </c>
      <c r="Q36" s="21">
        <f>Q21+Q35</f>
        <v>67307.805568118987</v>
      </c>
      <c r="R36" s="66">
        <f>Q36/Q12</f>
        <v>0.47377597363694962</v>
      </c>
      <c r="S36" s="21">
        <f>S21+S35</f>
        <v>79253.510693439617</v>
      </c>
      <c r="T36" s="66">
        <f>S36/S12</f>
        <v>0.5537746845911764</v>
      </c>
      <c r="U36" s="58">
        <f>U21+U35</f>
        <v>59691.017044559994</v>
      </c>
      <c r="V36" s="66">
        <f>U36/U12</f>
        <v>0.52582022586140087</v>
      </c>
      <c r="W36" s="40">
        <f>W21+W35</f>
        <v>48442.507187593277</v>
      </c>
      <c r="X36" s="66">
        <f>W36/W12</f>
        <v>0.41941645063136768</v>
      </c>
      <c r="Y36" s="58">
        <f>Y21+Y35</f>
        <v>91627.681310154687</v>
      </c>
      <c r="Z36" s="224">
        <f>Y36/Y12</f>
        <v>0.52514328183206294</v>
      </c>
      <c r="AA36" s="211">
        <f>AA21+AA35</f>
        <v>814696.62387749914</v>
      </c>
      <c r="AB36" s="245">
        <f>AA36/AA12</f>
        <v>0.5011045141059941</v>
      </c>
      <c r="AC36" s="246">
        <f t="shared" si="2"/>
        <v>67891.385323124923</v>
      </c>
      <c r="AD36" s="245">
        <f>AC36/AC12</f>
        <v>0.5011045141059941</v>
      </c>
      <c r="AE36" s="75"/>
      <c r="AF36" s="169"/>
      <c r="AG36" s="75"/>
      <c r="AH36" s="53">
        <f t="shared" si="0"/>
        <v>0</v>
      </c>
      <c r="AI36" s="53">
        <f t="shared" si="3"/>
        <v>814696.62387749902</v>
      </c>
      <c r="AJ36" s="53">
        <f t="shared" si="18"/>
        <v>6623049.184542262</v>
      </c>
      <c r="AK36" s="53"/>
      <c r="AP36" s="1">
        <v>-606789.64990289905</v>
      </c>
      <c r="AQ36" s="53">
        <f t="shared" si="4"/>
        <v>646828.01150962338</v>
      </c>
    </row>
    <row r="37" spans="1:43" ht="15.75" thickBot="1">
      <c r="A37" s="9"/>
      <c r="B37" s="118" t="s">
        <v>69</v>
      </c>
      <c r="C37" s="28">
        <f>(C16-C36)</f>
        <v>57727.371699999996</v>
      </c>
      <c r="D37" s="67">
        <f>C37/C12</f>
        <v>0.47209554952199473</v>
      </c>
      <c r="E37" s="59">
        <f>(E16-E36)</f>
        <v>49567.972284620839</v>
      </c>
      <c r="F37" s="67">
        <f>E37/E12</f>
        <v>0.52103721074983766</v>
      </c>
      <c r="G37" s="86">
        <f>(G16-G36)</f>
        <v>74506.269592561104</v>
      </c>
      <c r="H37" s="67">
        <f>G37/G12</f>
        <v>0.47214157656156203</v>
      </c>
      <c r="I37" s="22">
        <f>(I16-I36)</f>
        <v>75219.059274869709</v>
      </c>
      <c r="J37" s="67">
        <f>I37/I12</f>
        <v>0.53982058384236442</v>
      </c>
      <c r="K37" s="59">
        <f>(K16-K36)</f>
        <v>75088.962671754998</v>
      </c>
      <c r="L37" s="67">
        <f>K37/K12</f>
        <v>0.58920383141195198</v>
      </c>
      <c r="M37" s="22">
        <f>(M16-M36)</f>
        <v>79650.10265831303</v>
      </c>
      <c r="N37" s="67">
        <f>M37/M12</f>
        <v>0.44076165690871749</v>
      </c>
      <c r="O37" s="22">
        <f>(O16-O36)</f>
        <v>56985.250699337295</v>
      </c>
      <c r="P37" s="67">
        <f>O37/O12</f>
        <v>0.49808148666516655</v>
      </c>
      <c r="Q37" s="22">
        <f>(Q16-Q36)</f>
        <v>74758.929161862005</v>
      </c>
      <c r="R37" s="67">
        <f>Q37/Q12</f>
        <v>0.52622402636305043</v>
      </c>
      <c r="S37" s="22">
        <f>(S16-S36)</f>
        <v>63861.573651646395</v>
      </c>
      <c r="T37" s="67">
        <f>S37/S12</f>
        <v>0.4462253154088236</v>
      </c>
      <c r="U37" s="59">
        <f>(U16-U36)</f>
        <v>53828.802294404988</v>
      </c>
      <c r="V37" s="67">
        <f>U37/U12</f>
        <v>0.47417977413859907</v>
      </c>
      <c r="W37" s="41">
        <f>(W16-W36)</f>
        <v>67057.271408764718</v>
      </c>
      <c r="X37" s="67">
        <f>W37/W12</f>
        <v>0.58058354936863232</v>
      </c>
      <c r="Y37" s="59">
        <f>(Y16-Y36)</f>
        <v>82853.616423473301</v>
      </c>
      <c r="Z37" s="225">
        <f>Y37/Y12</f>
        <v>0.47485671816793706</v>
      </c>
      <c r="AA37" s="288">
        <f>(AA16-AA36)</f>
        <v>811105.18182160833</v>
      </c>
      <c r="AB37" s="247">
        <f>AA37/AA12</f>
        <v>0.49889548589400584</v>
      </c>
      <c r="AC37" s="243">
        <f t="shared" si="2"/>
        <v>67592.098485134033</v>
      </c>
      <c r="AD37" s="247">
        <f>AC37/AC12</f>
        <v>0.4988954858940059</v>
      </c>
      <c r="AE37" s="75"/>
      <c r="AF37" s="169"/>
      <c r="AG37" s="75"/>
      <c r="AH37" s="53">
        <f t="shared" ref="AH37:AH68" si="20">AA37-AI37</f>
        <v>0</v>
      </c>
      <c r="AI37" s="53">
        <f t="shared" si="3"/>
        <v>811105.18182160833</v>
      </c>
      <c r="AJ37" s="53">
        <f t="shared" si="18"/>
        <v>6615812.4756676843</v>
      </c>
      <c r="AK37" s="53"/>
      <c r="AP37" s="1">
        <f>AP36/AB37</f>
        <v>-1216266.0658585636</v>
      </c>
      <c r="AQ37" s="53">
        <f t="shared" si="4"/>
        <v>718433.30924549385</v>
      </c>
    </row>
    <row r="38" spans="1:43" ht="15.75" thickTop="1">
      <c r="A38" s="2">
        <v>6002</v>
      </c>
      <c r="B38" s="112" t="s">
        <v>46</v>
      </c>
      <c r="C38" s="136"/>
      <c r="D38" s="49">
        <f>C38/C12</f>
        <v>0</v>
      </c>
      <c r="E38" s="43"/>
      <c r="F38" s="49">
        <f>E38/E12</f>
        <v>0</v>
      </c>
      <c r="G38" s="80"/>
      <c r="H38" s="49">
        <f>G38/G12</f>
        <v>0</v>
      </c>
      <c r="I38" s="18"/>
      <c r="J38" s="49">
        <f>I38/I12</f>
        <v>0</v>
      </c>
      <c r="K38" s="43"/>
      <c r="L38" s="49">
        <f>K38/K12</f>
        <v>0</v>
      </c>
      <c r="M38" s="18"/>
      <c r="N38" s="49">
        <f>M38/M12</f>
        <v>0</v>
      </c>
      <c r="O38" s="18"/>
      <c r="P38" s="49">
        <f>O38/O12</f>
        <v>0</v>
      </c>
      <c r="Q38" s="18"/>
      <c r="R38" s="49">
        <f>Q38/Q12</f>
        <v>0</v>
      </c>
      <c r="S38" s="18"/>
      <c r="T38" s="49">
        <f>S38/S12</f>
        <v>0</v>
      </c>
      <c r="U38" s="43"/>
      <c r="V38" s="49">
        <f>U38/U12</f>
        <v>0</v>
      </c>
      <c r="W38" s="33"/>
      <c r="X38" s="49">
        <f>W38/W12</f>
        <v>0</v>
      </c>
      <c r="Y38" s="43"/>
      <c r="Z38" s="179">
        <f>Y38/Y12</f>
        <v>0</v>
      </c>
      <c r="AA38" s="286">
        <f>C38+E38+G38+I38+K38+M38+O38+Q38+S38+U38+W38+Y38</f>
        <v>0</v>
      </c>
      <c r="AB38" s="214">
        <f>AA38/AA12</f>
        <v>0</v>
      </c>
      <c r="AC38" s="205">
        <f t="shared" si="2"/>
        <v>0</v>
      </c>
      <c r="AD38" s="214">
        <f>AC38/AC12</f>
        <v>0</v>
      </c>
      <c r="AE38" s="75"/>
      <c r="AF38" s="169"/>
      <c r="AG38" s="75"/>
      <c r="AH38" s="53">
        <f t="shared" si="20"/>
        <v>0</v>
      </c>
      <c r="AI38" s="53">
        <f t="shared" si="3"/>
        <v>0</v>
      </c>
      <c r="AJ38" s="53">
        <f t="shared" si="18"/>
        <v>0</v>
      </c>
      <c r="AK38" s="53"/>
      <c r="AQ38" s="53">
        <f t="shared" si="4"/>
        <v>0</v>
      </c>
    </row>
    <row r="39" spans="1:43">
      <c r="A39" s="2">
        <v>6003</v>
      </c>
      <c r="B39" s="2" t="s">
        <v>0</v>
      </c>
      <c r="C39" s="18"/>
      <c r="D39" s="49">
        <f>C39/C12</f>
        <v>0</v>
      </c>
      <c r="E39" s="18"/>
      <c r="F39" s="49">
        <f>E39/E12</f>
        <v>0</v>
      </c>
      <c r="G39" s="18">
        <v>0</v>
      </c>
      <c r="H39" s="49">
        <f>G39/G12</f>
        <v>0</v>
      </c>
      <c r="I39" s="18"/>
      <c r="J39" s="49">
        <f>I39/I12</f>
        <v>0</v>
      </c>
      <c r="K39" s="18">
        <v>0</v>
      </c>
      <c r="L39" s="49">
        <f>K39/K12</f>
        <v>0</v>
      </c>
      <c r="M39" s="18"/>
      <c r="N39" s="49">
        <f>M39/M12</f>
        <v>0</v>
      </c>
      <c r="O39" s="18"/>
      <c r="P39" s="49">
        <f>O39/O12</f>
        <v>0</v>
      </c>
      <c r="Q39" s="18"/>
      <c r="R39" s="49">
        <f>Q39/Q12</f>
        <v>0</v>
      </c>
      <c r="S39" s="18">
        <v>0</v>
      </c>
      <c r="T39" s="49">
        <f>S39/S12</f>
        <v>0</v>
      </c>
      <c r="U39" s="18"/>
      <c r="V39" s="49">
        <f>U39/U12</f>
        <v>0</v>
      </c>
      <c r="W39" s="18">
        <v>0</v>
      </c>
      <c r="X39" s="49">
        <f>W39/W12</f>
        <v>0</v>
      </c>
      <c r="Y39" s="18">
        <v>0</v>
      </c>
      <c r="Z39" s="179">
        <f>Y39/Y12</f>
        <v>0</v>
      </c>
      <c r="AA39" s="286">
        <f>C39+E39+G39+I39+K39+M39+O39+Q39+S39+U39+W39+Y39</f>
        <v>0</v>
      </c>
      <c r="AB39" s="214">
        <f>AA39/AA12</f>
        <v>0</v>
      </c>
      <c r="AC39" s="205">
        <f t="shared" si="2"/>
        <v>0</v>
      </c>
      <c r="AD39" s="214">
        <f>AC39/AC12</f>
        <v>0</v>
      </c>
      <c r="AE39" s="75"/>
      <c r="AF39" s="169"/>
      <c r="AG39" s="75"/>
      <c r="AH39" s="53">
        <f t="shared" si="20"/>
        <v>0</v>
      </c>
      <c r="AI39" s="53">
        <f t="shared" si="3"/>
        <v>0</v>
      </c>
      <c r="AJ39" s="53">
        <f t="shared" si="18"/>
        <v>0</v>
      </c>
      <c r="AK39" s="53"/>
      <c r="AQ39" s="53">
        <f t="shared" si="4"/>
        <v>0</v>
      </c>
    </row>
    <row r="40" spans="1:43">
      <c r="A40" s="2">
        <v>6004</v>
      </c>
      <c r="B40" s="112" t="s">
        <v>1</v>
      </c>
      <c r="C40" s="136"/>
      <c r="D40" s="49">
        <f>C40/C12</f>
        <v>0</v>
      </c>
      <c r="E40" s="43"/>
      <c r="F40" s="49">
        <f>E40/E12</f>
        <v>0</v>
      </c>
      <c r="G40" s="80"/>
      <c r="H40" s="49">
        <f>G40/G12</f>
        <v>0</v>
      </c>
      <c r="I40" s="18"/>
      <c r="J40" s="49">
        <f>I40/I12</f>
        <v>0</v>
      </c>
      <c r="K40" s="43"/>
      <c r="L40" s="49">
        <f>K40/K12</f>
        <v>0</v>
      </c>
      <c r="M40" s="18"/>
      <c r="N40" s="49">
        <f>M40/M12</f>
        <v>0</v>
      </c>
      <c r="O40" s="18"/>
      <c r="P40" s="49">
        <f>O40/O12</f>
        <v>0</v>
      </c>
      <c r="Q40" s="18"/>
      <c r="R40" s="49">
        <f>Q40/Q12</f>
        <v>0</v>
      </c>
      <c r="S40" s="18"/>
      <c r="T40" s="49">
        <f>S40/S12</f>
        <v>0</v>
      </c>
      <c r="U40" s="43"/>
      <c r="V40" s="49">
        <f>U40/U12</f>
        <v>0</v>
      </c>
      <c r="W40" s="33"/>
      <c r="X40" s="49">
        <f>W40/W12</f>
        <v>0</v>
      </c>
      <c r="Y40" s="43"/>
      <c r="Z40" s="179">
        <f>Y40/Y12</f>
        <v>0</v>
      </c>
      <c r="AA40" s="286">
        <f>C40+E40+G40+I40+K40+M40+O40+Q40+S40+U40+W40+Y40</f>
        <v>0</v>
      </c>
      <c r="AB40" s="214">
        <f>AA40/AA12</f>
        <v>0</v>
      </c>
      <c r="AC40" s="205">
        <f t="shared" si="2"/>
        <v>0</v>
      </c>
      <c r="AD40" s="214">
        <f>AC40/AC12</f>
        <v>0</v>
      </c>
      <c r="AE40" s="75"/>
      <c r="AF40" s="169"/>
      <c r="AG40" s="75"/>
      <c r="AH40" s="53">
        <f t="shared" si="20"/>
        <v>0</v>
      </c>
      <c r="AI40" s="53">
        <f t="shared" si="3"/>
        <v>0</v>
      </c>
      <c r="AJ40" s="53">
        <f t="shared" si="18"/>
        <v>0</v>
      </c>
      <c r="AK40" s="53"/>
      <c r="AQ40" s="53">
        <f t="shared" si="4"/>
        <v>0</v>
      </c>
    </row>
    <row r="41" spans="1:43" ht="15.75" thickBot="1">
      <c r="A41" s="4">
        <v>6099</v>
      </c>
      <c r="B41" s="113" t="s">
        <v>98</v>
      </c>
      <c r="C41" s="27">
        <f>SUM(C38:C40)</f>
        <v>0</v>
      </c>
      <c r="D41" s="68">
        <f>C41/C12</f>
        <v>0</v>
      </c>
      <c r="E41" s="55">
        <f>SUM(E38:E40)</f>
        <v>0</v>
      </c>
      <c r="F41" s="68">
        <f>E41/E12</f>
        <v>0</v>
      </c>
      <c r="G41" s="82">
        <f>SUM(G38:G40)</f>
        <v>0</v>
      </c>
      <c r="H41" s="68">
        <f>G41/G12</f>
        <v>0</v>
      </c>
      <c r="I41" s="20">
        <f>SUM(I38:I40)</f>
        <v>0</v>
      </c>
      <c r="J41" s="68">
        <f>I41/I12</f>
        <v>0</v>
      </c>
      <c r="K41" s="55">
        <f>SUM(K38:K40)</f>
        <v>0</v>
      </c>
      <c r="L41" s="68">
        <f>K41/K12</f>
        <v>0</v>
      </c>
      <c r="M41" s="20">
        <f>SUM(M38:M40)</f>
        <v>0</v>
      </c>
      <c r="N41" s="68">
        <f>M41/M12</f>
        <v>0</v>
      </c>
      <c r="O41" s="20">
        <f>SUM(O38:O40)</f>
        <v>0</v>
      </c>
      <c r="P41" s="68">
        <f>O41/O12</f>
        <v>0</v>
      </c>
      <c r="Q41" s="20">
        <f>SUM(Q38:Q40)</f>
        <v>0</v>
      </c>
      <c r="R41" s="68">
        <f>Q41/Q12</f>
        <v>0</v>
      </c>
      <c r="S41" s="20">
        <f>SUM(S38:S40)</f>
        <v>0</v>
      </c>
      <c r="T41" s="68">
        <f>S41/S12</f>
        <v>0</v>
      </c>
      <c r="U41" s="55">
        <f>SUM(U38:U40)</f>
        <v>0</v>
      </c>
      <c r="V41" s="68">
        <f>U41/U12</f>
        <v>0</v>
      </c>
      <c r="W41" s="34">
        <f>SUM(W38:W40)</f>
        <v>0</v>
      </c>
      <c r="X41" s="68">
        <f>W41/W12</f>
        <v>0</v>
      </c>
      <c r="Y41" s="55">
        <f>SUM(Y38:Y40)</f>
        <v>0</v>
      </c>
      <c r="Z41" s="223">
        <f>Y41/Y12</f>
        <v>0</v>
      </c>
      <c r="AA41" s="287">
        <f>SUM(AA38:AA40)</f>
        <v>0</v>
      </c>
      <c r="AB41" s="245">
        <f>AA41/AA12</f>
        <v>0</v>
      </c>
      <c r="AC41" s="210">
        <f t="shared" si="2"/>
        <v>0</v>
      </c>
      <c r="AD41" s="245">
        <f>AC41/AC12</f>
        <v>0</v>
      </c>
      <c r="AE41" s="75"/>
      <c r="AF41" s="169"/>
      <c r="AG41" s="75"/>
      <c r="AH41" s="53">
        <f t="shared" si="20"/>
        <v>0</v>
      </c>
      <c r="AI41" s="53">
        <f t="shared" si="3"/>
        <v>0</v>
      </c>
      <c r="AJ41" s="53">
        <f t="shared" si="18"/>
        <v>0</v>
      </c>
      <c r="AK41" s="53"/>
      <c r="AQ41" s="53">
        <f t="shared" si="4"/>
        <v>0</v>
      </c>
    </row>
    <row r="42" spans="1:43" ht="15.75" thickTop="1">
      <c r="A42" s="99">
        <v>6101</v>
      </c>
      <c r="B42" s="111" t="s">
        <v>2</v>
      </c>
      <c r="C42" s="18">
        <v>23651.25</v>
      </c>
      <c r="D42" s="49">
        <f>C42/C12</f>
        <v>0.1934203747168361</v>
      </c>
      <c r="E42" s="18">
        <v>23651.25</v>
      </c>
      <c r="F42" s="49">
        <f>E42/E12</f>
        <v>0.24861177011613481</v>
      </c>
      <c r="G42" s="18">
        <v>23651.25</v>
      </c>
      <c r="H42" s="49">
        <f>G42/G12</f>
        <v>0.14987649393423075</v>
      </c>
      <c r="I42" s="18">
        <v>23651.25</v>
      </c>
      <c r="J42" s="49">
        <f>I42/I12</f>
        <v>0.16973665593112849</v>
      </c>
      <c r="K42" s="18">
        <v>23651.25</v>
      </c>
      <c r="L42" s="49">
        <f>K42/K12</f>
        <v>0.18558529272270513</v>
      </c>
      <c r="M42" s="18">
        <v>23651.25</v>
      </c>
      <c r="N42" s="49">
        <f>M42/M12</f>
        <v>0.13087948150779063</v>
      </c>
      <c r="O42" s="18">
        <v>23651.25</v>
      </c>
      <c r="P42" s="49">
        <f>O42/O12</f>
        <v>0.20672454041913196</v>
      </c>
      <c r="Q42" s="18">
        <v>23651.25</v>
      </c>
      <c r="R42" s="49">
        <f>Q42/Q12</f>
        <v>0.16647985923624364</v>
      </c>
      <c r="S42" s="18">
        <v>23651.25</v>
      </c>
      <c r="T42" s="49">
        <f>S42/S12</f>
        <v>0.16526035748245071</v>
      </c>
      <c r="U42" s="18">
        <v>23651.25</v>
      </c>
      <c r="V42" s="49">
        <f>U42/U12</f>
        <v>0.20834467617833721</v>
      </c>
      <c r="W42" s="18">
        <v>23651.25</v>
      </c>
      <c r="X42" s="49">
        <f>W42/W12</f>
        <v>0.20477311980532042</v>
      </c>
      <c r="Y42" s="18">
        <v>24833.81</v>
      </c>
      <c r="Z42" s="179">
        <f>Y42/Y12</f>
        <v>0.1423293517561553</v>
      </c>
      <c r="AA42" s="286">
        <f t="shared" ref="AA42:AA75" si="21">C42+E42+G42+I42+K42+M42+O42+Q42+S42+U42+W42+Y42</f>
        <v>284997.56</v>
      </c>
      <c r="AB42" s="214">
        <f>AA42/AA12</f>
        <v>0.17529661918258777</v>
      </c>
      <c r="AC42" s="205">
        <f t="shared" si="2"/>
        <v>23749.796666666665</v>
      </c>
      <c r="AD42" s="214">
        <f>AC42/AC12</f>
        <v>0.17529661918258777</v>
      </c>
      <c r="AE42" s="75"/>
      <c r="AF42" s="169"/>
      <c r="AG42" s="75"/>
      <c r="AH42" s="53">
        <f t="shared" si="20"/>
        <v>0</v>
      </c>
      <c r="AI42" s="53">
        <f t="shared" si="3"/>
        <v>284997.56</v>
      </c>
      <c r="AJ42" s="53">
        <f t="shared" si="18"/>
        <v>2234333.5640000002</v>
      </c>
      <c r="AK42" s="53" t="s">
        <v>232</v>
      </c>
      <c r="AQ42" s="53">
        <f t="shared" si="4"/>
        <v>227288.51249999998</v>
      </c>
    </row>
    <row r="43" spans="1:43">
      <c r="A43" s="99">
        <v>6102</v>
      </c>
      <c r="B43" s="111" t="s">
        <v>3</v>
      </c>
      <c r="C43" s="54">
        <v>1200</v>
      </c>
      <c r="D43" s="49">
        <f>C43/C12</f>
        <v>9.8136229442504445E-3</v>
      </c>
      <c r="E43" s="54">
        <v>1200</v>
      </c>
      <c r="F43" s="49">
        <f>E43/E12</f>
        <v>1.2613884007795012E-2</v>
      </c>
      <c r="G43" s="54">
        <v>1200</v>
      </c>
      <c r="H43" s="49">
        <f>G43/G12</f>
        <v>7.6043250450220125E-3</v>
      </c>
      <c r="I43" s="54">
        <v>1200</v>
      </c>
      <c r="J43" s="49">
        <f>I43/I12</f>
        <v>8.6119755665072344E-3</v>
      </c>
      <c r="K43" s="54">
        <v>1200</v>
      </c>
      <c r="L43" s="49">
        <f>K43/K12</f>
        <v>9.4160922262986595E-3</v>
      </c>
      <c r="M43" s="54">
        <v>1200</v>
      </c>
      <c r="N43" s="49">
        <f>M43/M12</f>
        <v>6.6404683815590613E-3</v>
      </c>
      <c r="O43" s="54">
        <v>1200</v>
      </c>
      <c r="P43" s="49">
        <f>O43/O12</f>
        <v>1.048864007200289E-2</v>
      </c>
      <c r="Q43" s="54">
        <v>1200</v>
      </c>
      <c r="R43" s="49">
        <f>Q43/Q12</f>
        <v>8.4467345735845818E-3</v>
      </c>
      <c r="S43" s="54">
        <v>1200</v>
      </c>
      <c r="T43" s="49">
        <f>S43/S12</f>
        <v>8.3848603764680868E-3</v>
      </c>
      <c r="U43" s="54">
        <v>1200</v>
      </c>
      <c r="V43" s="49">
        <f>U43/U12</f>
        <v>1.0570841347244E-2</v>
      </c>
      <c r="W43" s="54">
        <v>1200</v>
      </c>
      <c r="X43" s="49">
        <f>W43/W12</f>
        <v>1.0389630305644925E-2</v>
      </c>
      <c r="Y43" s="54">
        <v>1200</v>
      </c>
      <c r="Z43" s="179">
        <f>Y43/Y12</f>
        <v>6.8775279390229033E-3</v>
      </c>
      <c r="AA43" s="286">
        <f t="shared" si="21"/>
        <v>14400</v>
      </c>
      <c r="AB43" s="214">
        <f>AA43/AA12</f>
        <v>8.8571681674371669E-3</v>
      </c>
      <c r="AC43" s="206">
        <f t="shared" si="2"/>
        <v>1200</v>
      </c>
      <c r="AD43" s="214">
        <f>AC43/AC12</f>
        <v>8.8571681674371669E-3</v>
      </c>
      <c r="AE43" s="75" t="s">
        <v>338</v>
      </c>
      <c r="AF43" s="169">
        <v>9367</v>
      </c>
      <c r="AG43" s="75" t="s">
        <v>339</v>
      </c>
      <c r="AH43" s="53">
        <f t="shared" si="20"/>
        <v>0</v>
      </c>
      <c r="AI43" s="53">
        <f t="shared" si="3"/>
        <v>14400</v>
      </c>
      <c r="AJ43" s="53">
        <f t="shared" ref="AJ43:AJ80" si="22">G43*9.4+I43*9.4+K43*9.4+M43*9.4+O43*9.4+Q43*9.4+S43*9.4+U43*9.4+W43*9.4+Y43*9.4</f>
        <v>112800</v>
      </c>
      <c r="AK43" s="53">
        <v>661</v>
      </c>
      <c r="AQ43" s="53">
        <f t="shared" si="4"/>
        <v>11532</v>
      </c>
    </row>
    <row r="44" spans="1:43">
      <c r="A44" s="99">
        <v>6103</v>
      </c>
      <c r="B44" s="111" t="s">
        <v>4</v>
      </c>
      <c r="C44" s="33"/>
      <c r="D44" s="49">
        <f>C44/C12</f>
        <v>0</v>
      </c>
      <c r="E44" s="80"/>
      <c r="F44" s="49">
        <f>E44/E12</f>
        <v>0</v>
      </c>
      <c r="G44" s="80"/>
      <c r="H44" s="49">
        <f>G44/G12</f>
        <v>0</v>
      </c>
      <c r="I44" s="136">
        <v>0</v>
      </c>
      <c r="J44" s="49">
        <f>I44/I12</f>
        <v>0</v>
      </c>
      <c r="K44" s="80">
        <v>0</v>
      </c>
      <c r="L44" s="49">
        <f>K44/K12</f>
        <v>0</v>
      </c>
      <c r="M44" s="136"/>
      <c r="N44" s="49">
        <f>M44/M12</f>
        <v>0</v>
      </c>
      <c r="O44" s="136"/>
      <c r="P44" s="49">
        <f>O44/O12</f>
        <v>0</v>
      </c>
      <c r="Q44" s="136">
        <v>0</v>
      </c>
      <c r="R44" s="49">
        <f>Q44/Q12</f>
        <v>0</v>
      </c>
      <c r="S44" s="136"/>
      <c r="T44" s="49">
        <f>S44/S12</f>
        <v>0</v>
      </c>
      <c r="U44" s="80">
        <v>0</v>
      </c>
      <c r="V44" s="49">
        <f>U44/U12</f>
        <v>0</v>
      </c>
      <c r="W44" s="80"/>
      <c r="X44" s="49">
        <f>W44/W12</f>
        <v>0</v>
      </c>
      <c r="Y44" s="80"/>
      <c r="Z44" s="179">
        <f>Y44/Y12</f>
        <v>0</v>
      </c>
      <c r="AA44" s="286">
        <f t="shared" si="21"/>
        <v>0</v>
      </c>
      <c r="AB44" s="214">
        <f>AA44/AA12</f>
        <v>0</v>
      </c>
      <c r="AC44" s="205">
        <f t="shared" si="2"/>
        <v>0</v>
      </c>
      <c r="AD44" s="214">
        <f>AC44/AC12</f>
        <v>0</v>
      </c>
      <c r="AE44" s="75"/>
      <c r="AF44" s="169"/>
      <c r="AG44" s="75"/>
      <c r="AH44" s="53">
        <f t="shared" si="20"/>
        <v>0</v>
      </c>
      <c r="AI44" s="53">
        <f t="shared" si="3"/>
        <v>0</v>
      </c>
      <c r="AJ44" s="53">
        <f t="shared" si="22"/>
        <v>0</v>
      </c>
      <c r="AK44" s="53"/>
      <c r="AQ44" s="53">
        <f t="shared" si="4"/>
        <v>0</v>
      </c>
    </row>
    <row r="45" spans="1:43">
      <c r="A45" s="99">
        <v>6104</v>
      </c>
      <c r="B45" s="111" t="s">
        <v>5</v>
      </c>
      <c r="C45" s="54">
        <v>150</v>
      </c>
      <c r="D45" s="49">
        <f>C45/C12</f>
        <v>1.2267028680313056E-3</v>
      </c>
      <c r="E45" s="54">
        <v>150</v>
      </c>
      <c r="F45" s="49">
        <f>E45/E12</f>
        <v>1.5767355009743765E-3</v>
      </c>
      <c r="G45" s="54">
        <v>150</v>
      </c>
      <c r="H45" s="49">
        <f>G45/G12</f>
        <v>9.5054063062775156E-4</v>
      </c>
      <c r="I45" s="54">
        <v>150</v>
      </c>
      <c r="J45" s="49">
        <f>I45/I12</f>
        <v>1.0764969458134043E-3</v>
      </c>
      <c r="K45" s="54">
        <v>150</v>
      </c>
      <c r="L45" s="49">
        <f>K45/K12</f>
        <v>1.1770115282873324E-3</v>
      </c>
      <c r="M45" s="54">
        <v>150</v>
      </c>
      <c r="N45" s="49">
        <f>M45/M12</f>
        <v>8.3005854769488267E-4</v>
      </c>
      <c r="O45" s="54">
        <v>150</v>
      </c>
      <c r="P45" s="49">
        <f>O45/O12</f>
        <v>1.3110800090003613E-3</v>
      </c>
      <c r="Q45" s="54">
        <v>150</v>
      </c>
      <c r="R45" s="49">
        <f>Q45/Q12</f>
        <v>1.0558418216980727E-3</v>
      </c>
      <c r="S45" s="54">
        <v>150</v>
      </c>
      <c r="T45" s="49">
        <f>S45/S12</f>
        <v>1.0481075470585108E-3</v>
      </c>
      <c r="U45" s="54">
        <v>150</v>
      </c>
      <c r="V45" s="49">
        <f>U45/U12</f>
        <v>1.3213551684055E-3</v>
      </c>
      <c r="W45" s="54">
        <v>150</v>
      </c>
      <c r="X45" s="49">
        <f>W45/W12</f>
        <v>1.2987037882056156E-3</v>
      </c>
      <c r="Y45" s="54">
        <v>150</v>
      </c>
      <c r="Z45" s="179">
        <f>Y45/Y12</f>
        <v>8.5969099237786291E-4</v>
      </c>
      <c r="AA45" s="286">
        <f t="shared" si="21"/>
        <v>1800</v>
      </c>
      <c r="AB45" s="214">
        <f>AA45/AA12</f>
        <v>1.1071460209296459E-3</v>
      </c>
      <c r="AC45" s="207">
        <f t="shared" si="2"/>
        <v>150</v>
      </c>
      <c r="AD45" s="214">
        <f>AC45/AC12</f>
        <v>1.1071460209296459E-3</v>
      </c>
      <c r="AE45" s="75"/>
      <c r="AF45" s="169"/>
      <c r="AG45" s="75"/>
      <c r="AH45" s="53">
        <f t="shared" si="20"/>
        <v>0</v>
      </c>
      <c r="AI45" s="53">
        <f t="shared" si="3"/>
        <v>1800</v>
      </c>
      <c r="AJ45" s="53">
        <f t="shared" si="22"/>
        <v>14100</v>
      </c>
      <c r="AK45" s="53">
        <v>175</v>
      </c>
      <c r="AQ45" s="53">
        <f t="shared" si="4"/>
        <v>1441.5</v>
      </c>
    </row>
    <row r="46" spans="1:43">
      <c r="A46" s="99">
        <v>6105</v>
      </c>
      <c r="B46" s="111" t="s">
        <v>40</v>
      </c>
      <c r="C46" s="54">
        <v>300</v>
      </c>
      <c r="D46" s="49">
        <f>C46/C12</f>
        <v>2.4534057360626111E-3</v>
      </c>
      <c r="E46" s="54">
        <v>300</v>
      </c>
      <c r="F46" s="49">
        <f>E46/E12</f>
        <v>3.1534710019487529E-3</v>
      </c>
      <c r="G46" s="54">
        <v>300</v>
      </c>
      <c r="H46" s="179">
        <f>G46/G12</f>
        <v>1.9010812612555031E-3</v>
      </c>
      <c r="I46" s="54">
        <v>300</v>
      </c>
      <c r="J46" s="179">
        <f t="shared" ref="J46:L46" si="23">I46/I12</f>
        <v>2.1529938916268086E-3</v>
      </c>
      <c r="K46" s="54">
        <v>300</v>
      </c>
      <c r="L46" s="49">
        <f t="shared" si="23"/>
        <v>2.3540230565746649E-3</v>
      </c>
      <c r="M46" s="54">
        <v>300</v>
      </c>
      <c r="N46" s="49">
        <f>M46/M12</f>
        <v>1.6601170953897653E-3</v>
      </c>
      <c r="O46" s="54">
        <v>300</v>
      </c>
      <c r="P46" s="49">
        <f>O46/O12</f>
        <v>2.6221600180007226E-3</v>
      </c>
      <c r="Q46" s="54">
        <v>300</v>
      </c>
      <c r="R46" s="49">
        <f>Q46/Q12</f>
        <v>2.1116836433961454E-3</v>
      </c>
      <c r="S46" s="54">
        <v>300</v>
      </c>
      <c r="T46" s="49">
        <f>S46/S12</f>
        <v>2.0962150941170217E-3</v>
      </c>
      <c r="U46" s="54">
        <v>300</v>
      </c>
      <c r="V46" s="49">
        <f>U46/U12</f>
        <v>2.642710336811E-3</v>
      </c>
      <c r="W46" s="54">
        <v>300</v>
      </c>
      <c r="X46" s="49">
        <f>W46/W12</f>
        <v>2.5974075764112312E-3</v>
      </c>
      <c r="Y46" s="54">
        <v>300</v>
      </c>
      <c r="Z46" s="373">
        <f>Y12/Y12</f>
        <v>1</v>
      </c>
      <c r="AA46" s="286">
        <f t="shared" si="21"/>
        <v>3600</v>
      </c>
      <c r="AB46" s="214">
        <f>AA46/AA12</f>
        <v>2.2142920418592917E-3</v>
      </c>
      <c r="AC46" s="207">
        <f t="shared" si="2"/>
        <v>300</v>
      </c>
      <c r="AD46" s="214">
        <f>AC46/AC12</f>
        <v>2.2142920418592917E-3</v>
      </c>
      <c r="AE46" s="75"/>
      <c r="AF46" s="169"/>
      <c r="AG46" s="75"/>
      <c r="AH46" s="53">
        <f t="shared" si="20"/>
        <v>0</v>
      </c>
      <c r="AI46" s="53">
        <f t="shared" si="3"/>
        <v>3600</v>
      </c>
      <c r="AJ46" s="53">
        <f t="shared" si="22"/>
        <v>28200</v>
      </c>
      <c r="AK46" s="53"/>
      <c r="AQ46" s="53">
        <f t="shared" si="4"/>
        <v>2883</v>
      </c>
    </row>
    <row r="47" spans="1:43">
      <c r="A47" s="99">
        <v>6106</v>
      </c>
      <c r="B47" s="111" t="s">
        <v>7</v>
      </c>
      <c r="C47" s="23">
        <v>50</v>
      </c>
      <c r="D47" s="49">
        <f>C47/C12</f>
        <v>4.0890095601043517E-4</v>
      </c>
      <c r="E47" s="23">
        <v>50</v>
      </c>
      <c r="F47" s="49">
        <f>E47/E12</f>
        <v>5.2557850032479219E-4</v>
      </c>
      <c r="G47" s="23">
        <v>50</v>
      </c>
      <c r="H47" s="49">
        <f>G47/G12</f>
        <v>3.1684687687591722E-4</v>
      </c>
      <c r="I47" s="23">
        <v>50</v>
      </c>
      <c r="J47" s="49">
        <f>I47/I12</f>
        <v>3.5883231527113473E-4</v>
      </c>
      <c r="K47" s="23">
        <v>50</v>
      </c>
      <c r="L47" s="49">
        <f>K47/K12</f>
        <v>3.9233717609577748E-4</v>
      </c>
      <c r="M47" s="23">
        <v>50</v>
      </c>
      <c r="N47" s="49">
        <f>M47/M12</f>
        <v>2.7668618256496087E-4</v>
      </c>
      <c r="O47" s="23">
        <v>50</v>
      </c>
      <c r="P47" s="49">
        <f>O47/O12</f>
        <v>4.3702666966678711E-4</v>
      </c>
      <c r="Q47" s="23">
        <v>50</v>
      </c>
      <c r="R47" s="49">
        <f>Q47/Q12</f>
        <v>3.5194727389935759E-4</v>
      </c>
      <c r="S47" s="23">
        <v>50</v>
      </c>
      <c r="T47" s="49">
        <f>S47/S12</f>
        <v>3.4936918235283697E-4</v>
      </c>
      <c r="U47" s="23">
        <v>50</v>
      </c>
      <c r="V47" s="49">
        <f>U47/U12</f>
        <v>4.4045172280183332E-4</v>
      </c>
      <c r="W47" s="23">
        <v>50</v>
      </c>
      <c r="X47" s="49">
        <f>W47/W12</f>
        <v>4.329012627352052E-4</v>
      </c>
      <c r="Y47" s="23">
        <v>50</v>
      </c>
      <c r="Z47" s="49">
        <f>Y47/Y12</f>
        <v>2.865636641259543E-4</v>
      </c>
      <c r="AA47" s="286">
        <f t="shared" si="21"/>
        <v>600</v>
      </c>
      <c r="AB47" s="214">
        <f>AA47/AA12</f>
        <v>3.6904867364321529E-4</v>
      </c>
      <c r="AC47" s="207">
        <f t="shared" si="2"/>
        <v>50</v>
      </c>
      <c r="AD47" s="214">
        <f>AC47/AC12</f>
        <v>3.6904867364321529E-4</v>
      </c>
      <c r="AE47" s="75"/>
      <c r="AF47" s="169"/>
      <c r="AG47" s="75"/>
      <c r="AH47" s="53">
        <f t="shared" si="20"/>
        <v>0</v>
      </c>
      <c r="AI47" s="53">
        <f t="shared" si="3"/>
        <v>600</v>
      </c>
      <c r="AJ47" s="53">
        <f t="shared" si="22"/>
        <v>4700</v>
      </c>
      <c r="AK47" s="53">
        <v>47</v>
      </c>
      <c r="AQ47" s="53">
        <f t="shared" si="4"/>
        <v>480.5</v>
      </c>
    </row>
    <row r="48" spans="1:43">
      <c r="A48" s="99">
        <v>6107</v>
      </c>
      <c r="B48" s="111" t="s">
        <v>8</v>
      </c>
      <c r="C48" s="23"/>
      <c r="D48" s="49">
        <f>C48/C12</f>
        <v>0</v>
      </c>
      <c r="E48" s="23"/>
      <c r="F48" s="49">
        <f>E48/E12</f>
        <v>0</v>
      </c>
      <c r="G48" s="23"/>
      <c r="H48" s="49">
        <f>G48/G12</f>
        <v>0</v>
      </c>
      <c r="I48" s="23"/>
      <c r="J48" s="49">
        <f>I48/I12</f>
        <v>0</v>
      </c>
      <c r="K48" s="23"/>
      <c r="L48" s="49">
        <f>K48/K12</f>
        <v>0</v>
      </c>
      <c r="M48" s="23"/>
      <c r="N48" s="49">
        <f>M48/M12</f>
        <v>0</v>
      </c>
      <c r="O48" s="23"/>
      <c r="P48" s="49">
        <f>O48/O12</f>
        <v>0</v>
      </c>
      <c r="Q48" s="23"/>
      <c r="R48" s="49">
        <f>Q48/Q12</f>
        <v>0</v>
      </c>
      <c r="S48" s="23"/>
      <c r="T48" s="49">
        <f>S48/S12</f>
        <v>0</v>
      </c>
      <c r="U48" s="23"/>
      <c r="V48" s="49">
        <f>U48/U12</f>
        <v>0</v>
      </c>
      <c r="W48" s="23"/>
      <c r="X48" s="49">
        <f>W48/W12</f>
        <v>0</v>
      </c>
      <c r="Y48" s="23"/>
      <c r="Z48" s="179">
        <f>Y48/Y12</f>
        <v>0</v>
      </c>
      <c r="AA48" s="286">
        <f t="shared" si="21"/>
        <v>0</v>
      </c>
      <c r="AB48" s="214">
        <f>AA48/AA12</f>
        <v>0</v>
      </c>
      <c r="AC48" s="207">
        <f t="shared" si="2"/>
        <v>0</v>
      </c>
      <c r="AD48" s="214">
        <f>AC48/AC12</f>
        <v>0</v>
      </c>
      <c r="AE48" s="75"/>
      <c r="AF48" s="169"/>
      <c r="AG48" s="75"/>
      <c r="AH48" s="53">
        <f t="shared" si="20"/>
        <v>0</v>
      </c>
      <c r="AI48" s="53">
        <f t="shared" si="3"/>
        <v>0</v>
      </c>
      <c r="AJ48" s="53">
        <f t="shared" si="22"/>
        <v>0</v>
      </c>
      <c r="AK48" s="53"/>
      <c r="AQ48" s="53">
        <f t="shared" si="4"/>
        <v>0</v>
      </c>
    </row>
    <row r="49" spans="1:43">
      <c r="A49" s="99">
        <v>6108</v>
      </c>
      <c r="B49" s="111" t="s">
        <v>9</v>
      </c>
      <c r="C49" s="23"/>
      <c r="D49" s="49">
        <f>C49/C12</f>
        <v>0</v>
      </c>
      <c r="E49" s="23"/>
      <c r="F49" s="49">
        <f>E49/E12</f>
        <v>0</v>
      </c>
      <c r="G49" s="23"/>
      <c r="H49" s="49">
        <f>G49/G12</f>
        <v>0</v>
      </c>
      <c r="I49" s="23">
        <v>0</v>
      </c>
      <c r="J49" s="49">
        <f>I49/I12</f>
        <v>0</v>
      </c>
      <c r="K49" s="23"/>
      <c r="L49" s="49">
        <f>K49/K12</f>
        <v>0</v>
      </c>
      <c r="M49" s="23"/>
      <c r="N49" s="49">
        <f>M49/M12</f>
        <v>0</v>
      </c>
      <c r="O49" s="23"/>
      <c r="P49" s="49">
        <f>O49/O12</f>
        <v>0</v>
      </c>
      <c r="Q49" s="23"/>
      <c r="R49" s="49">
        <f>Q49/Q12</f>
        <v>0</v>
      </c>
      <c r="S49" s="23"/>
      <c r="T49" s="49">
        <f>S49/S12</f>
        <v>0</v>
      </c>
      <c r="U49" s="23"/>
      <c r="V49" s="49">
        <f>U49/U12</f>
        <v>0</v>
      </c>
      <c r="W49" s="23"/>
      <c r="X49" s="49">
        <f>W49/W12</f>
        <v>0</v>
      </c>
      <c r="Y49" s="23"/>
      <c r="Z49" s="179">
        <f>Y49/Y12</f>
        <v>0</v>
      </c>
      <c r="AA49" s="286">
        <f t="shared" si="21"/>
        <v>0</v>
      </c>
      <c r="AB49" s="214">
        <f>AA49/AA12</f>
        <v>0</v>
      </c>
      <c r="AC49" s="207">
        <f t="shared" si="2"/>
        <v>0</v>
      </c>
      <c r="AD49" s="214">
        <f>AC49/AC12</f>
        <v>0</v>
      </c>
      <c r="AE49" s="75"/>
      <c r="AF49" s="169"/>
      <c r="AG49" s="75"/>
      <c r="AH49" s="53">
        <f t="shared" si="20"/>
        <v>0</v>
      </c>
      <c r="AI49" s="53">
        <f t="shared" si="3"/>
        <v>0</v>
      </c>
      <c r="AJ49" s="53">
        <f t="shared" si="22"/>
        <v>0</v>
      </c>
      <c r="AK49" s="53"/>
      <c r="AQ49" s="53">
        <f t="shared" si="4"/>
        <v>0</v>
      </c>
    </row>
    <row r="50" spans="1:43">
      <c r="A50" s="99">
        <v>6109</v>
      </c>
      <c r="B50" s="111" t="s">
        <v>79</v>
      </c>
      <c r="C50" s="79"/>
      <c r="D50" s="49">
        <f>C50/C12</f>
        <v>0</v>
      </c>
      <c r="E50" s="140"/>
      <c r="F50" s="49">
        <f>E50/E12</f>
        <v>0</v>
      </c>
      <c r="G50" s="140"/>
      <c r="H50" s="49">
        <f>G50/G12</f>
        <v>0</v>
      </c>
      <c r="I50" s="140">
        <v>0</v>
      </c>
      <c r="J50" s="49">
        <f>I50/I12</f>
        <v>0</v>
      </c>
      <c r="K50" s="140"/>
      <c r="L50" s="49">
        <f>K50/K12</f>
        <v>0</v>
      </c>
      <c r="M50" s="140"/>
      <c r="N50" s="49">
        <f>M50/M12</f>
        <v>0</v>
      </c>
      <c r="O50" s="140"/>
      <c r="P50" s="49">
        <f>O50/O12</f>
        <v>0</v>
      </c>
      <c r="Q50" s="140"/>
      <c r="R50" s="49">
        <f>Q50/Q12</f>
        <v>0</v>
      </c>
      <c r="S50" s="140"/>
      <c r="T50" s="49">
        <f>S50/S12</f>
        <v>0</v>
      </c>
      <c r="U50" s="140"/>
      <c r="V50" s="49">
        <f>U50/U12</f>
        <v>0</v>
      </c>
      <c r="W50" s="140"/>
      <c r="X50" s="49">
        <f>W50/W12</f>
        <v>0</v>
      </c>
      <c r="Y50" s="140"/>
      <c r="Z50" s="179">
        <f>Y50/Y12</f>
        <v>0</v>
      </c>
      <c r="AA50" s="286">
        <f t="shared" si="21"/>
        <v>0</v>
      </c>
      <c r="AB50" s="214">
        <f>AA50/AA12</f>
        <v>0</v>
      </c>
      <c r="AC50" s="207">
        <f t="shared" si="2"/>
        <v>0</v>
      </c>
      <c r="AD50" s="214">
        <f>AC50/AC12</f>
        <v>0</v>
      </c>
      <c r="AE50" s="75"/>
      <c r="AF50" s="169"/>
      <c r="AG50" s="75"/>
      <c r="AH50" s="53">
        <f t="shared" si="20"/>
        <v>0</v>
      </c>
      <c r="AI50" s="53">
        <f t="shared" si="3"/>
        <v>0</v>
      </c>
      <c r="AJ50" s="53">
        <f t="shared" si="22"/>
        <v>0</v>
      </c>
      <c r="AK50" s="53"/>
      <c r="AQ50" s="53">
        <f t="shared" si="4"/>
        <v>0</v>
      </c>
    </row>
    <row r="51" spans="1:43">
      <c r="A51" s="99">
        <v>6110</v>
      </c>
      <c r="B51" s="111" t="s">
        <v>10</v>
      </c>
      <c r="C51" s="79">
        <v>30</v>
      </c>
      <c r="D51" s="49">
        <f>C127/C12</f>
        <v>4.0890095601043517E-4</v>
      </c>
      <c r="E51" s="79">
        <v>30</v>
      </c>
      <c r="F51" s="49">
        <f>E127/E12</f>
        <v>5.2557850032479219E-4</v>
      </c>
      <c r="G51" s="79">
        <v>30</v>
      </c>
      <c r="H51" s="49">
        <f>G127/G12</f>
        <v>3.1684687687591722E-4</v>
      </c>
      <c r="I51" s="79">
        <v>30</v>
      </c>
      <c r="J51" s="49">
        <f>I127/I12</f>
        <v>3.5883231527113473E-4</v>
      </c>
      <c r="K51" s="79">
        <v>30</v>
      </c>
      <c r="L51" s="49">
        <f>K127/K12</f>
        <v>3.9233717609577748E-4</v>
      </c>
      <c r="M51" s="79">
        <v>30</v>
      </c>
      <c r="N51" s="49">
        <f>M127/M12</f>
        <v>2.7668618256496087E-4</v>
      </c>
      <c r="O51" s="79">
        <v>30</v>
      </c>
      <c r="P51" s="49">
        <f>O127/O12</f>
        <v>4.3702666966678711E-4</v>
      </c>
      <c r="Q51" s="79">
        <v>30</v>
      </c>
      <c r="R51" s="49">
        <f>Q127/Q12</f>
        <v>3.5194727389935759E-4</v>
      </c>
      <c r="S51" s="79">
        <v>30</v>
      </c>
      <c r="T51" s="49">
        <f>S127/S12</f>
        <v>3.4936918235283697E-4</v>
      </c>
      <c r="U51" s="79">
        <v>30</v>
      </c>
      <c r="V51" s="49">
        <f>U127/U12</f>
        <v>4.4045172280183332E-4</v>
      </c>
      <c r="W51" s="79">
        <v>30</v>
      </c>
      <c r="X51" s="49">
        <f>W127/W12</f>
        <v>4.329012627352052E-4</v>
      </c>
      <c r="Y51" s="79">
        <v>30</v>
      </c>
      <c r="Z51" s="179">
        <f t="shared" ref="Z51" si="24">Y51/Y$12</f>
        <v>1.7193819847557257E-4</v>
      </c>
      <c r="AA51" s="286">
        <f t="shared" si="21"/>
        <v>360</v>
      </c>
      <c r="AB51" s="214">
        <f>AA51/AA12</f>
        <v>2.2142920418592916E-4</v>
      </c>
      <c r="AC51" s="207">
        <f t="shared" si="2"/>
        <v>30</v>
      </c>
      <c r="AD51" s="214">
        <f>AC51/AC12</f>
        <v>2.2142920418592916E-4</v>
      </c>
      <c r="AE51" s="75"/>
      <c r="AF51" s="169"/>
      <c r="AG51" s="75"/>
      <c r="AH51" s="53">
        <f t="shared" si="20"/>
        <v>0</v>
      </c>
      <c r="AI51" s="53">
        <f t="shared" si="3"/>
        <v>360</v>
      </c>
      <c r="AJ51" s="53">
        <f t="shared" si="22"/>
        <v>2820</v>
      </c>
      <c r="AK51" s="53"/>
      <c r="AQ51" s="53">
        <f t="shared" si="4"/>
        <v>288.29999999999995</v>
      </c>
    </row>
    <row r="52" spans="1:43">
      <c r="A52" s="99">
        <v>6111</v>
      </c>
      <c r="B52" s="111" t="s">
        <v>11</v>
      </c>
      <c r="C52" s="43">
        <v>5201.79</v>
      </c>
      <c r="D52" s="49">
        <f>C52/C12</f>
        <v>4.254033807931043E-2</v>
      </c>
      <c r="E52" s="43">
        <v>5201.79</v>
      </c>
      <c r="F52" s="49">
        <f>E52/E12</f>
        <v>5.4678979744090014E-2</v>
      </c>
      <c r="G52" s="43">
        <v>5201.79</v>
      </c>
      <c r="H52" s="49">
        <f>G52/G12</f>
        <v>3.296341831328755E-2</v>
      </c>
      <c r="I52" s="43">
        <v>5201.79</v>
      </c>
      <c r="J52" s="49">
        <f>I52/I12</f>
        <v>3.733140698508472E-2</v>
      </c>
      <c r="K52" s="43">
        <v>5201.79</v>
      </c>
      <c r="L52" s="49">
        <f>K52/K12</f>
        <v>4.0817111984865088E-2</v>
      </c>
      <c r="M52" s="43">
        <v>5201.79</v>
      </c>
      <c r="N52" s="49">
        <f>M52/M12</f>
        <v>2.8785268352091758E-2</v>
      </c>
      <c r="O52" s="43">
        <v>5201.79</v>
      </c>
      <c r="P52" s="49">
        <f>O52/O12</f>
        <v>4.5466419200119929E-2</v>
      </c>
      <c r="Q52" s="43">
        <v>5201.79</v>
      </c>
      <c r="R52" s="49">
        <f>Q52/Q12</f>
        <v>3.6615116197938787E-2</v>
      </c>
      <c r="S52" s="43">
        <v>5201.79</v>
      </c>
      <c r="T52" s="49">
        <f>S52/S12</f>
        <v>3.6346902381423275E-2</v>
      </c>
      <c r="U52" s="43">
        <v>5201.79</v>
      </c>
      <c r="V52" s="49">
        <f>U52/U12</f>
        <v>4.5822747343066968E-2</v>
      </c>
      <c r="W52" s="43">
        <v>5201.79</v>
      </c>
      <c r="X52" s="49">
        <f>W52/W12</f>
        <v>4.5037229189667259E-2</v>
      </c>
      <c r="Y52" s="43">
        <v>5357.9750000000004</v>
      </c>
      <c r="Z52" s="179">
        <f>Y52/Y12</f>
        <v>3.07080189659052E-2</v>
      </c>
      <c r="AA52" s="286">
        <f t="shared" si="21"/>
        <v>62577.665000000001</v>
      </c>
      <c r="AB52" s="214">
        <f>AA52/AA12</f>
        <v>3.8490340446565761E-2</v>
      </c>
      <c r="AC52" s="205">
        <f t="shared" si="2"/>
        <v>5214.805416666667</v>
      </c>
      <c r="AD52" s="214">
        <f>AC52/AC12</f>
        <v>3.8490340446565761E-2</v>
      </c>
      <c r="AE52" s="75"/>
      <c r="AF52" s="169"/>
      <c r="AG52" s="75"/>
      <c r="AH52" s="53">
        <f t="shared" si="20"/>
        <v>0</v>
      </c>
      <c r="AI52" s="53">
        <f t="shared" si="3"/>
        <v>62577.665000000001</v>
      </c>
      <c r="AJ52" s="53">
        <f t="shared" si="22"/>
        <v>490436.39900000003</v>
      </c>
      <c r="AK52" s="53" t="s">
        <v>232</v>
      </c>
      <c r="AQ52" s="53">
        <f t="shared" si="4"/>
        <v>49989.2019</v>
      </c>
    </row>
    <row r="53" spans="1:43">
      <c r="A53" s="99">
        <v>6112</v>
      </c>
      <c r="B53" s="111" t="s">
        <v>12</v>
      </c>
      <c r="C53" s="43">
        <f>280*1.15</f>
        <v>322</v>
      </c>
      <c r="D53" s="49">
        <f>C53/C12</f>
        <v>2.6333221567072023E-3</v>
      </c>
      <c r="E53" s="43">
        <f>280*1.15</f>
        <v>322</v>
      </c>
      <c r="F53" s="49">
        <f>E53/E12</f>
        <v>3.3847255420916614E-3</v>
      </c>
      <c r="G53" s="43">
        <f>280*1.15</f>
        <v>322</v>
      </c>
      <c r="H53" s="49">
        <f>G53/G12</f>
        <v>2.040493887080907E-3</v>
      </c>
      <c r="I53" s="43">
        <f>280*1.15</f>
        <v>322</v>
      </c>
      <c r="J53" s="49">
        <f>I53/I12</f>
        <v>2.3108801103461077E-3</v>
      </c>
      <c r="K53" s="43">
        <f>280*1.15</f>
        <v>322</v>
      </c>
      <c r="L53" s="49">
        <f>K53/K12</f>
        <v>2.5266514140568071E-3</v>
      </c>
      <c r="M53" s="43">
        <f>280*1.15</f>
        <v>322</v>
      </c>
      <c r="N53" s="49">
        <f>M53/M12</f>
        <v>1.7818590157183481E-3</v>
      </c>
      <c r="O53" s="43">
        <f>280*1.15</f>
        <v>322</v>
      </c>
      <c r="P53" s="49">
        <f>O53/O12</f>
        <v>2.8144517526541091E-3</v>
      </c>
      <c r="Q53" s="43">
        <f>280*1.15</f>
        <v>322</v>
      </c>
      <c r="R53" s="49">
        <f>Q53/Q12</f>
        <v>2.266540443911863E-3</v>
      </c>
      <c r="S53" s="43">
        <f>280*1.15</f>
        <v>322</v>
      </c>
      <c r="T53" s="49">
        <f>S53/S12</f>
        <v>2.2499375343522704E-3</v>
      </c>
      <c r="U53" s="43">
        <f>280*1.15</f>
        <v>322</v>
      </c>
      <c r="V53" s="49">
        <f>U53/U12</f>
        <v>2.8365090948438065E-3</v>
      </c>
      <c r="W53" s="43">
        <f>280*1.15</f>
        <v>322</v>
      </c>
      <c r="X53" s="49">
        <f>W53/W12</f>
        <v>2.7878841320147212E-3</v>
      </c>
      <c r="Y53" s="43">
        <f>280*1.15</f>
        <v>322</v>
      </c>
      <c r="Z53" s="179">
        <f>Y53/Y12</f>
        <v>1.8454699969711456E-3</v>
      </c>
      <c r="AA53" s="286">
        <f t="shared" si="21"/>
        <v>3864</v>
      </c>
      <c r="AB53" s="214">
        <f>AA53/AA12</f>
        <v>2.3766734582623063E-3</v>
      </c>
      <c r="AC53" s="205">
        <f t="shared" si="2"/>
        <v>322</v>
      </c>
      <c r="AD53" s="214">
        <f>AC53/AC12</f>
        <v>2.3766734582623063E-3</v>
      </c>
      <c r="AE53" s="75"/>
      <c r="AF53" s="169"/>
      <c r="AG53" s="75"/>
      <c r="AH53" s="53">
        <f t="shared" si="20"/>
        <v>0</v>
      </c>
      <c r="AI53" s="53">
        <f t="shared" si="3"/>
        <v>3864</v>
      </c>
      <c r="AJ53" s="53">
        <f t="shared" si="22"/>
        <v>30267.999999999996</v>
      </c>
      <c r="AK53" s="53" t="s">
        <v>232</v>
      </c>
      <c r="AQ53" s="53">
        <f t="shared" si="4"/>
        <v>3094.4199999999996</v>
      </c>
    </row>
    <row r="54" spans="1:43">
      <c r="A54" s="99">
        <v>6113</v>
      </c>
      <c r="B54" s="111" t="s">
        <v>13</v>
      </c>
      <c r="C54" s="43">
        <v>285</v>
      </c>
      <c r="D54" s="49">
        <f>C54/C12</f>
        <v>2.3307354492594803E-3</v>
      </c>
      <c r="E54" s="43">
        <v>285</v>
      </c>
      <c r="F54" s="49">
        <f>E54/E12</f>
        <v>2.9957974518513152E-3</v>
      </c>
      <c r="G54" s="43">
        <v>285</v>
      </c>
      <c r="H54" s="49">
        <f>G54/G12</f>
        <v>1.8060271981927281E-3</v>
      </c>
      <c r="I54" s="43">
        <v>285</v>
      </c>
      <c r="J54" s="49">
        <f>I54/I12</f>
        <v>2.0453441970454678E-3</v>
      </c>
      <c r="K54" s="43">
        <v>137.9</v>
      </c>
      <c r="L54" s="49">
        <f>K54/K12</f>
        <v>1.0820659316721542E-3</v>
      </c>
      <c r="M54" s="43">
        <v>0</v>
      </c>
      <c r="N54" s="49">
        <f>M54/M12</f>
        <v>0</v>
      </c>
      <c r="O54" s="43">
        <v>0</v>
      </c>
      <c r="P54" s="49">
        <f>O54/O12</f>
        <v>0</v>
      </c>
      <c r="Q54" s="43">
        <v>0</v>
      </c>
      <c r="R54" s="49">
        <f>Q54/Q12</f>
        <v>0</v>
      </c>
      <c r="S54" s="43">
        <v>0</v>
      </c>
      <c r="T54" s="49">
        <f>S54/S12</f>
        <v>0</v>
      </c>
      <c r="U54" s="43">
        <v>0</v>
      </c>
      <c r="V54" s="49">
        <f>U54/U12</f>
        <v>0</v>
      </c>
      <c r="W54" s="43">
        <v>0</v>
      </c>
      <c r="X54" s="49">
        <f>W54/W12</f>
        <v>0</v>
      </c>
      <c r="Y54" s="43">
        <v>0</v>
      </c>
      <c r="Z54" s="179">
        <f>Y54/Y12</f>
        <v>0</v>
      </c>
      <c r="AA54" s="286">
        <f t="shared" si="21"/>
        <v>1277.9000000000001</v>
      </c>
      <c r="AB54" s="214">
        <f>AA54/AA12</f>
        <v>7.8601216674777476E-4</v>
      </c>
      <c r="AC54" s="205">
        <f t="shared" si="2"/>
        <v>106.49166666666667</v>
      </c>
      <c r="AD54" s="214">
        <f>AC54/AC12</f>
        <v>7.8601216674777476E-4</v>
      </c>
      <c r="AE54" s="75"/>
      <c r="AF54" s="169"/>
      <c r="AG54" s="75"/>
      <c r="AH54" s="53">
        <f t="shared" si="20"/>
        <v>0</v>
      </c>
      <c r="AI54" s="53">
        <f t="shared" si="3"/>
        <v>1277.9000000000001</v>
      </c>
      <c r="AJ54" s="53">
        <f t="shared" si="22"/>
        <v>6654.26</v>
      </c>
      <c r="AK54" s="53" t="s">
        <v>232</v>
      </c>
      <c r="AQ54" s="53">
        <f t="shared" si="4"/>
        <v>0</v>
      </c>
    </row>
    <row r="55" spans="1:43">
      <c r="A55" s="99">
        <v>6114</v>
      </c>
      <c r="B55" s="111" t="s">
        <v>88</v>
      </c>
      <c r="C55" s="23">
        <v>550</v>
      </c>
      <c r="D55" s="49">
        <f>C55/C12</f>
        <v>4.4979105161147863E-3</v>
      </c>
      <c r="E55" s="23">
        <v>550</v>
      </c>
      <c r="F55" s="49">
        <f>E55/E12</f>
        <v>5.7813635035727142E-3</v>
      </c>
      <c r="G55" s="23">
        <v>550</v>
      </c>
      <c r="H55" s="49">
        <f>G55/G12</f>
        <v>3.4853156456350893E-3</v>
      </c>
      <c r="I55" s="23">
        <v>550</v>
      </c>
      <c r="J55" s="49">
        <f>I55/I12</f>
        <v>3.9471554679824817E-3</v>
      </c>
      <c r="K55" s="23">
        <v>550</v>
      </c>
      <c r="L55" s="49">
        <f>K55/K12</f>
        <v>4.3157089370535525E-3</v>
      </c>
      <c r="M55" s="23">
        <v>550</v>
      </c>
      <c r="N55" s="49">
        <f>M55/M12</f>
        <v>3.0435480082145697E-3</v>
      </c>
      <c r="O55" s="23">
        <v>550</v>
      </c>
      <c r="P55" s="49">
        <f>O55/O12</f>
        <v>4.8072933663346577E-3</v>
      </c>
      <c r="Q55" s="23">
        <v>550</v>
      </c>
      <c r="R55" s="49">
        <f>Q55/Q12</f>
        <v>3.8714200128929337E-3</v>
      </c>
      <c r="S55" s="23">
        <v>550</v>
      </c>
      <c r="T55" s="49">
        <f>S55/S12</f>
        <v>3.8430610058812066E-3</v>
      </c>
      <c r="U55" s="23">
        <v>550</v>
      </c>
      <c r="V55" s="49">
        <f>U55/U12</f>
        <v>4.8449689508201664E-3</v>
      </c>
      <c r="W55" s="23">
        <v>550</v>
      </c>
      <c r="X55" s="49">
        <f>W55/W12</f>
        <v>4.7619138900872569E-3</v>
      </c>
      <c r="Y55" s="23">
        <v>550</v>
      </c>
      <c r="Z55" s="179">
        <f>Y55/Y12</f>
        <v>3.1522003053854972E-3</v>
      </c>
      <c r="AA55" s="286">
        <f t="shared" si="21"/>
        <v>6600</v>
      </c>
      <c r="AB55" s="214">
        <f>AA55/AA12</f>
        <v>4.0595354100753682E-3</v>
      </c>
      <c r="AC55" s="207">
        <f t="shared" si="2"/>
        <v>550</v>
      </c>
      <c r="AD55" s="214">
        <f>AC55/AC12</f>
        <v>4.0595354100753682E-3</v>
      </c>
      <c r="AE55" s="75"/>
      <c r="AF55" s="169">
        <v>4657</v>
      </c>
      <c r="AG55" s="478" t="s">
        <v>346</v>
      </c>
      <c r="AH55" s="53">
        <f t="shared" si="20"/>
        <v>0</v>
      </c>
      <c r="AI55" s="53">
        <f t="shared" si="3"/>
        <v>6600</v>
      </c>
      <c r="AJ55" s="53">
        <f t="shared" si="22"/>
        <v>51700</v>
      </c>
      <c r="AK55" s="53">
        <v>66</v>
      </c>
      <c r="AQ55" s="53">
        <f t="shared" si="4"/>
        <v>5285.5</v>
      </c>
    </row>
    <row r="56" spans="1:43">
      <c r="A56" s="99">
        <v>6115</v>
      </c>
      <c r="B56" s="111" t="s">
        <v>14</v>
      </c>
      <c r="C56" s="54">
        <v>70</v>
      </c>
      <c r="D56" s="49">
        <f>C56/C12</f>
        <v>5.7246133841460918E-4</v>
      </c>
      <c r="E56" s="54">
        <v>70</v>
      </c>
      <c r="F56" s="49">
        <f>E56/E12</f>
        <v>7.3580990045470909E-4</v>
      </c>
      <c r="G56" s="54">
        <v>70</v>
      </c>
      <c r="H56" s="49">
        <f>G56/G12</f>
        <v>4.4358562762628409E-4</v>
      </c>
      <c r="I56" s="54">
        <v>70</v>
      </c>
      <c r="J56" s="49">
        <f>I56/I12</f>
        <v>5.0236524137958858E-4</v>
      </c>
      <c r="K56" s="54">
        <v>70</v>
      </c>
      <c r="L56" s="49">
        <f>K56/K12</f>
        <v>5.4927204653408849E-4</v>
      </c>
      <c r="M56" s="54">
        <v>70</v>
      </c>
      <c r="N56" s="49">
        <f>M56/M12</f>
        <v>3.8736065559094525E-4</v>
      </c>
      <c r="O56" s="54">
        <v>70</v>
      </c>
      <c r="P56" s="49">
        <f>O56/O12</f>
        <v>6.1183733753350197E-4</v>
      </c>
      <c r="Q56" s="54">
        <v>70</v>
      </c>
      <c r="R56" s="49">
        <f>Q56/Q12</f>
        <v>4.9272618345910064E-4</v>
      </c>
      <c r="S56" s="54">
        <v>70</v>
      </c>
      <c r="T56" s="49">
        <f>S56/S12</f>
        <v>4.8911685529397177E-4</v>
      </c>
      <c r="U56" s="54">
        <v>70</v>
      </c>
      <c r="V56" s="49">
        <f>U56/U12</f>
        <v>6.1663241192256657E-4</v>
      </c>
      <c r="W56" s="54">
        <v>70</v>
      </c>
      <c r="X56" s="49">
        <f>W56/W12</f>
        <v>6.0606176782928721E-4</v>
      </c>
      <c r="Y56" s="54">
        <v>70</v>
      </c>
      <c r="Z56" s="49">
        <f>Y56/Y12</f>
        <v>4.0118912977633598E-4</v>
      </c>
      <c r="AA56" s="286">
        <f t="shared" si="21"/>
        <v>840</v>
      </c>
      <c r="AB56" s="214">
        <f>AA56/AA12</f>
        <v>5.1666814310050136E-4</v>
      </c>
      <c r="AC56" s="207">
        <f t="shared" si="2"/>
        <v>70</v>
      </c>
      <c r="AD56" s="214">
        <f>AC56/AC12</f>
        <v>5.1666814310050136E-4</v>
      </c>
      <c r="AE56" s="75"/>
      <c r="AF56" s="169"/>
      <c r="AG56" s="75"/>
      <c r="AH56" s="53">
        <f t="shared" si="20"/>
        <v>0</v>
      </c>
      <c r="AI56" s="53">
        <f t="shared" si="3"/>
        <v>840</v>
      </c>
      <c r="AJ56" s="53">
        <f t="shared" si="22"/>
        <v>6580</v>
      </c>
      <c r="AK56" s="53">
        <v>43</v>
      </c>
      <c r="AQ56" s="53">
        <f t="shared" si="4"/>
        <v>672.69999999999993</v>
      </c>
    </row>
    <row r="57" spans="1:43">
      <c r="A57" s="99">
        <v>6116</v>
      </c>
      <c r="B57" s="111" t="s">
        <v>15</v>
      </c>
      <c r="C57" s="23">
        <v>188</v>
      </c>
      <c r="D57" s="49">
        <f>C57/C12</f>
        <v>1.5374675945992362E-3</v>
      </c>
      <c r="E57" s="23">
        <v>188</v>
      </c>
      <c r="F57" s="49">
        <f>E57/E12</f>
        <v>1.9761751612212184E-3</v>
      </c>
      <c r="G57" s="23">
        <v>188</v>
      </c>
      <c r="H57" s="49">
        <f>G57/G12</f>
        <v>1.1913442570534486E-3</v>
      </c>
      <c r="I57" s="23">
        <v>188</v>
      </c>
      <c r="J57" s="49">
        <f>I57/I12</f>
        <v>1.3492095054194666E-3</v>
      </c>
      <c r="K57" s="23">
        <v>188</v>
      </c>
      <c r="L57" s="49">
        <f>K57/K12</f>
        <v>1.4751877821201232E-3</v>
      </c>
      <c r="M57" s="23">
        <v>188</v>
      </c>
      <c r="N57" s="49">
        <f>M57/M12</f>
        <v>1.040340046444253E-3</v>
      </c>
      <c r="O57" s="23">
        <v>188</v>
      </c>
      <c r="P57" s="49">
        <f>O57/O12</f>
        <v>1.6432202779471195E-3</v>
      </c>
      <c r="Q57" s="23">
        <v>188</v>
      </c>
      <c r="R57" s="49">
        <f>Q57/Q12</f>
        <v>1.3233217498615846E-3</v>
      </c>
      <c r="S57" s="23">
        <v>188</v>
      </c>
      <c r="T57" s="49">
        <f>S57/S12</f>
        <v>1.313628125646667E-3</v>
      </c>
      <c r="U57" s="23">
        <v>188</v>
      </c>
      <c r="V57" s="49">
        <f>U57/U12</f>
        <v>1.6560984777348933E-3</v>
      </c>
      <c r="W57" s="23">
        <v>188</v>
      </c>
      <c r="X57" s="49">
        <f>W57/W12</f>
        <v>1.6277087478843715E-3</v>
      </c>
      <c r="Y57" s="23">
        <v>188</v>
      </c>
      <c r="Z57" s="179">
        <f>Y57/Y12</f>
        <v>1.0774793771135881E-3</v>
      </c>
      <c r="AA57" s="286">
        <f t="shared" si="21"/>
        <v>2256</v>
      </c>
      <c r="AB57" s="214">
        <f>AA57/AA12</f>
        <v>1.3876230128984895E-3</v>
      </c>
      <c r="AC57" s="207">
        <f t="shared" si="2"/>
        <v>188</v>
      </c>
      <c r="AD57" s="214">
        <f>AC57/AC12</f>
        <v>1.3876230128984895E-3</v>
      </c>
      <c r="AE57" s="75"/>
      <c r="AF57" s="169">
        <v>1475</v>
      </c>
      <c r="AG57" s="478" t="s">
        <v>347</v>
      </c>
      <c r="AH57" s="53">
        <f t="shared" si="20"/>
        <v>0</v>
      </c>
      <c r="AI57" s="53">
        <f t="shared" si="3"/>
        <v>2256</v>
      </c>
      <c r="AJ57" s="53">
        <f t="shared" si="22"/>
        <v>17672.000000000004</v>
      </c>
      <c r="AK57" s="53">
        <v>1962.3</v>
      </c>
      <c r="AL57" s="1" t="s">
        <v>242</v>
      </c>
      <c r="AQ57" s="53">
        <f t="shared" si="4"/>
        <v>1806.6799999999998</v>
      </c>
    </row>
    <row r="58" spans="1:43">
      <c r="A58" s="99">
        <v>6117</v>
      </c>
      <c r="B58" s="111" t="s">
        <v>16</v>
      </c>
      <c r="C58" s="43"/>
      <c r="D58" s="49">
        <f>C58/C12</f>
        <v>0</v>
      </c>
      <c r="E58" s="43"/>
      <c r="F58" s="49">
        <f>E58/E12</f>
        <v>0</v>
      </c>
      <c r="G58" s="80"/>
      <c r="H58" s="49">
        <f>G58/G12</f>
        <v>0</v>
      </c>
      <c r="I58" s="18"/>
      <c r="J58" s="49">
        <f>I58/I12</f>
        <v>0</v>
      </c>
      <c r="K58" s="43">
        <v>0</v>
      </c>
      <c r="L58" s="49">
        <f>K58/K12</f>
        <v>0</v>
      </c>
      <c r="M58" s="18"/>
      <c r="N58" s="49">
        <f>M58/M12</f>
        <v>0</v>
      </c>
      <c r="O58" s="18"/>
      <c r="P58" s="49">
        <f>O58/O12</f>
        <v>0</v>
      </c>
      <c r="Q58" s="18"/>
      <c r="R58" s="49">
        <f>Q58/Q12</f>
        <v>0</v>
      </c>
      <c r="S58" s="18"/>
      <c r="T58" s="49">
        <f>S58/S12</f>
        <v>0</v>
      </c>
      <c r="U58" s="43"/>
      <c r="V58" s="49">
        <f>U58/U12</f>
        <v>0</v>
      </c>
      <c r="W58" s="33"/>
      <c r="X58" s="49">
        <f>W58/W12</f>
        <v>0</v>
      </c>
      <c r="Y58" s="43"/>
      <c r="Z58" s="179">
        <f>Y58/Y12</f>
        <v>0</v>
      </c>
      <c r="AA58" s="286">
        <f t="shared" si="21"/>
        <v>0</v>
      </c>
      <c r="AB58" s="214">
        <f>AA58/AA12</f>
        <v>0</v>
      </c>
      <c r="AC58" s="205">
        <f t="shared" si="2"/>
        <v>0</v>
      </c>
      <c r="AD58" s="214">
        <f>AC58/AC12</f>
        <v>0</v>
      </c>
      <c r="AE58" s="75"/>
      <c r="AF58" s="169"/>
      <c r="AG58" s="75"/>
      <c r="AH58" s="53">
        <f t="shared" si="20"/>
        <v>0</v>
      </c>
      <c r="AI58" s="53">
        <f t="shared" si="3"/>
        <v>0</v>
      </c>
      <c r="AJ58" s="53">
        <f t="shared" si="22"/>
        <v>0</v>
      </c>
      <c r="AK58" s="53"/>
      <c r="AQ58" s="53">
        <f t="shared" si="4"/>
        <v>0</v>
      </c>
    </row>
    <row r="59" spans="1:43">
      <c r="A59" s="99">
        <v>6118</v>
      </c>
      <c r="B59" s="112" t="s">
        <v>17</v>
      </c>
      <c r="C59" s="54">
        <v>1250</v>
      </c>
      <c r="D59" s="49">
        <f t="shared" ref="D59" si="25">C59/C$12</f>
        <v>1.0222523900260879E-2</v>
      </c>
      <c r="E59" s="54">
        <v>1250</v>
      </c>
      <c r="F59" s="49">
        <f t="shared" ref="F59" si="26">E59/E$12</f>
        <v>1.3139462508119804E-2</v>
      </c>
      <c r="G59" s="54">
        <v>1250</v>
      </c>
      <c r="H59" s="49">
        <f>G59/G$12</f>
        <v>7.9211719218979307E-3</v>
      </c>
      <c r="I59" s="54">
        <v>1250</v>
      </c>
      <c r="J59" s="49">
        <f>I59/I$5</f>
        <v>7.1766463054226941E-3</v>
      </c>
      <c r="K59" s="54">
        <v>1250</v>
      </c>
      <c r="L59" s="49">
        <f>K59/K$5</f>
        <v>8.3832729934995159E-3</v>
      </c>
      <c r="M59" s="54">
        <v>1250</v>
      </c>
      <c r="N59" s="49">
        <f>M59/M$5</f>
        <v>5.2402686091848633E-3</v>
      </c>
      <c r="O59" s="54">
        <v>1250</v>
      </c>
      <c r="P59" s="49">
        <f t="shared" ref="P59" si="27">O59/O$5</f>
        <v>8.8110215658626454E-3</v>
      </c>
      <c r="Q59" s="54">
        <v>1250</v>
      </c>
      <c r="R59" s="49">
        <f t="shared" ref="R59" si="28">Q59/Q$5</f>
        <v>7.1533998760031992E-3</v>
      </c>
      <c r="S59" s="54">
        <v>1250</v>
      </c>
      <c r="T59" s="49">
        <f t="shared" ref="T59" si="29">S59/S$5</f>
        <v>7.4651534690777111E-3</v>
      </c>
      <c r="U59" s="54">
        <v>1250</v>
      </c>
      <c r="V59" s="49">
        <f t="shared" ref="V59" si="30">U59/U$5</f>
        <v>8.8800750564885789E-3</v>
      </c>
      <c r="W59" s="54">
        <v>1250</v>
      </c>
      <c r="X59" s="49">
        <f t="shared" ref="X59" si="31">W59/W$5</f>
        <v>9.6629746146251159E-3</v>
      </c>
      <c r="Y59" s="54">
        <v>1250</v>
      </c>
      <c r="Z59" s="179">
        <f t="shared" ref="Z59" si="32">Y59/Y$5</f>
        <v>5.7312732825190831E-3</v>
      </c>
      <c r="AA59" s="286">
        <f t="shared" si="21"/>
        <v>15000</v>
      </c>
      <c r="AB59" s="214">
        <f t="shared" ref="AB59" si="33">AA59/AA$5</f>
        <v>7.4931685021721421E-3</v>
      </c>
      <c r="AC59" s="207">
        <f t="shared" si="2"/>
        <v>1250</v>
      </c>
      <c r="AD59" s="214">
        <f t="shared" ref="AD59" si="34">AC59/AC$5</f>
        <v>7.4931685021721412E-3</v>
      </c>
      <c r="AE59" s="170"/>
      <c r="AF59" s="170"/>
      <c r="AG59" s="170"/>
      <c r="AH59" s="53">
        <f t="shared" si="20"/>
        <v>0</v>
      </c>
      <c r="AI59" s="53">
        <f t="shared" si="3"/>
        <v>15000</v>
      </c>
      <c r="AJ59" s="53">
        <f t="shared" si="22"/>
        <v>117500</v>
      </c>
      <c r="AK59" s="53">
        <v>1031</v>
      </c>
      <c r="AL59" s="1">
        <v>19206.599999999999</v>
      </c>
      <c r="AM59" s="1">
        <f>AL59/12</f>
        <v>1600.55</v>
      </c>
      <c r="AN59" s="374" t="s">
        <v>312</v>
      </c>
      <c r="AQ59" s="53">
        <f t="shared" si="4"/>
        <v>12012.5</v>
      </c>
    </row>
    <row r="60" spans="1:43">
      <c r="A60" s="99">
        <v>6119</v>
      </c>
      <c r="B60" s="111" t="s">
        <v>18</v>
      </c>
      <c r="C60" s="43"/>
      <c r="D60" s="49">
        <f>C60/C12</f>
        <v>0</v>
      </c>
      <c r="E60" s="43"/>
      <c r="F60" s="49">
        <f>E60/E12</f>
        <v>0</v>
      </c>
      <c r="G60" s="80"/>
      <c r="H60" s="49">
        <f>G60/G12</f>
        <v>0</v>
      </c>
      <c r="I60" s="18"/>
      <c r="J60" s="49">
        <f>I60/I12</f>
        <v>0</v>
      </c>
      <c r="K60" s="43">
        <v>0</v>
      </c>
      <c r="L60" s="49">
        <f>K60/K12</f>
        <v>0</v>
      </c>
      <c r="M60" s="18"/>
      <c r="N60" s="49">
        <f>M60/M12</f>
        <v>0</v>
      </c>
      <c r="O60" s="18"/>
      <c r="P60" s="49">
        <f>O60/O12</f>
        <v>0</v>
      </c>
      <c r="Q60" s="18"/>
      <c r="R60" s="49">
        <f>Q60/Q12</f>
        <v>0</v>
      </c>
      <c r="S60" s="18"/>
      <c r="T60" s="49">
        <f>S60/S12</f>
        <v>0</v>
      </c>
      <c r="U60" s="43"/>
      <c r="V60" s="49">
        <f>U60/U12</f>
        <v>0</v>
      </c>
      <c r="W60" s="33"/>
      <c r="X60" s="49">
        <f>W60/W12</f>
        <v>0</v>
      </c>
      <c r="Y60" s="43"/>
      <c r="Z60" s="179">
        <f>Y60/Y12</f>
        <v>0</v>
      </c>
      <c r="AA60" s="286">
        <f t="shared" si="21"/>
        <v>0</v>
      </c>
      <c r="AB60" s="214">
        <f>AA60/AA12</f>
        <v>0</v>
      </c>
      <c r="AC60" s="205">
        <f t="shared" si="2"/>
        <v>0</v>
      </c>
      <c r="AD60" s="214">
        <f>AC60/AC12</f>
        <v>0</v>
      </c>
      <c r="AE60" s="75"/>
      <c r="AF60" s="169"/>
      <c r="AG60" s="75"/>
      <c r="AH60" s="53">
        <f t="shared" si="20"/>
        <v>0</v>
      </c>
      <c r="AI60" s="53">
        <f t="shared" si="3"/>
        <v>0</v>
      </c>
      <c r="AJ60" s="53">
        <f t="shared" si="22"/>
        <v>0</v>
      </c>
      <c r="AK60" s="53"/>
      <c r="AQ60" s="53">
        <f t="shared" si="4"/>
        <v>0</v>
      </c>
    </row>
    <row r="61" spans="1:43">
      <c r="A61" s="99">
        <v>6120</v>
      </c>
      <c r="B61" s="111" t="s">
        <v>19</v>
      </c>
      <c r="C61" s="43"/>
      <c r="D61" s="49">
        <f>C61/C12</f>
        <v>0</v>
      </c>
      <c r="E61" s="43"/>
      <c r="F61" s="49">
        <f>E61/E12</f>
        <v>0</v>
      </c>
      <c r="G61" s="80"/>
      <c r="H61" s="49">
        <f>G61/G12</f>
        <v>0</v>
      </c>
      <c r="I61" s="18"/>
      <c r="J61" s="49">
        <f>I61/I12</f>
        <v>0</v>
      </c>
      <c r="K61" s="43">
        <v>0</v>
      </c>
      <c r="L61" s="49">
        <f>K61/K12</f>
        <v>0</v>
      </c>
      <c r="M61" s="18"/>
      <c r="N61" s="49">
        <f>M61/M12</f>
        <v>0</v>
      </c>
      <c r="O61" s="18"/>
      <c r="P61" s="49">
        <f>O61/O12</f>
        <v>0</v>
      </c>
      <c r="Q61" s="18"/>
      <c r="R61" s="49">
        <f>Q61/Q12</f>
        <v>0</v>
      </c>
      <c r="S61" s="18"/>
      <c r="T61" s="49">
        <f>S61/S12</f>
        <v>0</v>
      </c>
      <c r="U61" s="43"/>
      <c r="V61" s="49">
        <f>U61/U12</f>
        <v>0</v>
      </c>
      <c r="W61" s="33"/>
      <c r="X61" s="49">
        <f>W61/W12</f>
        <v>0</v>
      </c>
      <c r="Y61" s="43"/>
      <c r="Z61" s="179">
        <f>Y61/Y12</f>
        <v>0</v>
      </c>
      <c r="AA61" s="286">
        <f t="shared" si="21"/>
        <v>0</v>
      </c>
      <c r="AB61" s="214">
        <f>AA61/AA12</f>
        <v>0</v>
      </c>
      <c r="AC61" s="205">
        <f t="shared" si="2"/>
        <v>0</v>
      </c>
      <c r="AD61" s="214">
        <f>AC61/AC12</f>
        <v>0</v>
      </c>
      <c r="AE61" s="75"/>
      <c r="AF61" s="169"/>
      <c r="AG61" s="75"/>
      <c r="AH61" s="53">
        <f t="shared" si="20"/>
        <v>0</v>
      </c>
      <c r="AI61" s="53">
        <f t="shared" si="3"/>
        <v>0</v>
      </c>
      <c r="AJ61" s="53">
        <f t="shared" si="22"/>
        <v>0</v>
      </c>
      <c r="AK61" s="53"/>
      <c r="AQ61" s="53">
        <f t="shared" si="4"/>
        <v>0</v>
      </c>
    </row>
    <row r="62" spans="1:43">
      <c r="A62" s="2">
        <v>6121</v>
      </c>
      <c r="B62" s="111" t="s">
        <v>20</v>
      </c>
      <c r="C62" s="18">
        <v>30</v>
      </c>
      <c r="D62" s="49">
        <f>C62/C12</f>
        <v>2.453405736062611E-4</v>
      </c>
      <c r="E62" s="18">
        <v>30</v>
      </c>
      <c r="F62" s="49">
        <f>E62/E12</f>
        <v>3.1534710019487529E-4</v>
      </c>
      <c r="G62" s="18">
        <v>30</v>
      </c>
      <c r="H62" s="49">
        <f>G62/G12</f>
        <v>1.9010812612555033E-4</v>
      </c>
      <c r="I62" s="18">
        <v>30</v>
      </c>
      <c r="J62" s="49">
        <f>I62/I12</f>
        <v>2.1529938916268083E-4</v>
      </c>
      <c r="K62" s="18">
        <v>30</v>
      </c>
      <c r="L62" s="49">
        <f>K62/K12</f>
        <v>2.3540230565746649E-4</v>
      </c>
      <c r="M62" s="18">
        <v>30</v>
      </c>
      <c r="N62" s="49">
        <f>M62/M12</f>
        <v>1.6601170953897654E-4</v>
      </c>
      <c r="O62" s="18">
        <v>30</v>
      </c>
      <c r="P62" s="49">
        <f>O62/O12</f>
        <v>2.6221600180007226E-4</v>
      </c>
      <c r="Q62" s="18">
        <v>30</v>
      </c>
      <c r="R62" s="49">
        <f>Q62/Q12</f>
        <v>2.1116836433961457E-4</v>
      </c>
      <c r="S62" s="18">
        <v>30</v>
      </c>
      <c r="T62" s="49">
        <f>S62/S12</f>
        <v>2.096215094117022E-4</v>
      </c>
      <c r="U62" s="18">
        <v>30</v>
      </c>
      <c r="V62" s="49">
        <f>U62/U12</f>
        <v>2.6427103368109996E-4</v>
      </c>
      <c r="W62" s="18">
        <v>30</v>
      </c>
      <c r="X62" s="49">
        <f>W62/W12</f>
        <v>2.5974075764112313E-4</v>
      </c>
      <c r="Y62" s="18">
        <v>30</v>
      </c>
      <c r="Z62" s="179">
        <f>Y62/Y12</f>
        <v>1.7193819847557257E-4</v>
      </c>
      <c r="AA62" s="286">
        <f t="shared" si="21"/>
        <v>360</v>
      </c>
      <c r="AB62" s="214">
        <f>AA62/AA12</f>
        <v>2.2142920418592916E-4</v>
      </c>
      <c r="AC62" s="205">
        <f t="shared" si="2"/>
        <v>30</v>
      </c>
      <c r="AD62" s="214">
        <f>AC62/AC12</f>
        <v>2.2142920418592916E-4</v>
      </c>
      <c r="AE62" s="75"/>
      <c r="AF62" s="169"/>
      <c r="AG62" s="75"/>
      <c r="AH62" s="53">
        <f t="shared" si="20"/>
        <v>0</v>
      </c>
      <c r="AI62" s="53">
        <f t="shared" si="3"/>
        <v>360</v>
      </c>
      <c r="AJ62" s="53">
        <f t="shared" si="22"/>
        <v>2820</v>
      </c>
      <c r="AK62" s="53">
        <v>29</v>
      </c>
      <c r="AQ62" s="53">
        <f t="shared" si="4"/>
        <v>288.29999999999995</v>
      </c>
    </row>
    <row r="63" spans="1:43">
      <c r="A63" s="2">
        <v>6122</v>
      </c>
      <c r="B63" s="111" t="s">
        <v>21</v>
      </c>
      <c r="C63" s="43"/>
      <c r="D63" s="49">
        <f>C63/C12</f>
        <v>0</v>
      </c>
      <c r="E63" s="43"/>
      <c r="F63" s="49">
        <f>E63/E12</f>
        <v>0</v>
      </c>
      <c r="G63" s="80"/>
      <c r="H63" s="49">
        <f>G63/G12</f>
        <v>0</v>
      </c>
      <c r="I63" s="18"/>
      <c r="J63" s="49">
        <f>I63/I12</f>
        <v>0</v>
      </c>
      <c r="K63" s="43">
        <v>0</v>
      </c>
      <c r="L63" s="49">
        <f>K63/K12</f>
        <v>0</v>
      </c>
      <c r="M63" s="18"/>
      <c r="N63" s="49">
        <f>M63/M12</f>
        <v>0</v>
      </c>
      <c r="O63" s="18"/>
      <c r="P63" s="49">
        <f>O63/O12</f>
        <v>0</v>
      </c>
      <c r="Q63" s="18"/>
      <c r="R63" s="49">
        <f>Q63/Q12</f>
        <v>0</v>
      </c>
      <c r="S63" s="18"/>
      <c r="T63" s="49">
        <f>S63/S12</f>
        <v>0</v>
      </c>
      <c r="U63" s="43"/>
      <c r="V63" s="49">
        <f>U63/U12</f>
        <v>0</v>
      </c>
      <c r="W63" s="33"/>
      <c r="X63" s="49">
        <f>W63/W12</f>
        <v>0</v>
      </c>
      <c r="Y63" s="43"/>
      <c r="Z63" s="179">
        <f>Y63/Y12</f>
        <v>0</v>
      </c>
      <c r="AA63" s="286">
        <f t="shared" si="21"/>
        <v>0</v>
      </c>
      <c r="AB63" s="214">
        <f>AA63/AA12</f>
        <v>0</v>
      </c>
      <c r="AC63" s="205">
        <f t="shared" si="2"/>
        <v>0</v>
      </c>
      <c r="AD63" s="214">
        <f>AC63/AC12</f>
        <v>0</v>
      </c>
      <c r="AE63" s="75"/>
      <c r="AF63" s="169"/>
      <c r="AG63" s="75"/>
      <c r="AH63" s="53">
        <f t="shared" si="20"/>
        <v>0</v>
      </c>
      <c r="AI63" s="53">
        <f t="shared" si="3"/>
        <v>0</v>
      </c>
      <c r="AJ63" s="53">
        <f t="shared" si="22"/>
        <v>0</v>
      </c>
      <c r="AK63" s="53"/>
      <c r="AQ63" s="53">
        <f t="shared" si="4"/>
        <v>0</v>
      </c>
    </row>
    <row r="64" spans="1:43">
      <c r="A64" s="2">
        <v>6123</v>
      </c>
      <c r="B64" s="111" t="s">
        <v>22</v>
      </c>
      <c r="C64" s="43"/>
      <c r="D64" s="49">
        <f>C64/C12</f>
        <v>0</v>
      </c>
      <c r="E64" s="43"/>
      <c r="F64" s="49">
        <f>E64/E12</f>
        <v>0</v>
      </c>
      <c r="G64" s="80"/>
      <c r="H64" s="49">
        <f>G64/G12</f>
        <v>0</v>
      </c>
      <c r="I64" s="18"/>
      <c r="J64" s="49">
        <f>I64/I12</f>
        <v>0</v>
      </c>
      <c r="K64" s="43">
        <v>0</v>
      </c>
      <c r="L64" s="49">
        <f>K64/K12</f>
        <v>0</v>
      </c>
      <c r="M64" s="18"/>
      <c r="N64" s="49">
        <f>M64/M12</f>
        <v>0</v>
      </c>
      <c r="O64" s="18"/>
      <c r="P64" s="49">
        <f>O64/O12</f>
        <v>0</v>
      </c>
      <c r="Q64" s="18"/>
      <c r="R64" s="49">
        <f>Q64/Q12</f>
        <v>0</v>
      </c>
      <c r="S64" s="18"/>
      <c r="T64" s="49">
        <f>S64/S12</f>
        <v>0</v>
      </c>
      <c r="U64" s="43"/>
      <c r="V64" s="49">
        <f>U64/U12</f>
        <v>0</v>
      </c>
      <c r="W64" s="33"/>
      <c r="X64" s="49">
        <f>W64/W12</f>
        <v>0</v>
      </c>
      <c r="Y64" s="43"/>
      <c r="Z64" s="179">
        <f>Y64/Y12</f>
        <v>0</v>
      </c>
      <c r="AA64" s="286">
        <f t="shared" si="21"/>
        <v>0</v>
      </c>
      <c r="AB64" s="214">
        <f>AA64/AA12</f>
        <v>0</v>
      </c>
      <c r="AC64" s="205">
        <f t="shared" si="2"/>
        <v>0</v>
      </c>
      <c r="AD64" s="214">
        <f>AC64/AC12</f>
        <v>0</v>
      </c>
      <c r="AE64" s="75"/>
      <c r="AF64" s="169"/>
      <c r="AG64" s="75"/>
      <c r="AH64" s="53">
        <f t="shared" si="20"/>
        <v>0</v>
      </c>
      <c r="AI64" s="53">
        <f t="shared" si="3"/>
        <v>0</v>
      </c>
      <c r="AJ64" s="53">
        <f t="shared" si="22"/>
        <v>0</v>
      </c>
      <c r="AK64" s="53"/>
      <c r="AQ64" s="53">
        <f t="shared" si="4"/>
        <v>0</v>
      </c>
    </row>
    <row r="65" spans="1:43">
      <c r="A65" s="99">
        <v>6124</v>
      </c>
      <c r="B65" s="111" t="s">
        <v>23</v>
      </c>
      <c r="C65" s="43">
        <v>2800</v>
      </c>
      <c r="D65" s="49">
        <f>C65/C12</f>
        <v>2.289845353658437E-2</v>
      </c>
      <c r="E65" s="43">
        <v>2800</v>
      </c>
      <c r="F65" s="49">
        <f>E65/E12</f>
        <v>2.943239601818836E-2</v>
      </c>
      <c r="G65" s="43">
        <v>2800</v>
      </c>
      <c r="H65" s="49">
        <f>G65/G12</f>
        <v>1.7743425105051364E-2</v>
      </c>
      <c r="I65" s="43">
        <v>2800</v>
      </c>
      <c r="J65" s="49">
        <f>I65/I12</f>
        <v>2.0094609655183546E-2</v>
      </c>
      <c r="K65" s="43">
        <v>2800</v>
      </c>
      <c r="L65" s="49">
        <f t="shared" ref="L65" si="35">K65/K12</f>
        <v>2.1970881861363537E-2</v>
      </c>
      <c r="M65" s="43">
        <v>2800</v>
      </c>
      <c r="N65" s="49">
        <f t="shared" ref="N65" si="36">M65/M12</f>
        <v>1.549442622363781E-2</v>
      </c>
      <c r="O65" s="43">
        <v>2800</v>
      </c>
      <c r="P65" s="49">
        <f t="shared" ref="P65" si="37">O65/O12</f>
        <v>2.4473493501340076E-2</v>
      </c>
      <c r="Q65" s="43">
        <v>2800</v>
      </c>
      <c r="R65" s="49">
        <f t="shared" ref="R65" si="38">Q65/Q12</f>
        <v>1.9709047338364025E-2</v>
      </c>
      <c r="S65" s="43">
        <v>2800</v>
      </c>
      <c r="T65" s="49">
        <f t="shared" ref="T65" si="39">S65/S12</f>
        <v>1.9564674211758872E-2</v>
      </c>
      <c r="U65" s="43">
        <v>2800</v>
      </c>
      <c r="V65" s="49">
        <f t="shared" ref="V65" si="40">U65/U12</f>
        <v>2.4665296476902666E-2</v>
      </c>
      <c r="W65" s="43">
        <v>2800</v>
      </c>
      <c r="X65" s="49">
        <f t="shared" ref="X65" si="41">W65/W12</f>
        <v>2.4242470713171489E-2</v>
      </c>
      <c r="Y65" s="43">
        <v>2800</v>
      </c>
      <c r="Z65" s="179">
        <f t="shared" ref="Z65" si="42">Y65/Y12</f>
        <v>1.604756519105344E-2</v>
      </c>
      <c r="AA65" s="286">
        <f t="shared" si="21"/>
        <v>33600</v>
      </c>
      <c r="AB65" s="214">
        <f>AA65/AA12</f>
        <v>2.0666725724020056E-2</v>
      </c>
      <c r="AC65" s="205">
        <f t="shared" si="2"/>
        <v>2800</v>
      </c>
      <c r="AD65" s="214">
        <f>AC65/AC12</f>
        <v>2.0666725724020056E-2</v>
      </c>
      <c r="AE65" s="75"/>
      <c r="AF65" s="169">
        <v>22772</v>
      </c>
      <c r="AG65" s="478" t="s">
        <v>348</v>
      </c>
      <c r="AH65" s="53">
        <f t="shared" si="20"/>
        <v>0</v>
      </c>
      <c r="AI65" s="53">
        <f t="shared" si="3"/>
        <v>33600</v>
      </c>
      <c r="AJ65" s="53">
        <f t="shared" si="22"/>
        <v>263200</v>
      </c>
      <c r="AK65" s="53" t="s">
        <v>313</v>
      </c>
      <c r="AN65" s="63">
        <f>AA42*5%+350</f>
        <v>14599.878000000001</v>
      </c>
      <c r="AO65" s="63">
        <f>AN65/12</f>
        <v>1216.6565000000001</v>
      </c>
      <c r="AQ65" s="53">
        <f t="shared" si="4"/>
        <v>26908</v>
      </c>
    </row>
    <row r="66" spans="1:43">
      <c r="A66" s="99">
        <v>6125</v>
      </c>
      <c r="B66" s="111" t="s">
        <v>78</v>
      </c>
      <c r="C66" s="18">
        <v>43.35761359694763</v>
      </c>
      <c r="D66" s="49">
        <f>C66/C12</f>
        <v>3.5457939300245853E-4</v>
      </c>
      <c r="E66" s="18">
        <v>43.35761359694763</v>
      </c>
      <c r="F66" s="49">
        <f>E66/E12</f>
        <v>4.5575659063891108E-4</v>
      </c>
      <c r="G66" s="18">
        <v>43.35761359694763</v>
      </c>
      <c r="H66" s="49">
        <f>G66/G12</f>
        <v>2.7475448913971321E-4</v>
      </c>
      <c r="I66" s="18">
        <v>43.35761359694763</v>
      </c>
      <c r="J66" s="49">
        <f>I66/I12</f>
        <v>3.1116225743247901E-4</v>
      </c>
      <c r="K66" s="18">
        <v>43.35761359694763</v>
      </c>
      <c r="L66" s="49">
        <f>K66/K12</f>
        <v>3.4021607361756637E-4</v>
      </c>
      <c r="M66" s="18">
        <v>43.35761359694763</v>
      </c>
      <c r="N66" s="49">
        <f>M66/M12</f>
        <v>2.3992905182532165E-4</v>
      </c>
      <c r="O66" s="18">
        <v>43.35761359694763</v>
      </c>
      <c r="P66" s="49">
        <f>O66/O12</f>
        <v>3.7896866949946859E-4</v>
      </c>
      <c r="Q66" s="18">
        <v>43.35761359694763</v>
      </c>
      <c r="R66" s="49">
        <f>Q66/Q12</f>
        <v>3.051918781645488E-4</v>
      </c>
      <c r="S66" s="18">
        <v>43.35761359694763</v>
      </c>
      <c r="T66" s="49">
        <f>S66/S12</f>
        <v>3.0295628022271683E-4</v>
      </c>
      <c r="U66" s="18">
        <v>43.35761359694763</v>
      </c>
      <c r="V66" s="49">
        <f>U66/U12</f>
        <v>3.8193871210703552E-4</v>
      </c>
      <c r="W66" s="18">
        <v>43.35761359694763</v>
      </c>
      <c r="X66" s="49">
        <f>W66/W12</f>
        <v>3.753913135060746E-4</v>
      </c>
      <c r="Y66" s="18">
        <v>43.35761359694763</v>
      </c>
      <c r="Z66" s="49">
        <f>Y66/Y12</f>
        <v>2.484943324019722E-4</v>
      </c>
      <c r="AA66" s="286">
        <f t="shared" si="21"/>
        <v>520.29136316337167</v>
      </c>
      <c r="AB66" s="214">
        <f>AA66/AA12</f>
        <v>3.2002139580577127E-4</v>
      </c>
      <c r="AC66" s="205">
        <f t="shared" si="2"/>
        <v>43.357613596947637</v>
      </c>
      <c r="AD66" s="214">
        <f>AC66/AC12</f>
        <v>3.2002139580577122E-4</v>
      </c>
      <c r="AE66" s="75"/>
      <c r="AF66" s="169">
        <v>1790</v>
      </c>
      <c r="AG66" s="478" t="s">
        <v>349</v>
      </c>
      <c r="AH66" s="53">
        <f t="shared" si="20"/>
        <v>0</v>
      </c>
      <c r="AI66" s="53">
        <f t="shared" si="3"/>
        <v>520.29136316337167</v>
      </c>
      <c r="AJ66" s="53">
        <f t="shared" si="22"/>
        <v>4075.6156781130771</v>
      </c>
      <c r="AK66" s="53">
        <v>270</v>
      </c>
      <c r="AQ66" s="53">
        <f t="shared" si="4"/>
        <v>416.66666666666669</v>
      </c>
    </row>
    <row r="67" spans="1:43">
      <c r="A67" s="2">
        <v>6126</v>
      </c>
      <c r="B67" s="111" t="s">
        <v>104</v>
      </c>
      <c r="C67" s="43"/>
      <c r="D67" s="49">
        <f>C67/C12</f>
        <v>0</v>
      </c>
      <c r="E67" s="43"/>
      <c r="F67" s="49">
        <f>E67/E12</f>
        <v>0</v>
      </c>
      <c r="G67" s="43"/>
      <c r="H67" s="49">
        <f>G67/G12</f>
        <v>0</v>
      </c>
      <c r="I67" s="43"/>
      <c r="J67" s="49">
        <f>I67/I12</f>
        <v>0</v>
      </c>
      <c r="K67" s="43"/>
      <c r="L67" s="49">
        <f>K67/K12</f>
        <v>0</v>
      </c>
      <c r="M67" s="43"/>
      <c r="N67" s="49">
        <f>M67/M12</f>
        <v>0</v>
      </c>
      <c r="O67" s="43"/>
      <c r="P67" s="49">
        <f>O67/O12</f>
        <v>0</v>
      </c>
      <c r="Q67" s="43"/>
      <c r="R67" s="49">
        <f>Q67/Q12</f>
        <v>0</v>
      </c>
      <c r="S67" s="43"/>
      <c r="T67" s="49">
        <f>S67/S12</f>
        <v>0</v>
      </c>
      <c r="U67" s="43"/>
      <c r="V67" s="49">
        <f>U67/U12</f>
        <v>0</v>
      </c>
      <c r="W67" s="43"/>
      <c r="X67" s="49">
        <f>W67/W12</f>
        <v>0</v>
      </c>
      <c r="Y67" s="43"/>
      <c r="Z67" s="49">
        <f>Y67/Y12</f>
        <v>0</v>
      </c>
      <c r="AA67" s="286">
        <f t="shared" si="21"/>
        <v>0</v>
      </c>
      <c r="AB67" s="214">
        <f>AA67/AA12</f>
        <v>0</v>
      </c>
      <c r="AC67" s="205">
        <f t="shared" si="2"/>
        <v>0</v>
      </c>
      <c r="AD67" s="214">
        <f>AC67/AC12</f>
        <v>0</v>
      </c>
      <c r="AE67" s="75"/>
      <c r="AF67" s="169"/>
      <c r="AG67" s="75"/>
      <c r="AH67" s="53">
        <f t="shared" si="20"/>
        <v>0</v>
      </c>
      <c r="AI67" s="53">
        <f t="shared" si="3"/>
        <v>0</v>
      </c>
      <c r="AJ67" s="53">
        <f t="shared" si="22"/>
        <v>0</v>
      </c>
      <c r="AK67" s="53"/>
      <c r="AQ67" s="53">
        <f t="shared" si="4"/>
        <v>0</v>
      </c>
    </row>
    <row r="68" spans="1:43">
      <c r="A68" s="99">
        <v>6127</v>
      </c>
      <c r="B68" s="111" t="s">
        <v>76</v>
      </c>
      <c r="C68" s="18">
        <v>304</v>
      </c>
      <c r="D68" s="49">
        <f>C68/C12</f>
        <v>2.4861178125434456E-3</v>
      </c>
      <c r="E68" s="18">
        <v>304</v>
      </c>
      <c r="F68" s="49">
        <f>E68/E12</f>
        <v>3.1955172819747362E-3</v>
      </c>
      <c r="G68" s="18">
        <v>304</v>
      </c>
      <c r="H68" s="49">
        <f>G68/G12</f>
        <v>1.9264290114055767E-3</v>
      </c>
      <c r="I68" s="18">
        <v>304</v>
      </c>
      <c r="J68" s="49">
        <f>I68/I12</f>
        <v>2.181700476848499E-3</v>
      </c>
      <c r="K68" s="18">
        <v>304</v>
      </c>
      <c r="L68" s="49">
        <f>K68/K12</f>
        <v>2.385410030662327E-3</v>
      </c>
      <c r="M68" s="18">
        <v>304</v>
      </c>
      <c r="N68" s="49">
        <f>M68/M12</f>
        <v>1.6822519899949622E-3</v>
      </c>
      <c r="O68" s="18">
        <v>304</v>
      </c>
      <c r="P68" s="49">
        <f>O68/O12</f>
        <v>2.6571221515740654E-3</v>
      </c>
      <c r="Q68" s="18">
        <v>304</v>
      </c>
      <c r="R68" s="49">
        <f>Q68/Q12</f>
        <v>2.1398394253080944E-3</v>
      </c>
      <c r="S68" s="18">
        <v>304</v>
      </c>
      <c r="T68" s="49">
        <f>S68/S12</f>
        <v>2.1241646287052489E-3</v>
      </c>
      <c r="U68" s="18">
        <v>304</v>
      </c>
      <c r="V68" s="49">
        <f>U68/U12</f>
        <v>2.6779464746351463E-3</v>
      </c>
      <c r="W68" s="18">
        <v>304</v>
      </c>
      <c r="X68" s="49">
        <f>W68/W12</f>
        <v>2.6320396774300475E-3</v>
      </c>
      <c r="Y68" s="18">
        <v>304</v>
      </c>
      <c r="Z68" s="49">
        <f>Y68/Y12</f>
        <v>1.742307077885802E-3</v>
      </c>
      <c r="AA68" s="286">
        <f t="shared" si="21"/>
        <v>3648</v>
      </c>
      <c r="AB68" s="214">
        <f>AA68/AA12</f>
        <v>2.2438159357507487E-3</v>
      </c>
      <c r="AC68" s="205">
        <f t="shared" si="2"/>
        <v>304</v>
      </c>
      <c r="AD68" s="214">
        <f>AC68/AC12</f>
        <v>2.2438159357507487E-3</v>
      </c>
      <c r="AE68" s="75"/>
      <c r="AF68" s="169"/>
      <c r="AG68" s="75"/>
      <c r="AH68" s="53">
        <f t="shared" si="20"/>
        <v>0</v>
      </c>
      <c r="AI68" s="53">
        <f t="shared" si="3"/>
        <v>3648</v>
      </c>
      <c r="AJ68" s="53">
        <f t="shared" si="22"/>
        <v>28575.999999999993</v>
      </c>
      <c r="AK68" s="53" t="s">
        <v>314</v>
      </c>
      <c r="AL68" s="63">
        <f>24500/9.61</f>
        <v>2549.4276795005203</v>
      </c>
      <c r="AM68" s="63">
        <f>AL68/24</f>
        <v>106.22615331252167</v>
      </c>
      <c r="AQ68" s="53">
        <f t="shared" si="4"/>
        <v>2921.4399999999996</v>
      </c>
    </row>
    <row r="69" spans="1:43">
      <c r="A69" s="2">
        <v>6128</v>
      </c>
      <c r="B69" s="111" t="s">
        <v>215</v>
      </c>
      <c r="C69" s="43"/>
      <c r="D69" s="49">
        <f>C69/C12</f>
        <v>0</v>
      </c>
      <c r="E69" s="43"/>
      <c r="F69" s="49">
        <f>E69/E12</f>
        <v>0</v>
      </c>
      <c r="G69" s="43"/>
      <c r="H69" s="49">
        <f>G69/G12</f>
        <v>0</v>
      </c>
      <c r="I69" s="43"/>
      <c r="J69" s="49">
        <f>I69/I12</f>
        <v>0</v>
      </c>
      <c r="K69" s="43"/>
      <c r="L69" s="49">
        <f>K69/K12</f>
        <v>0</v>
      </c>
      <c r="M69" s="43"/>
      <c r="N69" s="49">
        <f>M69/M12</f>
        <v>0</v>
      </c>
      <c r="O69" s="43"/>
      <c r="P69" s="49">
        <f>O69/O12</f>
        <v>0</v>
      </c>
      <c r="Q69" s="43"/>
      <c r="R69" s="49">
        <f>Q69/Q12</f>
        <v>0</v>
      </c>
      <c r="S69" s="43"/>
      <c r="T69" s="49">
        <f>S69/S12</f>
        <v>0</v>
      </c>
      <c r="U69" s="43"/>
      <c r="V69" s="49">
        <f>U69/U12</f>
        <v>0</v>
      </c>
      <c r="W69" s="43"/>
      <c r="X69" s="49">
        <f>W69/W12</f>
        <v>0</v>
      </c>
      <c r="Y69" s="43"/>
      <c r="Z69" s="49">
        <f>Y69/Y12</f>
        <v>0</v>
      </c>
      <c r="AA69" s="286">
        <f t="shared" si="21"/>
        <v>0</v>
      </c>
      <c r="AB69" s="214" t="e">
        <f t="shared" ref="AB69:AB73" si="43">AA69/AA13</f>
        <v>#DIV/0!</v>
      </c>
      <c r="AC69" s="205">
        <f t="shared" si="2"/>
        <v>0</v>
      </c>
      <c r="AD69" s="214" t="e">
        <f t="shared" ref="AD69:AD75" si="44">AC69/AC13</f>
        <v>#DIV/0!</v>
      </c>
      <c r="AE69" s="75"/>
      <c r="AF69" s="169"/>
      <c r="AG69" s="75"/>
      <c r="AH69" s="53">
        <f t="shared" ref="AH69" si="45">AA69-AI69</f>
        <v>0</v>
      </c>
      <c r="AI69" s="53">
        <f t="shared" si="3"/>
        <v>0</v>
      </c>
      <c r="AJ69" s="53">
        <f t="shared" si="22"/>
        <v>0</v>
      </c>
      <c r="AK69" s="53"/>
      <c r="AQ69" s="53">
        <f t="shared" si="4"/>
        <v>0</v>
      </c>
    </row>
    <row r="70" spans="1:43" s="408" customFormat="1">
      <c r="A70" s="2">
        <v>6131</v>
      </c>
      <c r="B70" s="111" t="s">
        <v>319</v>
      </c>
      <c r="C70" s="43">
        <v>69.372181755116202</v>
      </c>
      <c r="D70" s="49">
        <f>C70/C12</f>
        <v>5.673270288039337E-4</v>
      </c>
      <c r="E70" s="43">
        <v>69.372181755116202</v>
      </c>
      <c r="F70" s="49">
        <f>E70/E12</f>
        <v>7.2921054502225768E-4</v>
      </c>
      <c r="G70" s="43">
        <v>69.372181755116202</v>
      </c>
      <c r="H70" s="49">
        <f>G70/G12</f>
        <v>4.3960718262354108E-4</v>
      </c>
      <c r="I70" s="43">
        <v>69.372181755116202</v>
      </c>
      <c r="J70" s="49">
        <f>I70/I12</f>
        <v>4.9785961189196637E-4</v>
      </c>
      <c r="K70" s="43">
        <v>69.372181755116202</v>
      </c>
      <c r="L70" s="49">
        <f>K70/K12</f>
        <v>5.4434571778810609E-4</v>
      </c>
      <c r="M70" s="43">
        <v>69.372181755116202</v>
      </c>
      <c r="N70" s="49">
        <f>M70/M12</f>
        <v>3.8388648292051462E-4</v>
      </c>
      <c r="O70" s="43">
        <v>69.372181755116202</v>
      </c>
      <c r="P70" s="49">
        <f>O70/O12</f>
        <v>6.0634987119914966E-4</v>
      </c>
      <c r="Q70" s="43">
        <v>69.372181755116202</v>
      </c>
      <c r="R70" s="49">
        <f>Q70/Q12</f>
        <v>4.8830700506327803E-4</v>
      </c>
      <c r="S70" s="43">
        <v>69.372181755116202</v>
      </c>
      <c r="T70" s="49">
        <f>S70/S12</f>
        <v>4.8473004835634687E-4</v>
      </c>
      <c r="U70" s="43">
        <v>69.372181755116202</v>
      </c>
      <c r="V70" s="49">
        <f>U70/U12</f>
        <v>6.1110193937125674E-4</v>
      </c>
      <c r="W70" s="43">
        <v>69.372181755116202</v>
      </c>
      <c r="X70" s="49">
        <f>W70/W12</f>
        <v>6.0062610160971927E-4</v>
      </c>
      <c r="Y70" s="43">
        <v>69.372181755116202</v>
      </c>
      <c r="Z70" s="49">
        <f>Y70/Y12</f>
        <v>3.9759093184315545E-4</v>
      </c>
      <c r="AA70" s="286">
        <f t="shared" si="21"/>
        <v>832.46618106139465</v>
      </c>
      <c r="AB70" s="214" t="e">
        <f t="shared" si="43"/>
        <v>#DIV/0!</v>
      </c>
      <c r="AC70" s="205">
        <f t="shared" ref="AC70:AC74" si="46">AA70/12</f>
        <v>69.372181755116216</v>
      </c>
      <c r="AD70" s="214" t="e">
        <f t="shared" si="44"/>
        <v>#DIV/0!</v>
      </c>
      <c r="AE70" s="75"/>
      <c r="AF70" s="169"/>
      <c r="AG70" s="75"/>
      <c r="AH70" s="53"/>
      <c r="AI70" s="53"/>
      <c r="AJ70" s="53"/>
      <c r="AK70" s="53"/>
      <c r="AQ70" s="53"/>
    </row>
    <row r="71" spans="1:43" s="408" customFormat="1">
      <c r="A71" s="2">
        <v>6132</v>
      </c>
      <c r="B71" s="111" t="s">
        <v>320</v>
      </c>
      <c r="C71" s="43">
        <v>4.7693374956642387</v>
      </c>
      <c r="D71" s="49">
        <f>C71/C12</f>
        <v>3.9003733230270438E-5</v>
      </c>
      <c r="E71" s="43">
        <v>4.7693374956642387</v>
      </c>
      <c r="F71" s="49">
        <f>E71/E12</f>
        <v>5.0133224970280214E-5</v>
      </c>
      <c r="G71" s="43">
        <v>4.7693374956642387</v>
      </c>
      <c r="H71" s="49">
        <f>G71/G12</f>
        <v>3.0222993805368446E-5</v>
      </c>
      <c r="I71" s="43">
        <v>4.7693374956642387</v>
      </c>
      <c r="J71" s="49">
        <f>I71/I12</f>
        <v>3.4227848317572685E-5</v>
      </c>
      <c r="K71" s="43">
        <v>4.7693374956642387</v>
      </c>
      <c r="L71" s="49">
        <f>K71/K12</f>
        <v>3.7423768097932294E-5</v>
      </c>
      <c r="M71" s="43">
        <v>4.7693374956642387</v>
      </c>
      <c r="N71" s="49">
        <f>M71/M12</f>
        <v>2.6392195700785378E-5</v>
      </c>
      <c r="O71" s="43">
        <v>4.7693374956642387</v>
      </c>
      <c r="P71" s="49">
        <f>O71/O12</f>
        <v>4.1686553644941538E-5</v>
      </c>
      <c r="Q71" s="43">
        <v>4.7693374956642387</v>
      </c>
      <c r="R71" s="49">
        <f>Q71/Q12</f>
        <v>3.3571106598100363E-5</v>
      </c>
      <c r="S71" s="43">
        <v>4.7693374956642387</v>
      </c>
      <c r="T71" s="49">
        <f>S71/S12</f>
        <v>3.3325190824498845E-5</v>
      </c>
      <c r="U71" s="43">
        <v>4.7693374956642387</v>
      </c>
      <c r="V71" s="49">
        <f>U71/U12</f>
        <v>4.20132583317739E-5</v>
      </c>
      <c r="W71" s="43">
        <v>4.7693374956642387</v>
      </c>
      <c r="X71" s="49">
        <f>W71/W12</f>
        <v>4.12930444856682E-5</v>
      </c>
      <c r="Y71" s="43">
        <v>4.7693374956642387</v>
      </c>
      <c r="Z71" s="49">
        <f>Y71/Y12</f>
        <v>2.7334376564216938E-5</v>
      </c>
      <c r="AA71" s="286">
        <f t="shared" si="21"/>
        <v>57.232049947970864</v>
      </c>
      <c r="AB71" s="214" t="e">
        <f t="shared" si="43"/>
        <v>#DIV/0!</v>
      </c>
      <c r="AC71" s="205">
        <f t="shared" si="46"/>
        <v>4.7693374956642387</v>
      </c>
      <c r="AD71" s="214" t="e">
        <f t="shared" si="44"/>
        <v>#DIV/0!</v>
      </c>
      <c r="AE71" s="75"/>
      <c r="AF71" s="169"/>
      <c r="AG71" s="75"/>
      <c r="AH71" s="53"/>
      <c r="AI71" s="53"/>
      <c r="AJ71" s="53"/>
      <c r="AK71" s="53"/>
      <c r="AQ71" s="53"/>
    </row>
    <row r="72" spans="1:43" s="408" customFormat="1">
      <c r="A72" s="2">
        <v>6133</v>
      </c>
      <c r="B72" s="111" t="s">
        <v>321</v>
      </c>
      <c r="C72" s="43">
        <v>10</v>
      </c>
      <c r="D72" s="49">
        <f>C72/C12</f>
        <v>8.1780191202087034E-5</v>
      </c>
      <c r="E72" s="43">
        <v>10</v>
      </c>
      <c r="F72" s="49">
        <f>E72/E12</f>
        <v>1.0511570006495844E-4</v>
      </c>
      <c r="G72" s="43">
        <v>10</v>
      </c>
      <c r="H72" s="49">
        <f>G72/G12</f>
        <v>6.3369375375183447E-5</v>
      </c>
      <c r="I72" s="43">
        <v>10</v>
      </c>
      <c r="J72" s="49">
        <f>I72/I12</f>
        <v>7.1766463054226951E-5</v>
      </c>
      <c r="K72" s="43">
        <v>10</v>
      </c>
      <c r="L72" s="49">
        <f>K72/K12</f>
        <v>7.8467435219155493E-5</v>
      </c>
      <c r="M72" s="43">
        <v>10</v>
      </c>
      <c r="N72" s="49">
        <f>M72/M12</f>
        <v>5.5337236512992177E-5</v>
      </c>
      <c r="O72" s="43">
        <v>10</v>
      </c>
      <c r="P72" s="49">
        <f>O72/O12</f>
        <v>8.7405333933357414E-5</v>
      </c>
      <c r="Q72" s="43">
        <v>10</v>
      </c>
      <c r="R72" s="49">
        <f>Q72/Q12</f>
        <v>7.0389454779871524E-5</v>
      </c>
      <c r="S72" s="43">
        <v>10</v>
      </c>
      <c r="T72" s="49">
        <f>S72/S12</f>
        <v>6.9873836470567399E-5</v>
      </c>
      <c r="U72" s="43">
        <v>10</v>
      </c>
      <c r="V72" s="49">
        <f>U72/U12</f>
        <v>8.8090344560366667E-5</v>
      </c>
      <c r="W72" s="43">
        <v>10</v>
      </c>
      <c r="X72" s="49">
        <f>W72/W12</f>
        <v>8.6580252547041034E-5</v>
      </c>
      <c r="Y72" s="43">
        <v>10</v>
      </c>
      <c r="Z72" s="49">
        <f>Y72/Y12</f>
        <v>5.731273282519086E-5</v>
      </c>
      <c r="AA72" s="286">
        <f t="shared" si="21"/>
        <v>120</v>
      </c>
      <c r="AB72" s="214">
        <f t="shared" si="43"/>
        <v>7.3809734728643049E-5</v>
      </c>
      <c r="AC72" s="205">
        <f t="shared" si="46"/>
        <v>10</v>
      </c>
      <c r="AD72" s="214">
        <f t="shared" si="44"/>
        <v>7.3809734728643049E-5</v>
      </c>
      <c r="AE72" s="75"/>
      <c r="AF72" s="169"/>
      <c r="AG72" s="75"/>
      <c r="AH72" s="53"/>
      <c r="AI72" s="53"/>
      <c r="AJ72" s="53"/>
      <c r="AK72" s="53"/>
      <c r="AQ72" s="53"/>
    </row>
    <row r="73" spans="1:43" s="408" customFormat="1">
      <c r="A73" s="2">
        <v>6134</v>
      </c>
      <c r="B73" s="111" t="s">
        <v>322</v>
      </c>
      <c r="C73" s="43">
        <v>12.14</v>
      </c>
      <c r="D73" s="49">
        <f>C73/C12</f>
        <v>9.9281152119333664E-5</v>
      </c>
      <c r="E73" s="43">
        <v>12.14</v>
      </c>
      <c r="F73" s="49">
        <f>E73/E12</f>
        <v>1.2761045987885955E-4</v>
      </c>
      <c r="G73" s="43">
        <v>12.14</v>
      </c>
      <c r="H73" s="49">
        <f>G73/G12</f>
        <v>7.6930421705472704E-5</v>
      </c>
      <c r="I73" s="43">
        <v>12.14</v>
      </c>
      <c r="J73" s="49">
        <f>I73/I12</f>
        <v>8.7124486147831519E-5</v>
      </c>
      <c r="K73" s="43">
        <v>12.14</v>
      </c>
      <c r="L73" s="49">
        <f>K73/K12</f>
        <v>9.525946635605477E-5</v>
      </c>
      <c r="M73" s="43">
        <v>12.14</v>
      </c>
      <c r="N73" s="49">
        <f>M73/M12</f>
        <v>6.7179405126772504E-5</v>
      </c>
      <c r="O73" s="43">
        <v>12.14</v>
      </c>
      <c r="P73" s="49">
        <f>O73/O12</f>
        <v>1.0611007539509591E-4</v>
      </c>
      <c r="Q73" s="43">
        <v>12.14</v>
      </c>
      <c r="R73" s="49">
        <f>Q73/Q12</f>
        <v>8.5452798102764033E-5</v>
      </c>
      <c r="S73" s="43">
        <v>12.14</v>
      </c>
      <c r="T73" s="49">
        <f>S73/S12</f>
        <v>8.4826837475268825E-5</v>
      </c>
      <c r="U73" s="43">
        <v>12.14</v>
      </c>
      <c r="V73" s="49">
        <f>U73/U12</f>
        <v>1.0694167829628512E-4</v>
      </c>
      <c r="W73" s="43">
        <v>12.14</v>
      </c>
      <c r="X73" s="49">
        <f>W73/W12</f>
        <v>1.0510842659210783E-4</v>
      </c>
      <c r="Y73" s="43">
        <v>12.14</v>
      </c>
      <c r="Z73" s="49">
        <f>Y73/Y12</f>
        <v>6.9577657649781707E-5</v>
      </c>
      <c r="AA73" s="286">
        <f t="shared" si="21"/>
        <v>145.68</v>
      </c>
      <c r="AB73" s="214">
        <f t="shared" si="43"/>
        <v>1.8017578179827879E-4</v>
      </c>
      <c r="AC73" s="205">
        <f t="shared" si="46"/>
        <v>12.14</v>
      </c>
      <c r="AD73" s="214">
        <f t="shared" si="44"/>
        <v>1.8017578179827881E-4</v>
      </c>
      <c r="AE73" s="75"/>
      <c r="AF73" s="169"/>
      <c r="AG73" s="75"/>
      <c r="AH73" s="53"/>
      <c r="AI73" s="53"/>
      <c r="AJ73" s="53"/>
      <c r="AK73" s="53"/>
      <c r="AQ73" s="53"/>
    </row>
    <row r="74" spans="1:43" s="408" customFormat="1">
      <c r="A74" s="2">
        <v>6135</v>
      </c>
      <c r="B74" s="111" t="s">
        <v>323</v>
      </c>
      <c r="C74" s="43">
        <v>0</v>
      </c>
      <c r="D74" s="49">
        <f>C74/C12</f>
        <v>0</v>
      </c>
      <c r="E74" s="43">
        <v>0</v>
      </c>
      <c r="F74" s="49">
        <f>E74/E12</f>
        <v>0</v>
      </c>
      <c r="G74" s="43">
        <v>0</v>
      </c>
      <c r="H74" s="49">
        <f>G74/G12</f>
        <v>0</v>
      </c>
      <c r="I74" s="43">
        <v>0</v>
      </c>
      <c r="J74" s="49">
        <f>I74/I12</f>
        <v>0</v>
      </c>
      <c r="K74" s="43">
        <v>0</v>
      </c>
      <c r="L74" s="49">
        <f>K74/K12</f>
        <v>0</v>
      </c>
      <c r="M74" s="43">
        <v>0</v>
      </c>
      <c r="N74" s="49">
        <f>M74/M12</f>
        <v>0</v>
      </c>
      <c r="O74" s="43">
        <v>0</v>
      </c>
      <c r="P74" s="49">
        <f>O74/O12</f>
        <v>0</v>
      </c>
      <c r="Q74" s="43">
        <v>0</v>
      </c>
      <c r="R74" s="49">
        <f>Q74/Q12</f>
        <v>0</v>
      </c>
      <c r="S74" s="43">
        <v>0</v>
      </c>
      <c r="T74" s="49">
        <f>S74/S12</f>
        <v>0</v>
      </c>
      <c r="U74" s="43">
        <v>0</v>
      </c>
      <c r="V74" s="49">
        <f>U74/U12</f>
        <v>0</v>
      </c>
      <c r="W74" s="43">
        <v>0</v>
      </c>
      <c r="X74" s="49">
        <f>W74/W12</f>
        <v>0</v>
      </c>
      <c r="Y74" s="43">
        <v>0</v>
      </c>
      <c r="Z74" s="49">
        <f>Y74/Y12</f>
        <v>0</v>
      </c>
      <c r="AA74" s="286">
        <f t="shared" si="21"/>
        <v>0</v>
      </c>
      <c r="AB74" s="49">
        <f>AA74/AA12</f>
        <v>0</v>
      </c>
      <c r="AC74" s="205">
        <f t="shared" si="46"/>
        <v>0</v>
      </c>
      <c r="AD74" s="49">
        <f>AC74/AC12</f>
        <v>0</v>
      </c>
      <c r="AE74" s="75"/>
      <c r="AF74" s="169"/>
      <c r="AG74" s="75"/>
      <c r="AH74" s="53"/>
      <c r="AI74" s="53"/>
      <c r="AJ74" s="53"/>
      <c r="AK74" s="53"/>
      <c r="AQ74" s="53"/>
    </row>
    <row r="75" spans="1:43" s="408" customFormat="1">
      <c r="A75" s="2">
        <v>6136</v>
      </c>
      <c r="B75" s="111" t="s">
        <v>332</v>
      </c>
      <c r="C75" s="43">
        <v>15.61</v>
      </c>
      <c r="D75" s="49">
        <f>C75/C12</f>
        <v>1.2765887846645784E-4</v>
      </c>
      <c r="E75" s="43">
        <v>15.61</v>
      </c>
      <c r="F75" s="49">
        <f>E75/E12</f>
        <v>1.6408560780140012E-4</v>
      </c>
      <c r="G75" s="43">
        <v>15.61</v>
      </c>
      <c r="H75" s="49">
        <f>G75/G12</f>
        <v>9.8919594960661351E-5</v>
      </c>
      <c r="I75" s="43">
        <v>15.61</v>
      </c>
      <c r="J75" s="49">
        <f>I75/I12</f>
        <v>1.1202744882764825E-4</v>
      </c>
      <c r="K75" s="43">
        <v>15.61</v>
      </c>
      <c r="L75" s="49">
        <f>K75/K12</f>
        <v>1.2248766637710173E-4</v>
      </c>
      <c r="M75" s="43">
        <v>15.61</v>
      </c>
      <c r="N75" s="49">
        <f>M75/M12</f>
        <v>8.6381426196780787E-5</v>
      </c>
      <c r="O75" s="43">
        <v>15.61</v>
      </c>
      <c r="P75" s="49">
        <f>O75/O12</f>
        <v>1.3643972626997092E-4</v>
      </c>
      <c r="Q75" s="43">
        <v>15.61</v>
      </c>
      <c r="R75" s="49">
        <f>Q75/Q12</f>
        <v>1.0987793891137944E-4</v>
      </c>
      <c r="S75" s="43">
        <v>15.61</v>
      </c>
      <c r="T75" s="49">
        <f>S75/S12</f>
        <v>1.090730587305557E-4</v>
      </c>
      <c r="U75" s="43">
        <v>15.61</v>
      </c>
      <c r="V75" s="49">
        <f>U75/U12</f>
        <v>1.3750902785873234E-4</v>
      </c>
      <c r="W75" s="43">
        <v>15.61</v>
      </c>
      <c r="X75" s="49">
        <f>W75/W12</f>
        <v>1.3515177422593105E-4</v>
      </c>
      <c r="Y75" s="43">
        <v>15.61</v>
      </c>
      <c r="Z75" s="49">
        <f>Y75/Y12</f>
        <v>8.9465175940122929E-5</v>
      </c>
      <c r="AA75" s="286">
        <f t="shared" si="21"/>
        <v>187.32000000000005</v>
      </c>
      <c r="AB75" s="214" t="e">
        <f>AA75/AA19</f>
        <v>#DIV/0!</v>
      </c>
      <c r="AC75" s="205">
        <f>AA75/12</f>
        <v>15.610000000000005</v>
      </c>
      <c r="AD75" s="214" t="e">
        <f t="shared" si="44"/>
        <v>#DIV/0!</v>
      </c>
      <c r="AE75" s="75"/>
      <c r="AF75" s="169"/>
      <c r="AG75" s="75"/>
      <c r="AH75" s="53"/>
      <c r="AI75" s="53"/>
      <c r="AJ75" s="53"/>
      <c r="AK75" s="53"/>
      <c r="AQ75" s="53"/>
    </row>
    <row r="76" spans="1:43" ht="15.75" thickBot="1">
      <c r="A76" s="4">
        <v>6199</v>
      </c>
      <c r="B76" s="113" t="s">
        <v>24</v>
      </c>
      <c r="C76" s="27">
        <f>SUM(C42:C75)</f>
        <v>36537.289132847734</v>
      </c>
      <c r="D76" s="68">
        <f>C76/C12</f>
        <v>0.29880264912902244</v>
      </c>
      <c r="E76" s="27">
        <f>SUM(E42:E75)</f>
        <v>36537.289132847734</v>
      </c>
      <c r="F76" s="68">
        <f>E76/E12</f>
        <v>0.38406427256750875</v>
      </c>
      <c r="G76" s="27">
        <f>SUM(G42:G75)</f>
        <v>36537.289132847734</v>
      </c>
      <c r="H76" s="68">
        <f>G76/G12</f>
        <v>0.23153451902510389</v>
      </c>
      <c r="I76" s="27">
        <f>SUM(I42:I75)</f>
        <v>36537.289132847734</v>
      </c>
      <c r="J76" s="68">
        <f>I76/I12</f>
        <v>0.26221520106541246</v>
      </c>
      <c r="K76" s="27">
        <f>SUM(K42:K75)</f>
        <v>36390.189132847736</v>
      </c>
      <c r="L76" s="68">
        <f>K76/K12</f>
        <v>0.28554448083945461</v>
      </c>
      <c r="M76" s="27">
        <f>SUM(M42:M75)</f>
        <v>36252.289132847734</v>
      </c>
      <c r="N76" s="68">
        <f>M76/M12</f>
        <v>0.20061014978817712</v>
      </c>
      <c r="O76" s="27">
        <f>SUM(O42:O75)</f>
        <v>36252.289132847734</v>
      </c>
      <c r="P76" s="68">
        <f>O76/O12</f>
        <v>0.31686434375051803</v>
      </c>
      <c r="Q76" s="27">
        <f>SUM(Q42:Q75)</f>
        <v>36252.289132847734</v>
      </c>
      <c r="R76" s="68">
        <f>Q76/Q12</f>
        <v>0.25517788665834135</v>
      </c>
      <c r="S76" s="27">
        <f>SUM(S42:S75)</f>
        <v>36252.289132847734</v>
      </c>
      <c r="T76" s="68">
        <f>S76/S12</f>
        <v>0.25330865225523302</v>
      </c>
      <c r="U76" s="27">
        <f>SUM(U42:U75)</f>
        <v>36252.289132847734</v>
      </c>
      <c r="V76" s="68">
        <f>U76/U12</f>
        <v>0.31934766408145926</v>
      </c>
      <c r="W76" s="27">
        <f>SUM(W42:W75)</f>
        <v>36252.289132847734</v>
      </c>
      <c r="X76" s="68">
        <f>W76/W12</f>
        <v>0.31387323485303081</v>
      </c>
      <c r="Y76" s="27">
        <f>SUM(Y42:Y75)</f>
        <v>37591.034132847737</v>
      </c>
      <c r="Z76" s="223">
        <f>Y76/Y12</f>
        <v>0.21544448958785326</v>
      </c>
      <c r="AA76" s="211">
        <f>SUM(AA42:AA75)</f>
        <v>437644.11459417274</v>
      </c>
      <c r="AB76" s="245">
        <f>AA76/AA12</f>
        <v>0.26918663336456461</v>
      </c>
      <c r="AC76" s="211">
        <f>AA76/12</f>
        <v>36470.342882847726</v>
      </c>
      <c r="AD76" s="245">
        <f>AC76/AC12</f>
        <v>0.26918663336456461</v>
      </c>
      <c r="AE76" s="75"/>
      <c r="AF76" s="169"/>
      <c r="AG76" s="75"/>
      <c r="AH76" s="53">
        <f t="shared" ref="AH76:AH99" si="47">AA76-AI76</f>
        <v>0</v>
      </c>
      <c r="AI76" s="53">
        <f t="shared" ref="AI76:AI149" si="48">C76+E76+G76+I76+K76+M76+O76+Q76+S76+U76+W76+Y76</f>
        <v>437644.11459417286</v>
      </c>
      <c r="AJ76" s="53">
        <f t="shared" si="22"/>
        <v>3426953.6414876878</v>
      </c>
      <c r="AK76" s="53"/>
      <c r="AQ76" s="53">
        <f t="shared" ref="AQ76:AQ148" si="49">Q76*9.61</f>
        <v>348384.49856666673</v>
      </c>
    </row>
    <row r="77" spans="1:43" ht="15.75" thickTop="1">
      <c r="A77" s="99">
        <v>6201</v>
      </c>
      <c r="B77" s="112" t="s">
        <v>25</v>
      </c>
      <c r="C77" s="61">
        <v>5220</v>
      </c>
      <c r="D77" s="49">
        <f>C77/C12</f>
        <v>4.268925980748943E-2</v>
      </c>
      <c r="E77" s="61">
        <v>5220</v>
      </c>
      <c r="F77" s="49">
        <f>E77/E12</f>
        <v>5.4870395433908301E-2</v>
      </c>
      <c r="G77" s="61">
        <v>5220</v>
      </c>
      <c r="H77" s="49">
        <f>G77/G12</f>
        <v>3.3078813945845754E-2</v>
      </c>
      <c r="I77" s="61">
        <v>5220</v>
      </c>
      <c r="J77" s="49">
        <f>I77/I12</f>
        <v>3.7462093714306463E-2</v>
      </c>
      <c r="K77" s="61">
        <v>5220</v>
      </c>
      <c r="L77" s="49">
        <f>K77/K12</f>
        <v>4.0960001184399165E-2</v>
      </c>
      <c r="M77" s="61">
        <v>5220</v>
      </c>
      <c r="N77" s="49">
        <f>M77/M12</f>
        <v>2.8886037459781917E-2</v>
      </c>
      <c r="O77" s="61">
        <v>5220</v>
      </c>
      <c r="P77" s="49">
        <f>O77/O12</f>
        <v>4.5625584313212571E-2</v>
      </c>
      <c r="Q77" s="61">
        <v>5220</v>
      </c>
      <c r="R77" s="49">
        <f>Q77/Q12</f>
        <v>3.6743295395092933E-2</v>
      </c>
      <c r="S77" s="61">
        <v>5220</v>
      </c>
      <c r="T77" s="49">
        <f>S77/S12</f>
        <v>3.6474142637636181E-2</v>
      </c>
      <c r="U77" s="61">
        <v>5220</v>
      </c>
      <c r="V77" s="49">
        <f>U77/U12</f>
        <v>4.5983159860511394E-2</v>
      </c>
      <c r="W77" s="61">
        <v>5220</v>
      </c>
      <c r="X77" s="49">
        <f>W77/W12</f>
        <v>4.5194891829555418E-2</v>
      </c>
      <c r="Y77" s="61">
        <v>5220</v>
      </c>
      <c r="Z77" s="179">
        <f>Y77/Y12</f>
        <v>2.9917246534749628E-2</v>
      </c>
      <c r="AA77" s="286">
        <f t="shared" ref="AA77:AA92" si="50">C77+E77+G77+I77+K77+M77+O77+Q77+S77+U77+W77+Y77</f>
        <v>62640</v>
      </c>
      <c r="AB77" s="214">
        <f>AA77/AA12</f>
        <v>3.8528681528351677E-2</v>
      </c>
      <c r="AC77" s="208">
        <f t="shared" ref="AC77:AC149" si="51">AA77/12</f>
        <v>5220</v>
      </c>
      <c r="AD77" s="214">
        <f>AC77/AC12</f>
        <v>3.8528681528351677E-2</v>
      </c>
      <c r="AE77" s="75"/>
      <c r="AF77" s="169"/>
      <c r="AG77" s="75"/>
      <c r="AH77" s="53">
        <f t="shared" si="47"/>
        <v>0</v>
      </c>
      <c r="AI77" s="53">
        <f t="shared" si="48"/>
        <v>62640</v>
      </c>
      <c r="AJ77" s="53">
        <f t="shared" si="22"/>
        <v>490680</v>
      </c>
      <c r="AK77" s="53"/>
      <c r="AQ77" s="53">
        <f t="shared" si="49"/>
        <v>50164.2</v>
      </c>
    </row>
    <row r="78" spans="1:43">
      <c r="A78" s="2">
        <v>6202</v>
      </c>
      <c r="B78" s="112" t="s">
        <v>26</v>
      </c>
      <c r="C78" s="61">
        <v>2610</v>
      </c>
      <c r="D78" s="49">
        <f>C78/C12</f>
        <v>2.1344629903744715E-2</v>
      </c>
      <c r="E78" s="61">
        <v>2610</v>
      </c>
      <c r="F78" s="49">
        <f>E78/E12</f>
        <v>2.743519771695415E-2</v>
      </c>
      <c r="G78" s="61">
        <v>2610</v>
      </c>
      <c r="H78" s="49">
        <f>G78/G12</f>
        <v>1.6539406972922877E-2</v>
      </c>
      <c r="I78" s="61">
        <v>2610</v>
      </c>
      <c r="J78" s="49">
        <f>I78/I12</f>
        <v>1.8731046857153232E-2</v>
      </c>
      <c r="K78" s="61">
        <v>2610</v>
      </c>
      <c r="L78" s="49">
        <f>K78/K12</f>
        <v>2.0480000592199583E-2</v>
      </c>
      <c r="M78" s="61">
        <v>2610</v>
      </c>
      <c r="N78" s="49">
        <f>M78/M12</f>
        <v>1.4443018729890959E-2</v>
      </c>
      <c r="O78" s="61">
        <v>2610</v>
      </c>
      <c r="P78" s="49">
        <f>O78/O12</f>
        <v>2.2812792156606285E-2</v>
      </c>
      <c r="Q78" s="61">
        <v>2610</v>
      </c>
      <c r="R78" s="49">
        <f>Q78/Q12</f>
        <v>1.8371647697546466E-2</v>
      </c>
      <c r="S78" s="61">
        <v>2610</v>
      </c>
      <c r="T78" s="49">
        <f>S78/S12</f>
        <v>1.8237071318818091E-2</v>
      </c>
      <c r="U78" s="61">
        <v>2610</v>
      </c>
      <c r="V78" s="49">
        <f>U78/U12</f>
        <v>2.2991579930255697E-2</v>
      </c>
      <c r="W78" s="61">
        <v>2610</v>
      </c>
      <c r="X78" s="49">
        <f>W78/W12</f>
        <v>2.2597445914777709E-2</v>
      </c>
      <c r="Y78" s="61">
        <v>2610</v>
      </c>
      <c r="Z78" s="179">
        <f>Y78/Y12</f>
        <v>1.4958623267374814E-2</v>
      </c>
      <c r="AA78" s="286">
        <f t="shared" si="50"/>
        <v>31320</v>
      </c>
      <c r="AB78" s="214">
        <f>AA78/AA12</f>
        <v>1.9264340764175839E-2</v>
      </c>
      <c r="AC78" s="208">
        <f t="shared" si="51"/>
        <v>2610</v>
      </c>
      <c r="AD78" s="214">
        <f>AC78/AC12</f>
        <v>1.9264340764175839E-2</v>
      </c>
      <c r="AE78" s="75"/>
      <c r="AF78" s="169"/>
      <c r="AG78" s="75"/>
      <c r="AH78" s="53">
        <f t="shared" si="47"/>
        <v>0</v>
      </c>
      <c r="AI78" s="53">
        <f t="shared" si="48"/>
        <v>31320</v>
      </c>
      <c r="AJ78" s="53">
        <f t="shared" si="22"/>
        <v>245340</v>
      </c>
      <c r="AK78" s="53"/>
      <c r="AQ78" s="53">
        <f t="shared" si="49"/>
        <v>25082.1</v>
      </c>
    </row>
    <row r="79" spans="1:43">
      <c r="A79" s="2">
        <v>6203</v>
      </c>
      <c r="B79" s="112" t="s">
        <v>27</v>
      </c>
      <c r="C79" s="61">
        <v>870</v>
      </c>
      <c r="D79" s="49">
        <f>C79/C12</f>
        <v>7.1148766345815713E-3</v>
      </c>
      <c r="E79" s="61">
        <v>870</v>
      </c>
      <c r="F79" s="49">
        <f>E79/E12</f>
        <v>9.1450659056513846E-3</v>
      </c>
      <c r="G79" s="61">
        <v>870</v>
      </c>
      <c r="H79" s="49">
        <f>G79/G12</f>
        <v>5.5131356576409597E-3</v>
      </c>
      <c r="I79" s="61">
        <v>870</v>
      </c>
      <c r="J79" s="49">
        <f>I79/I12</f>
        <v>6.2436822857177441E-3</v>
      </c>
      <c r="K79" s="61">
        <v>870</v>
      </c>
      <c r="L79" s="49">
        <f>K79/K12</f>
        <v>6.8266668640665279E-3</v>
      </c>
      <c r="M79" s="61">
        <v>870</v>
      </c>
      <c r="N79" s="49">
        <f>M79/M12</f>
        <v>4.8143395766303198E-3</v>
      </c>
      <c r="O79" s="61">
        <v>870</v>
      </c>
      <c r="P79" s="49">
        <f>O79/O12</f>
        <v>7.6042640522020954E-3</v>
      </c>
      <c r="Q79" s="61">
        <v>870</v>
      </c>
      <c r="R79" s="49">
        <f>Q79/Q12</f>
        <v>6.1238825658488224E-3</v>
      </c>
      <c r="S79" s="61">
        <v>870</v>
      </c>
      <c r="T79" s="49">
        <f>S79/S12</f>
        <v>6.0790237729393638E-3</v>
      </c>
      <c r="U79" s="61">
        <v>870</v>
      </c>
      <c r="V79" s="49">
        <f>U79/U12</f>
        <v>7.6638599767518993E-3</v>
      </c>
      <c r="W79" s="61">
        <v>870</v>
      </c>
      <c r="X79" s="49">
        <f>W79/W12</f>
        <v>7.53248197159257E-3</v>
      </c>
      <c r="Y79" s="61">
        <v>870</v>
      </c>
      <c r="Z79" s="179">
        <f>Y79/Y12</f>
        <v>4.986207755791605E-3</v>
      </c>
      <c r="AA79" s="286">
        <f t="shared" si="50"/>
        <v>10440</v>
      </c>
      <c r="AB79" s="214">
        <f>AA79/AA12</f>
        <v>6.4214469213919453E-3</v>
      </c>
      <c r="AC79" s="208">
        <f t="shared" si="51"/>
        <v>870</v>
      </c>
      <c r="AD79" s="214">
        <f>AC79/AC12</f>
        <v>6.4214469213919453E-3</v>
      </c>
      <c r="AE79" s="75"/>
      <c r="AF79" s="169"/>
      <c r="AG79" s="75"/>
      <c r="AH79" s="53">
        <f t="shared" si="47"/>
        <v>0</v>
      </c>
      <c r="AI79" s="53">
        <f t="shared" si="48"/>
        <v>10440</v>
      </c>
      <c r="AJ79" s="53">
        <f t="shared" si="22"/>
        <v>81780</v>
      </c>
      <c r="AK79" s="53"/>
      <c r="AQ79" s="53">
        <f t="shared" si="49"/>
        <v>8360.6999999999989</v>
      </c>
    </row>
    <row r="80" spans="1:43">
      <c r="A80" s="2">
        <v>6204</v>
      </c>
      <c r="B80" s="112" t="s">
        <v>28</v>
      </c>
      <c r="D80" s="49">
        <f>C80/C12</f>
        <v>0</v>
      </c>
      <c r="E80" s="24"/>
      <c r="F80" s="49">
        <f>E80/E12</f>
        <v>0</v>
      </c>
      <c r="G80" s="24"/>
      <c r="H80" s="49">
        <f>G80/G12</f>
        <v>0</v>
      </c>
      <c r="J80" s="49">
        <f>I80/I12</f>
        <v>0</v>
      </c>
      <c r="K80" s="24"/>
      <c r="L80" s="49">
        <f>K80/K12</f>
        <v>0</v>
      </c>
      <c r="N80" s="49">
        <f>M80/M12</f>
        <v>0</v>
      </c>
      <c r="P80" s="49">
        <f>O80/O12</f>
        <v>0</v>
      </c>
      <c r="R80" s="49">
        <f>Q80/Q12</f>
        <v>0</v>
      </c>
      <c r="T80" s="49">
        <f>S80/S12</f>
        <v>0</v>
      </c>
      <c r="U80" s="24"/>
      <c r="V80" s="49">
        <f>U80/U12</f>
        <v>0</v>
      </c>
      <c r="W80" s="24"/>
      <c r="X80" s="49">
        <f>W80/W12</f>
        <v>0</v>
      </c>
      <c r="Y80" s="24"/>
      <c r="Z80" s="179">
        <f>Y80/Y12</f>
        <v>0</v>
      </c>
      <c r="AA80" s="286">
        <f t="shared" si="50"/>
        <v>0</v>
      </c>
      <c r="AB80" s="214">
        <f>AA80/AA12</f>
        <v>0</v>
      </c>
      <c r="AC80" s="205">
        <f t="shared" si="51"/>
        <v>0</v>
      </c>
      <c r="AD80" s="214">
        <f>AC80/AC12</f>
        <v>0</v>
      </c>
      <c r="AE80" s="75"/>
      <c r="AF80" s="169"/>
      <c r="AG80" s="75"/>
      <c r="AH80" s="53">
        <f t="shared" si="47"/>
        <v>0</v>
      </c>
      <c r="AI80" s="53">
        <f t="shared" si="48"/>
        <v>0</v>
      </c>
      <c r="AJ80" s="53">
        <f t="shared" si="22"/>
        <v>0</v>
      </c>
      <c r="AK80" s="53" t="s">
        <v>234</v>
      </c>
      <c r="AM80" s="1" t="s">
        <v>237</v>
      </c>
      <c r="AN80" s="1">
        <f>23*60</f>
        <v>1380</v>
      </c>
      <c r="AQ80" s="53">
        <f t="shared" si="49"/>
        <v>0</v>
      </c>
    </row>
    <row r="81" spans="1:43">
      <c r="A81" s="2">
        <v>6205</v>
      </c>
      <c r="B81" s="112" t="s">
        <v>29</v>
      </c>
      <c r="D81" s="49">
        <f>C81/C12</f>
        <v>0</v>
      </c>
      <c r="E81" s="24"/>
      <c r="F81" s="49">
        <f>E81/E12</f>
        <v>0</v>
      </c>
      <c r="G81" s="24"/>
      <c r="H81" s="49">
        <f>G81/G12</f>
        <v>0</v>
      </c>
      <c r="J81" s="49">
        <f>I81/I12</f>
        <v>0</v>
      </c>
      <c r="K81" s="24"/>
      <c r="L81" s="49">
        <f>K81/K12</f>
        <v>0</v>
      </c>
      <c r="N81" s="49">
        <f>M81/M12</f>
        <v>0</v>
      </c>
      <c r="P81" s="49">
        <f>O81/O12</f>
        <v>0</v>
      </c>
      <c r="R81" s="49">
        <f>Q81/Q12</f>
        <v>0</v>
      </c>
      <c r="T81" s="49">
        <f>S81/S12</f>
        <v>0</v>
      </c>
      <c r="U81" s="24"/>
      <c r="V81" s="49">
        <f>U81/U12</f>
        <v>0</v>
      </c>
      <c r="W81" s="24"/>
      <c r="X81" s="49">
        <f>W81/W12</f>
        <v>0</v>
      </c>
      <c r="Y81" s="24"/>
      <c r="Z81" s="179">
        <f>Y81/Y12</f>
        <v>0</v>
      </c>
      <c r="AA81" s="286">
        <f t="shared" si="50"/>
        <v>0</v>
      </c>
      <c r="AB81" s="214">
        <f>AA81/AA12</f>
        <v>0</v>
      </c>
      <c r="AC81" s="205">
        <f t="shared" si="51"/>
        <v>0</v>
      </c>
      <c r="AD81" s="214">
        <f>AC81/AC12</f>
        <v>0</v>
      </c>
      <c r="AE81" s="75"/>
      <c r="AF81" s="169"/>
      <c r="AG81" s="75"/>
      <c r="AH81" s="53">
        <f t="shared" si="47"/>
        <v>0</v>
      </c>
      <c r="AI81" s="53">
        <f t="shared" si="48"/>
        <v>0</v>
      </c>
      <c r="AJ81" s="53">
        <f t="shared" ref="AJ81:AJ122" si="52">G81*9.4+I81*9.4+K81*9.4+M81*9.4+O81*9.4+Q81*9.4+S81*9.4+U81*9.4+W81*9.4+Y81*9.4</f>
        <v>0</v>
      </c>
      <c r="AK81" s="53" t="s">
        <v>235</v>
      </c>
      <c r="AL81" s="63">
        <f>SUM(AA77:AA79)</f>
        <v>104400</v>
      </c>
      <c r="AM81" s="320">
        <v>2.2499999999999998E-3</v>
      </c>
      <c r="AN81" s="1">
        <f>AL81*AM81</f>
        <v>234.89999999999998</v>
      </c>
      <c r="AQ81" s="53">
        <f t="shared" si="49"/>
        <v>0</v>
      </c>
    </row>
    <row r="82" spans="1:43">
      <c r="A82" s="2">
        <v>6206</v>
      </c>
      <c r="B82" s="2" t="s">
        <v>207</v>
      </c>
      <c r="C82" s="24">
        <v>1305</v>
      </c>
      <c r="D82" s="49">
        <f>C82/C12</f>
        <v>1.0672314951872357E-2</v>
      </c>
      <c r="E82" s="24">
        <v>1305</v>
      </c>
      <c r="F82" s="49">
        <f>E82/E12</f>
        <v>1.3717598858477075E-2</v>
      </c>
      <c r="G82" s="24">
        <v>1305</v>
      </c>
      <c r="H82" s="49">
        <f>G82/G12</f>
        <v>8.2697034864614386E-3</v>
      </c>
      <c r="I82" s="24">
        <v>1305</v>
      </c>
      <c r="J82" s="49">
        <f>I82/I12</f>
        <v>9.3655234285766158E-3</v>
      </c>
      <c r="K82" s="24">
        <v>1305</v>
      </c>
      <c r="L82" s="49">
        <f>K82/K12</f>
        <v>1.0240000296099791E-2</v>
      </c>
      <c r="M82" s="24">
        <v>1305</v>
      </c>
      <c r="N82" s="49">
        <f>M82/M12</f>
        <v>7.2215093649454793E-3</v>
      </c>
      <c r="O82" s="24">
        <v>1305</v>
      </c>
      <c r="P82" s="49">
        <f>O82/O12</f>
        <v>1.1406396078303143E-2</v>
      </c>
      <c r="Q82" s="24">
        <v>1305</v>
      </c>
      <c r="R82" s="49">
        <f>Q82/Q12</f>
        <v>9.1858238487732332E-3</v>
      </c>
      <c r="S82" s="24">
        <v>1305</v>
      </c>
      <c r="T82" s="49">
        <f>S82/S12</f>
        <v>9.1185356594090453E-3</v>
      </c>
      <c r="U82" s="24">
        <v>1305</v>
      </c>
      <c r="V82" s="49">
        <f>U82/U12</f>
        <v>1.1495789965127848E-2</v>
      </c>
      <c r="W82" s="24">
        <v>1305</v>
      </c>
      <c r="X82" s="49">
        <f>W82/W12</f>
        <v>1.1298722957388855E-2</v>
      </c>
      <c r="Y82" s="24">
        <v>1305</v>
      </c>
      <c r="Z82" s="179">
        <f>Y82/Y12</f>
        <v>7.479311633687407E-3</v>
      </c>
      <c r="AA82" s="286">
        <f t="shared" si="50"/>
        <v>15660</v>
      </c>
      <c r="AB82" s="214">
        <f>AA82/AA12</f>
        <v>9.6321703820879193E-3</v>
      </c>
      <c r="AC82" s="205">
        <f t="shared" si="51"/>
        <v>1305</v>
      </c>
      <c r="AD82" s="214">
        <f>AC82/AC12</f>
        <v>9.6321703820879193E-3</v>
      </c>
      <c r="AE82" s="75"/>
      <c r="AF82" s="169"/>
      <c r="AG82" s="75"/>
      <c r="AH82" s="53">
        <f t="shared" si="47"/>
        <v>0</v>
      </c>
      <c r="AI82" s="53">
        <f t="shared" si="48"/>
        <v>15660</v>
      </c>
      <c r="AJ82" s="53">
        <f t="shared" si="52"/>
        <v>122670</v>
      </c>
      <c r="AK82" s="5">
        <f>AN82/12</f>
        <v>134.57500000000002</v>
      </c>
      <c r="AL82" s="1" t="s">
        <v>233</v>
      </c>
      <c r="AN82" s="1">
        <f>SUM(AN80:AN81)</f>
        <v>1614.9</v>
      </c>
      <c r="AQ82" s="53">
        <f t="shared" si="49"/>
        <v>12541.05</v>
      </c>
    </row>
    <row r="83" spans="1:43">
      <c r="A83" s="2">
        <v>6207</v>
      </c>
      <c r="B83" s="2" t="s">
        <v>208</v>
      </c>
      <c r="C83" s="315">
        <v>573.33333333333337</v>
      </c>
      <c r="D83" s="49">
        <f>C83/C12</f>
        <v>4.6887309622529903E-3</v>
      </c>
      <c r="E83" s="315">
        <v>573.33333333333337</v>
      </c>
      <c r="F83" s="49">
        <f>E83/E12</f>
        <v>6.026633470390951E-3</v>
      </c>
      <c r="G83" s="315">
        <v>573.33333333333337</v>
      </c>
      <c r="H83" s="49">
        <f>G83/G12</f>
        <v>3.6331775215105175E-3</v>
      </c>
      <c r="I83" s="315">
        <v>573.33333333333337</v>
      </c>
      <c r="J83" s="49">
        <f>I83/I12</f>
        <v>4.1146105484423448E-3</v>
      </c>
      <c r="K83" s="315">
        <v>573.33333333333337</v>
      </c>
      <c r="L83" s="49">
        <f>K83/K12</f>
        <v>4.4987996192315822E-3</v>
      </c>
      <c r="M83" s="315">
        <v>573.33333333333337</v>
      </c>
      <c r="N83" s="49">
        <f>M83/M12</f>
        <v>3.172668226744885E-3</v>
      </c>
      <c r="O83" s="315">
        <v>573.33333333333337</v>
      </c>
      <c r="P83" s="49">
        <f>O83/O12</f>
        <v>5.0112391455124925E-3</v>
      </c>
      <c r="Q83" s="315">
        <v>573.33333333333337</v>
      </c>
      <c r="R83" s="49">
        <f>Q83/Q12</f>
        <v>4.0356620740459679E-3</v>
      </c>
      <c r="S83" s="315">
        <v>573.33333333333337</v>
      </c>
      <c r="T83" s="49">
        <f>S83/S12</f>
        <v>4.0060999576458645E-3</v>
      </c>
      <c r="U83" s="315">
        <v>573.33333333333337</v>
      </c>
      <c r="V83" s="49">
        <f>U83/U12</f>
        <v>5.0505130881276887E-3</v>
      </c>
      <c r="W83" s="315">
        <v>573.33333333333337</v>
      </c>
      <c r="X83" s="49">
        <f>W83/W12</f>
        <v>4.9639344793636865E-3</v>
      </c>
      <c r="Y83" s="315">
        <v>573.33333333333337</v>
      </c>
      <c r="Z83" s="179">
        <f>Y83/Y12</f>
        <v>3.2859300153109429E-3</v>
      </c>
      <c r="AA83" s="286">
        <f t="shared" si="50"/>
        <v>6879.9999999999991</v>
      </c>
      <c r="AB83" s="214">
        <f>AA83/AA12</f>
        <v>4.2317581244422009E-3</v>
      </c>
      <c r="AC83" s="205">
        <f t="shared" si="51"/>
        <v>573.33333333333326</v>
      </c>
      <c r="AD83" s="214">
        <f>AC83/AC12</f>
        <v>4.2317581244422009E-3</v>
      </c>
      <c r="AE83" s="75"/>
      <c r="AF83" s="169"/>
      <c r="AG83" s="75"/>
      <c r="AH83" s="53">
        <f t="shared" si="47"/>
        <v>0</v>
      </c>
      <c r="AI83" s="53">
        <f t="shared" si="48"/>
        <v>6879.9999999999991</v>
      </c>
      <c r="AJ83" s="53">
        <f t="shared" si="52"/>
        <v>53893.33333333335</v>
      </c>
      <c r="AQ83" s="53">
        <f t="shared" si="49"/>
        <v>5509.7333333333336</v>
      </c>
    </row>
    <row r="84" spans="1:43">
      <c r="A84" s="2">
        <v>6208</v>
      </c>
      <c r="B84" s="2" t="s">
        <v>209</v>
      </c>
      <c r="D84" s="49">
        <f>C84/C12</f>
        <v>0</v>
      </c>
      <c r="E84" s="24"/>
      <c r="F84" s="49">
        <f>E84/E12</f>
        <v>0</v>
      </c>
      <c r="G84" s="24"/>
      <c r="H84" s="49">
        <f>G84/G12</f>
        <v>0</v>
      </c>
      <c r="J84" s="49">
        <f>I84/I12</f>
        <v>0</v>
      </c>
      <c r="K84" s="24"/>
      <c r="L84" s="49">
        <f>K84/K12</f>
        <v>0</v>
      </c>
      <c r="N84" s="49">
        <f>M84/M12</f>
        <v>0</v>
      </c>
      <c r="P84" s="49">
        <f>O84/O12</f>
        <v>0</v>
      </c>
      <c r="R84" s="49">
        <f>Q84/Q12</f>
        <v>0</v>
      </c>
      <c r="T84" s="49">
        <f>S84/S12</f>
        <v>0</v>
      </c>
      <c r="U84" s="24"/>
      <c r="V84" s="49">
        <f>U84/U12</f>
        <v>0</v>
      </c>
      <c r="W84" s="24"/>
      <c r="X84" s="49">
        <f>W84/W12</f>
        <v>0</v>
      </c>
      <c r="Y84" s="24"/>
      <c r="Z84" s="179">
        <f>Y84/Y12</f>
        <v>0</v>
      </c>
      <c r="AA84" s="286">
        <f t="shared" si="50"/>
        <v>0</v>
      </c>
      <c r="AB84" s="214">
        <f>AA84/AA12</f>
        <v>0</v>
      </c>
      <c r="AC84" s="205">
        <f t="shared" si="51"/>
        <v>0</v>
      </c>
      <c r="AD84" s="214">
        <f>AC84/AC12</f>
        <v>0</v>
      </c>
      <c r="AE84" s="75"/>
      <c r="AF84" s="169"/>
      <c r="AG84" s="75"/>
      <c r="AH84" s="53">
        <f t="shared" si="47"/>
        <v>0</v>
      </c>
      <c r="AI84" s="53">
        <f t="shared" si="48"/>
        <v>0</v>
      </c>
      <c r="AJ84" s="53">
        <f t="shared" si="52"/>
        <v>0</v>
      </c>
      <c r="AK84" s="53"/>
      <c r="AQ84" s="53">
        <f t="shared" si="49"/>
        <v>0</v>
      </c>
    </row>
    <row r="85" spans="1:43">
      <c r="A85" s="2">
        <v>6209</v>
      </c>
      <c r="B85" s="112" t="s">
        <v>30</v>
      </c>
      <c r="C85" s="24">
        <v>652.5</v>
      </c>
      <c r="D85" s="49">
        <f>C85/C12</f>
        <v>5.3361574759361787E-3</v>
      </c>
      <c r="E85" s="24">
        <v>652.5</v>
      </c>
      <c r="F85" s="49">
        <f>E85/E12</f>
        <v>6.8587994292385376E-3</v>
      </c>
      <c r="G85" s="24">
        <v>652.5</v>
      </c>
      <c r="H85" s="49">
        <f>G85/G12</f>
        <v>4.1348517432307193E-3</v>
      </c>
      <c r="I85" s="24">
        <v>652.5</v>
      </c>
      <c r="J85" s="49">
        <f>I85/I12</f>
        <v>4.6827617142883079E-3</v>
      </c>
      <c r="K85" s="24">
        <v>652.5</v>
      </c>
      <c r="L85" s="49">
        <f>K85/K12</f>
        <v>5.1200001480498957E-3</v>
      </c>
      <c r="M85" s="24">
        <v>652.5</v>
      </c>
      <c r="N85" s="49">
        <f>M85/M12</f>
        <v>3.6107546824727397E-3</v>
      </c>
      <c r="O85" s="24">
        <v>652.5</v>
      </c>
      <c r="P85" s="49">
        <f>O85/O12</f>
        <v>5.7031980391515713E-3</v>
      </c>
      <c r="Q85" s="24">
        <v>652.5</v>
      </c>
      <c r="R85" s="49">
        <f>Q85/Q12</f>
        <v>4.5929119243866166E-3</v>
      </c>
      <c r="S85" s="24">
        <v>652.5</v>
      </c>
      <c r="T85" s="49">
        <f>S85/S12</f>
        <v>4.5592678297045226E-3</v>
      </c>
      <c r="U85" s="24">
        <v>652.5</v>
      </c>
      <c r="V85" s="49">
        <f>U85/U12</f>
        <v>5.7478949825639242E-3</v>
      </c>
      <c r="W85" s="24">
        <v>652.5</v>
      </c>
      <c r="X85" s="49">
        <f>W85/W12</f>
        <v>5.6493614786944273E-3</v>
      </c>
      <c r="Y85" s="24">
        <v>652.5</v>
      </c>
      <c r="Z85" s="179">
        <f>Y85/Y12</f>
        <v>3.7396558168437035E-3</v>
      </c>
      <c r="AA85" s="286">
        <f>C85+E85+G85+I85+K85+M85+O85+Q85+S85+U85+W85+Y85</f>
        <v>7830</v>
      </c>
      <c r="AB85" s="214">
        <f>AA85/AA12</f>
        <v>4.8160851910439596E-3</v>
      </c>
      <c r="AC85" s="205">
        <f t="shared" si="51"/>
        <v>652.5</v>
      </c>
      <c r="AD85" s="214">
        <f>AC85/AC12</f>
        <v>4.8160851910439596E-3</v>
      </c>
      <c r="AE85" s="75"/>
      <c r="AF85" s="169"/>
      <c r="AG85" s="75"/>
      <c r="AH85" s="53">
        <f t="shared" si="47"/>
        <v>0</v>
      </c>
      <c r="AI85" s="53">
        <f>C85+E85+G85+I85+K85+M85+O85+Q85+S85+U85+W85+Y85</f>
        <v>7830</v>
      </c>
      <c r="AJ85" s="53">
        <f>G85*9.4+I85*9.4+K85*9.4+M85*9.4+O85*9.4+Q85*9.4+S85*9.4+U85*9.4+W85*9.4+Y85*9.4</f>
        <v>61335</v>
      </c>
      <c r="AK85" s="53"/>
      <c r="AQ85" s="53">
        <f t="shared" si="49"/>
        <v>6270.5249999999996</v>
      </c>
    </row>
    <row r="86" spans="1:43">
      <c r="A86" s="2">
        <v>6210</v>
      </c>
      <c r="B86" s="112" t="s">
        <v>31</v>
      </c>
      <c r="C86" s="24">
        <v>287.23972602739724</v>
      </c>
      <c r="D86" s="49">
        <f>C86/C12</f>
        <v>2.3490519715355642E-3</v>
      </c>
      <c r="E86" s="24">
        <v>287.23972602739724</v>
      </c>
      <c r="F86" s="49">
        <f>E86/E12</f>
        <v>3.0193404887836721E-3</v>
      </c>
      <c r="G86" s="24">
        <v>287.23972602739724</v>
      </c>
      <c r="H86" s="49">
        <f>G86/G12</f>
        <v>1.8202202021294985E-3</v>
      </c>
      <c r="I86" s="24">
        <v>287.23972602739724</v>
      </c>
      <c r="J86" s="49">
        <f>I86/I12</f>
        <v>2.0614179185651474E-3</v>
      </c>
      <c r="K86" s="24">
        <v>287.23972602739724</v>
      </c>
      <c r="L86" s="49">
        <f>K86/K12</f>
        <v>2.2538964594422763E-3</v>
      </c>
      <c r="M86" s="24">
        <v>287.23972602739724</v>
      </c>
      <c r="N86" s="49">
        <f>M86/M12</f>
        <v>1.5895052655105157E-3</v>
      </c>
      <c r="O86" s="24">
        <v>287.23972602739724</v>
      </c>
      <c r="P86" s="49">
        <f>O86/O12</f>
        <v>2.510628417235075E-3</v>
      </c>
      <c r="Q86" s="24">
        <v>287.23972602739724</v>
      </c>
      <c r="R86" s="49">
        <f>Q86/Q12</f>
        <v>2.0218647706188161E-3</v>
      </c>
      <c r="S86" s="24">
        <v>287.23972602739724</v>
      </c>
      <c r="T86" s="49">
        <f>S86/S12</f>
        <v>2.0070541644288935E-3</v>
      </c>
      <c r="U86" s="24">
        <v>287.23972602739724</v>
      </c>
      <c r="V86" s="49">
        <f>U86/U12</f>
        <v>2.5303046437178743E-3</v>
      </c>
      <c r="W86" s="24">
        <v>287.23972602739724</v>
      </c>
      <c r="X86" s="49">
        <f>W86/W12</f>
        <v>2.486928802099493E-3</v>
      </c>
      <c r="Y86" s="24">
        <v>287.23972602739724</v>
      </c>
      <c r="Z86" s="179">
        <f>Y86/Y12</f>
        <v>1.6462493674589238E-3</v>
      </c>
      <c r="AA86" s="286">
        <f>C86+E86+G86+I86+K86+M86+O86+Q86+S86+U86+W86+Y86</f>
        <v>3446.8767123287676</v>
      </c>
      <c r="AB86" s="214">
        <f>AA86/AA12</f>
        <v>2.1201087981610302E-3</v>
      </c>
      <c r="AC86" s="205">
        <f t="shared" si="51"/>
        <v>287.2397260273973</v>
      </c>
      <c r="AD86" s="214">
        <f>AC86/AC12</f>
        <v>2.1201087981610302E-3</v>
      </c>
      <c r="AE86" s="75"/>
      <c r="AF86" s="169"/>
      <c r="AG86" s="75"/>
      <c r="AH86" s="53">
        <f t="shared" si="47"/>
        <v>0</v>
      </c>
      <c r="AI86" s="53">
        <f>C86+E86+G86+I86+K86+M86+O86+Q86+S86+U86+W86+Y86</f>
        <v>3446.8767123287676</v>
      </c>
      <c r="AJ86" s="53">
        <f>G86*9.4+I86*9.4+K86*9.4+M86*9.4+O86*9.4+Q86*9.4+S86*9.4+U86*9.4+W86*9.4+Y86*9.4</f>
        <v>27000.534246575338</v>
      </c>
      <c r="AK86" s="53"/>
      <c r="AQ86" s="53">
        <f t="shared" si="49"/>
        <v>2760.3737671232875</v>
      </c>
    </row>
    <row r="87" spans="1:43">
      <c r="A87" s="2">
        <v>6211</v>
      </c>
      <c r="B87" s="112" t="s">
        <v>32</v>
      </c>
      <c r="C87" s="24">
        <v>310</v>
      </c>
      <c r="D87" s="49">
        <f>C87/C12</f>
        <v>2.5351859272646979E-3</v>
      </c>
      <c r="E87" s="24">
        <v>310</v>
      </c>
      <c r="F87" s="49">
        <f>E87/E12</f>
        <v>3.2585867020137114E-3</v>
      </c>
      <c r="G87" s="24">
        <v>310</v>
      </c>
      <c r="H87" s="49">
        <f>G87/G12</f>
        <v>1.9644506366306865E-3</v>
      </c>
      <c r="I87" s="24">
        <v>310</v>
      </c>
      <c r="J87" s="49">
        <f>I87/I12</f>
        <v>2.2247603546810355E-3</v>
      </c>
      <c r="K87" s="24">
        <v>310</v>
      </c>
      <c r="L87" s="49">
        <f>K87/K12</f>
        <v>2.4324904917938203E-3</v>
      </c>
      <c r="M87" s="24">
        <v>310</v>
      </c>
      <c r="N87" s="49">
        <f>M87/M12</f>
        <v>1.7154543319027576E-3</v>
      </c>
      <c r="O87" s="24">
        <v>310</v>
      </c>
      <c r="P87" s="49">
        <f>O87/O12</f>
        <v>2.7095653519340801E-3</v>
      </c>
      <c r="Q87" s="24">
        <v>310</v>
      </c>
      <c r="R87" s="49">
        <f>Q87/Q12</f>
        <v>2.1820730981760173E-3</v>
      </c>
      <c r="S87" s="24">
        <v>310</v>
      </c>
      <c r="T87" s="49">
        <f>S87/S12</f>
        <v>2.1660889305875892E-3</v>
      </c>
      <c r="U87" s="24">
        <v>310</v>
      </c>
      <c r="V87" s="49">
        <f>U87/U12</f>
        <v>2.7308006813713667E-3</v>
      </c>
      <c r="W87" s="24">
        <v>310</v>
      </c>
      <c r="X87" s="49">
        <f>W87/W12</f>
        <v>2.6839878289582719E-3</v>
      </c>
      <c r="Y87" s="24">
        <v>310</v>
      </c>
      <c r="Z87" s="179">
        <f>Y87/Y12</f>
        <v>1.7766947175809167E-3</v>
      </c>
      <c r="AA87" s="286">
        <f t="shared" si="50"/>
        <v>3720</v>
      </c>
      <c r="AB87" s="214">
        <f>AA87/AA12</f>
        <v>2.2881017765879349E-3</v>
      </c>
      <c r="AC87" s="205">
        <f t="shared" si="51"/>
        <v>310</v>
      </c>
      <c r="AD87" s="214">
        <f>AC87/AC12</f>
        <v>2.2881017765879349E-3</v>
      </c>
      <c r="AE87" s="75"/>
      <c r="AF87" s="169"/>
      <c r="AG87" s="75"/>
      <c r="AH87" s="53">
        <f t="shared" si="47"/>
        <v>0</v>
      </c>
      <c r="AI87" s="53">
        <f t="shared" si="48"/>
        <v>3720</v>
      </c>
      <c r="AJ87" s="53">
        <f t="shared" si="52"/>
        <v>29140</v>
      </c>
      <c r="AK87" s="53"/>
      <c r="AQ87" s="53">
        <f t="shared" si="49"/>
        <v>2979.1</v>
      </c>
    </row>
    <row r="88" spans="1:43">
      <c r="A88" s="99">
        <v>6212</v>
      </c>
      <c r="B88" s="112" t="s">
        <v>33</v>
      </c>
      <c r="C88" s="128">
        <v>25</v>
      </c>
      <c r="D88" s="49">
        <f>C88/C12</f>
        <v>2.0445047800521758E-4</v>
      </c>
      <c r="E88" s="128">
        <v>25</v>
      </c>
      <c r="F88" s="49">
        <f>E88/E12</f>
        <v>2.627892501623961E-4</v>
      </c>
      <c r="G88" s="128">
        <v>25</v>
      </c>
      <c r="H88" s="49">
        <f>G88/G12</f>
        <v>1.5842343843795861E-4</v>
      </c>
      <c r="I88" s="128">
        <v>25</v>
      </c>
      <c r="J88" s="49">
        <f>I88/I12</f>
        <v>1.7941615763556736E-4</v>
      </c>
      <c r="K88" s="128">
        <v>25</v>
      </c>
      <c r="L88" s="49">
        <f>K88/K12</f>
        <v>1.9616858804788874E-4</v>
      </c>
      <c r="M88" s="128">
        <v>25</v>
      </c>
      <c r="N88" s="49">
        <f>M88/M12</f>
        <v>1.3834309128248044E-4</v>
      </c>
      <c r="O88" s="128">
        <v>25</v>
      </c>
      <c r="P88" s="49">
        <f>O88/O12</f>
        <v>2.1851333483339356E-4</v>
      </c>
      <c r="Q88" s="128">
        <v>25</v>
      </c>
      <c r="R88" s="49">
        <f>Q88/Q12</f>
        <v>1.759736369496788E-4</v>
      </c>
      <c r="S88" s="128">
        <v>25</v>
      </c>
      <c r="T88" s="49">
        <f>S88/S12</f>
        <v>1.7468459117641848E-4</v>
      </c>
      <c r="U88" s="128">
        <v>25</v>
      </c>
      <c r="V88" s="49">
        <f>U88/U12</f>
        <v>2.2022586140091666E-4</v>
      </c>
      <c r="W88" s="128">
        <v>25</v>
      </c>
      <c r="X88" s="49">
        <f>W88/W12</f>
        <v>2.164506313676026E-4</v>
      </c>
      <c r="Y88" s="128">
        <v>25</v>
      </c>
      <c r="Z88" s="179">
        <f>Y88/Y12</f>
        <v>1.4328183206297715E-4</v>
      </c>
      <c r="AA88" s="286">
        <f t="shared" si="50"/>
        <v>300</v>
      </c>
      <c r="AB88" s="214">
        <f>AA88/AA12</f>
        <v>1.8452433682160764E-4</v>
      </c>
      <c r="AC88" s="207">
        <f t="shared" si="51"/>
        <v>25</v>
      </c>
      <c r="AD88" s="214">
        <f>AC88/AC12</f>
        <v>1.8452433682160764E-4</v>
      </c>
      <c r="AE88" s="75"/>
      <c r="AF88" s="169"/>
      <c r="AG88" s="75"/>
      <c r="AH88" s="53">
        <f t="shared" si="47"/>
        <v>0</v>
      </c>
      <c r="AI88" s="53">
        <f t="shared" si="48"/>
        <v>300</v>
      </c>
      <c r="AJ88" s="53">
        <f t="shared" si="52"/>
        <v>2350</v>
      </c>
      <c r="AK88" s="53"/>
      <c r="AQ88" s="53">
        <f t="shared" si="49"/>
        <v>240.25</v>
      </c>
    </row>
    <row r="89" spans="1:43">
      <c r="A89" s="99">
        <v>6213</v>
      </c>
      <c r="B89" s="112" t="s">
        <v>34</v>
      </c>
      <c r="C89" s="128"/>
      <c r="D89" s="49">
        <f>C89/C12</f>
        <v>0</v>
      </c>
      <c r="F89" s="49">
        <f>E89/E12</f>
        <v>0</v>
      </c>
      <c r="H89" s="49">
        <f>G89/G12</f>
        <v>0</v>
      </c>
      <c r="I89" s="128"/>
      <c r="J89" s="49">
        <f>I89/I12</f>
        <v>0</v>
      </c>
      <c r="L89" s="49">
        <f>K89/K12</f>
        <v>0</v>
      </c>
      <c r="M89" s="128"/>
      <c r="N89" s="49">
        <f>M89/M12</f>
        <v>0</v>
      </c>
      <c r="O89" s="128"/>
      <c r="P89" s="49">
        <f>O89/O12</f>
        <v>0</v>
      </c>
      <c r="Q89" s="128"/>
      <c r="R89" s="49">
        <f>Q89/Q12</f>
        <v>0</v>
      </c>
      <c r="S89" s="128"/>
      <c r="T89" s="49">
        <f>S89/S12</f>
        <v>0</v>
      </c>
      <c r="V89" s="49">
        <f>U89/U12</f>
        <v>0</v>
      </c>
      <c r="W89" s="128"/>
      <c r="X89" s="49">
        <f>W89/W12</f>
        <v>0</v>
      </c>
      <c r="Z89" s="179">
        <f>Y89/Y12</f>
        <v>0</v>
      </c>
      <c r="AA89" s="286">
        <f t="shared" si="50"/>
        <v>0</v>
      </c>
      <c r="AB89" s="214">
        <f>AA89/AA12</f>
        <v>0</v>
      </c>
      <c r="AC89" s="207">
        <f t="shared" si="51"/>
        <v>0</v>
      </c>
      <c r="AD89" s="214">
        <f>AC89/AC12</f>
        <v>0</v>
      </c>
      <c r="AE89" s="75"/>
      <c r="AF89" s="169"/>
      <c r="AG89" s="75"/>
      <c r="AH89" s="53">
        <f t="shared" si="47"/>
        <v>0</v>
      </c>
      <c r="AI89" s="53">
        <f t="shared" si="48"/>
        <v>0</v>
      </c>
      <c r="AJ89" s="53">
        <f t="shared" si="52"/>
        <v>0</v>
      </c>
      <c r="AK89" s="53"/>
      <c r="AQ89" s="53">
        <f t="shared" si="49"/>
        <v>0</v>
      </c>
    </row>
    <row r="90" spans="1:43">
      <c r="A90" s="2">
        <v>6214</v>
      </c>
      <c r="B90" s="112" t="s">
        <v>35</v>
      </c>
      <c r="C90" s="128">
        <v>261</v>
      </c>
      <c r="D90" s="49">
        <f>C90/C12</f>
        <v>2.1344629903744714E-3</v>
      </c>
      <c r="E90" s="128">
        <v>261</v>
      </c>
      <c r="F90" s="49">
        <f>E90/E12</f>
        <v>2.7435197716954153E-3</v>
      </c>
      <c r="G90" s="128">
        <v>261</v>
      </c>
      <c r="H90" s="49">
        <f>G90/G12</f>
        <v>1.6539406972922877E-3</v>
      </c>
      <c r="I90" s="128">
        <v>261</v>
      </c>
      <c r="J90" s="49">
        <f>I90/I12</f>
        <v>1.8731046857153233E-3</v>
      </c>
      <c r="K90" s="128">
        <v>261</v>
      </c>
      <c r="L90" s="49">
        <f>K90/K12</f>
        <v>2.0480000592199583E-3</v>
      </c>
      <c r="M90" s="128">
        <v>261</v>
      </c>
      <c r="N90" s="49">
        <f>M90/M12</f>
        <v>1.4443018729890958E-3</v>
      </c>
      <c r="O90" s="128">
        <v>261</v>
      </c>
      <c r="P90" s="49">
        <f>O90/O12</f>
        <v>2.2812792156606285E-3</v>
      </c>
      <c r="Q90" s="128">
        <v>261</v>
      </c>
      <c r="R90" s="49">
        <f>Q90/Q12</f>
        <v>1.8371647697546468E-3</v>
      </c>
      <c r="S90" s="128">
        <v>261</v>
      </c>
      <c r="T90" s="49">
        <f>S90/S12</f>
        <v>1.823707131881809E-3</v>
      </c>
      <c r="U90" s="128">
        <v>261</v>
      </c>
      <c r="V90" s="49">
        <f>U90/U12</f>
        <v>2.2991579930255698E-3</v>
      </c>
      <c r="W90" s="128">
        <v>261</v>
      </c>
      <c r="X90" s="49">
        <f>W90/W12</f>
        <v>2.259744591477771E-3</v>
      </c>
      <c r="Y90" s="128">
        <v>261</v>
      </c>
      <c r="Z90" s="179">
        <f>Y90/Y12</f>
        <v>1.4958623267374814E-3</v>
      </c>
      <c r="AA90" s="286">
        <f t="shared" si="50"/>
        <v>3132</v>
      </c>
      <c r="AB90" s="214">
        <f>AA90/AA12</f>
        <v>1.9264340764175837E-3</v>
      </c>
      <c r="AC90" s="207">
        <f t="shared" si="51"/>
        <v>261</v>
      </c>
      <c r="AD90" s="214">
        <f>AC90/AC12</f>
        <v>1.9264340764175837E-3</v>
      </c>
      <c r="AE90" s="75"/>
      <c r="AF90" s="169"/>
      <c r="AG90" s="75"/>
      <c r="AH90" s="53">
        <f t="shared" si="47"/>
        <v>0</v>
      </c>
      <c r="AI90" s="53">
        <f t="shared" si="48"/>
        <v>3132</v>
      </c>
      <c r="AJ90" s="53">
        <f t="shared" si="52"/>
        <v>24534.000000000004</v>
      </c>
      <c r="AK90" s="53"/>
      <c r="AQ90" s="53">
        <f t="shared" si="49"/>
        <v>2508.21</v>
      </c>
    </row>
    <row r="91" spans="1:43">
      <c r="A91" s="2">
        <v>6215</v>
      </c>
      <c r="B91" s="112" t="s">
        <v>333</v>
      </c>
      <c r="C91" s="128"/>
      <c r="D91" s="49">
        <f>C91/C12</f>
        <v>0</v>
      </c>
      <c r="F91" s="49">
        <f>E91/E12</f>
        <v>0</v>
      </c>
      <c r="H91" s="49">
        <f>G91/G12</f>
        <v>0</v>
      </c>
      <c r="I91" s="128"/>
      <c r="J91" s="49">
        <f>I91/I12</f>
        <v>0</v>
      </c>
      <c r="L91" s="49">
        <f>K91/K12</f>
        <v>0</v>
      </c>
      <c r="M91" s="128"/>
      <c r="N91" s="49">
        <f>M91/M12</f>
        <v>0</v>
      </c>
      <c r="O91" s="128"/>
      <c r="P91" s="49">
        <f>O91/O12</f>
        <v>0</v>
      </c>
      <c r="Q91" s="128"/>
      <c r="R91" s="49">
        <f>Q91/Q12</f>
        <v>0</v>
      </c>
      <c r="S91" s="128"/>
      <c r="T91" s="49">
        <f>S91/S12</f>
        <v>0</v>
      </c>
      <c r="V91" s="49">
        <f>U91/U12</f>
        <v>0</v>
      </c>
      <c r="W91" s="128"/>
      <c r="X91" s="49">
        <f>W91/W12</f>
        <v>0</v>
      </c>
      <c r="Z91" s="179">
        <f>Y91/Y12</f>
        <v>0</v>
      </c>
      <c r="AA91" s="286">
        <f t="shared" si="50"/>
        <v>0</v>
      </c>
      <c r="AB91" s="214">
        <f>AA91/AA12</f>
        <v>0</v>
      </c>
      <c r="AC91" s="205">
        <f t="shared" si="51"/>
        <v>0</v>
      </c>
      <c r="AD91" s="214">
        <f>AC91/AC12</f>
        <v>0</v>
      </c>
      <c r="AE91" s="75"/>
      <c r="AF91" s="169"/>
      <c r="AG91" s="75"/>
      <c r="AH91" s="53">
        <f t="shared" si="47"/>
        <v>0</v>
      </c>
      <c r="AI91" s="53">
        <f t="shared" si="48"/>
        <v>0</v>
      </c>
      <c r="AJ91" s="53">
        <f t="shared" si="52"/>
        <v>0</v>
      </c>
      <c r="AK91" s="53"/>
      <c r="AQ91" s="53">
        <f t="shared" si="49"/>
        <v>0</v>
      </c>
    </row>
    <row r="92" spans="1:43">
      <c r="A92" s="2">
        <v>6216</v>
      </c>
      <c r="B92" s="112" t="s">
        <v>111</v>
      </c>
      <c r="C92" s="128"/>
      <c r="D92" s="49">
        <f>C92/C12</f>
        <v>0</v>
      </c>
      <c r="F92" s="49">
        <f>E92/E12</f>
        <v>0</v>
      </c>
      <c r="H92" s="49">
        <f>G92/G12</f>
        <v>0</v>
      </c>
      <c r="I92" s="128"/>
      <c r="J92" s="49">
        <f>I92/I12</f>
        <v>0</v>
      </c>
      <c r="L92" s="49">
        <f>K92/K12</f>
        <v>0</v>
      </c>
      <c r="M92" s="128"/>
      <c r="N92" s="49">
        <f>M92/M12</f>
        <v>0</v>
      </c>
      <c r="O92" s="128"/>
      <c r="P92" s="49">
        <f>O92/O12</f>
        <v>0</v>
      </c>
      <c r="Q92" s="128"/>
      <c r="R92" s="49">
        <f>Q92/Q12</f>
        <v>0</v>
      </c>
      <c r="S92" s="128"/>
      <c r="T92" s="49">
        <f>S92/S12</f>
        <v>0</v>
      </c>
      <c r="V92" s="49">
        <f>U92/U12</f>
        <v>0</v>
      </c>
      <c r="W92" s="128"/>
      <c r="X92" s="49">
        <f>W92/W12</f>
        <v>0</v>
      </c>
      <c r="Z92" s="179">
        <f>Y92/Y12</f>
        <v>0</v>
      </c>
      <c r="AA92" s="286">
        <f t="shared" si="50"/>
        <v>0</v>
      </c>
      <c r="AB92" s="214">
        <f>AA92/AA12</f>
        <v>0</v>
      </c>
      <c r="AC92" s="205">
        <f t="shared" si="51"/>
        <v>0</v>
      </c>
      <c r="AD92" s="214">
        <f>AC92/AC12</f>
        <v>0</v>
      </c>
      <c r="AE92" s="75"/>
      <c r="AF92" s="169"/>
      <c r="AG92" s="75"/>
      <c r="AH92" s="53">
        <f t="shared" si="47"/>
        <v>0</v>
      </c>
      <c r="AI92" s="53">
        <f t="shared" si="48"/>
        <v>0</v>
      </c>
      <c r="AJ92" s="53">
        <f t="shared" si="52"/>
        <v>0</v>
      </c>
      <c r="AK92" s="53"/>
      <c r="AQ92" s="53">
        <f t="shared" si="49"/>
        <v>0</v>
      </c>
    </row>
    <row r="93" spans="1:43" ht="15.75" thickBot="1">
      <c r="A93" s="4">
        <v>6299</v>
      </c>
      <c r="B93" s="113" t="s">
        <v>100</v>
      </c>
      <c r="C93" s="29">
        <f>SUM(C77:C92)</f>
        <v>12114.073059360731</v>
      </c>
      <c r="D93" s="66">
        <f>C93/C12</f>
        <v>9.9069121103057198E-2</v>
      </c>
      <c r="E93" s="58">
        <f>SUM(E77:E92)</f>
        <v>12114.073059360731</v>
      </c>
      <c r="F93" s="66">
        <f>E93/E12</f>
        <v>0.12733792702727562</v>
      </c>
      <c r="G93" s="85">
        <f>SUM(G77:G92)</f>
        <v>12114.073059360731</v>
      </c>
      <c r="H93" s="66">
        <f>G93/G12</f>
        <v>7.6766124302102709E-2</v>
      </c>
      <c r="I93" s="304">
        <f>SUM(I77:I92)</f>
        <v>12114.073059360731</v>
      </c>
      <c r="J93" s="66">
        <f>I93/I12</f>
        <v>8.6938417665081785E-2</v>
      </c>
      <c r="K93" s="58">
        <f>SUM(K77:K92)</f>
        <v>12114.073059360731</v>
      </c>
      <c r="L93" s="66">
        <f>K93/K12</f>
        <v>9.5056024302550501E-2</v>
      </c>
      <c r="M93" s="21">
        <f>SUM(M77:M92)</f>
        <v>12114.073059360731</v>
      </c>
      <c r="N93" s="66">
        <f>M93/M12</f>
        <v>6.7035932602151155E-2</v>
      </c>
      <c r="O93" s="21">
        <f>SUM(O77:O92)</f>
        <v>12114.073059360731</v>
      </c>
      <c r="P93" s="66">
        <f>O93/O12</f>
        <v>0.10588346010465134</v>
      </c>
      <c r="Q93" s="21">
        <f>SUM(Q77:Q92)</f>
        <v>12114.073059360731</v>
      </c>
      <c r="R93" s="66">
        <f>Q93/Q12</f>
        <v>8.5270299781193201E-2</v>
      </c>
      <c r="S93" s="21">
        <f>SUM(S77:S92)</f>
        <v>12114.073059360731</v>
      </c>
      <c r="T93" s="66">
        <f>S93/S12</f>
        <v>8.4645675994227787E-2</v>
      </c>
      <c r="U93" s="58">
        <f>SUM(U77:U92)</f>
        <v>12114.073059360731</v>
      </c>
      <c r="V93" s="66">
        <f>U93/U12</f>
        <v>0.10671328698285419</v>
      </c>
      <c r="W93" s="40">
        <f>SUM(W77:W92)</f>
        <v>12114.073059360731</v>
      </c>
      <c r="X93" s="66">
        <f>W93/W12</f>
        <v>0.10488395048527581</v>
      </c>
      <c r="Y93" s="58">
        <f>SUM(Y77:Y92)</f>
        <v>12114.073059360731</v>
      </c>
      <c r="Z93" s="224">
        <f>Y93/Y12</f>
        <v>6.9429063267598401E-2</v>
      </c>
      <c r="AA93" s="211">
        <f>SUM(AA77:AA92)</f>
        <v>145368.87671232875</v>
      </c>
      <c r="AB93" s="245">
        <f>AA93/AA12</f>
        <v>8.941365189948168E-2</v>
      </c>
      <c r="AC93" s="210">
        <f t="shared" si="51"/>
        <v>12114.07305936073</v>
      </c>
      <c r="AD93" s="245">
        <f>AC93/AC12</f>
        <v>8.941365189948168E-2</v>
      </c>
      <c r="AE93" s="75"/>
      <c r="AF93" s="248"/>
      <c r="AG93" s="75" t="s">
        <v>204</v>
      </c>
      <c r="AH93" s="53">
        <f t="shared" si="47"/>
        <v>0</v>
      </c>
      <c r="AI93" s="53">
        <f t="shared" si="48"/>
        <v>145368.87671232878</v>
      </c>
      <c r="AJ93" s="53">
        <f t="shared" si="52"/>
        <v>1138722.8675799086</v>
      </c>
      <c r="AK93" s="53"/>
      <c r="AQ93" s="53">
        <f t="shared" si="49"/>
        <v>116416.24210045663</v>
      </c>
    </row>
    <row r="94" spans="1:43" ht="15.75" thickTop="1">
      <c r="A94" s="99">
        <v>6301</v>
      </c>
      <c r="B94" s="115" t="s">
        <v>37</v>
      </c>
      <c r="C94" s="535"/>
      <c r="D94" s="536">
        <f t="shared" ref="D94:D114" si="53">C94/C$12</f>
        <v>0</v>
      </c>
      <c r="E94" s="535"/>
      <c r="F94" s="536">
        <f t="shared" ref="F94:F114" si="54">E94/E$12</f>
        <v>0</v>
      </c>
      <c r="G94" s="535"/>
      <c r="H94" s="536">
        <f t="shared" ref="H94:H114" si="55">G94/G$12</f>
        <v>0</v>
      </c>
      <c r="I94" s="535"/>
      <c r="J94" s="536">
        <f t="shared" ref="J94:J114" si="56">I94/I$12</f>
        <v>0</v>
      </c>
      <c r="K94" s="535"/>
      <c r="L94" s="536">
        <f t="shared" ref="L94:L114" si="57">K94/K$12</f>
        <v>0</v>
      </c>
      <c r="M94" s="535"/>
      <c r="N94" s="536">
        <f t="shared" ref="N94:N114" si="58">M94/M$12</f>
        <v>0</v>
      </c>
      <c r="O94" s="535"/>
      <c r="P94" s="536">
        <f t="shared" ref="P94:P114" si="59">O94/O$12</f>
        <v>0</v>
      </c>
      <c r="Q94" s="535"/>
      <c r="R94" s="536">
        <f t="shared" ref="R94:R114" si="60">Q94/Q$12</f>
        <v>0</v>
      </c>
      <c r="S94" s="535"/>
      <c r="T94" s="536">
        <f t="shared" ref="T94:T114" si="61">S94/S$12</f>
        <v>0</v>
      </c>
      <c r="U94" s="535"/>
      <c r="V94" s="536">
        <f t="shared" ref="V94:V114" si="62">U94/U$12</f>
        <v>0</v>
      </c>
      <c r="W94" s="535"/>
      <c r="X94" s="536">
        <f t="shared" ref="X94:X114" si="63">W94/W$12</f>
        <v>0</v>
      </c>
      <c r="Y94" s="535"/>
      <c r="Z94" s="49">
        <f t="shared" ref="Z94:Z114" si="64">Y94/Y$12</f>
        <v>0</v>
      </c>
      <c r="AA94" s="465">
        <f t="shared" ref="AA94:AA114" si="65">C94+E94+G94+I94+K94+M94+O94+Q94+S94+U94+W94+Y94</f>
        <v>0</v>
      </c>
      <c r="AB94" s="214">
        <f>AA94/AA$12</f>
        <v>0</v>
      </c>
      <c r="AC94" s="464">
        <f t="shared" si="51"/>
        <v>0</v>
      </c>
      <c r="AD94" s="214">
        <f>AC94/AC$12</f>
        <v>0</v>
      </c>
      <c r="AE94" s="75"/>
      <c r="AF94" s="169"/>
      <c r="AG94" s="75"/>
      <c r="AH94" s="53">
        <f t="shared" si="47"/>
        <v>0</v>
      </c>
      <c r="AI94" s="53">
        <f t="shared" si="48"/>
        <v>0</v>
      </c>
      <c r="AJ94" s="53">
        <f t="shared" si="52"/>
        <v>0</v>
      </c>
      <c r="AK94" s="53"/>
      <c r="AQ94" s="53">
        <f t="shared" si="49"/>
        <v>0</v>
      </c>
    </row>
    <row r="95" spans="1:43">
      <c r="A95" s="99">
        <v>6302</v>
      </c>
      <c r="B95" s="115" t="s">
        <v>38</v>
      </c>
      <c r="C95" s="533">
        <v>1793.925</v>
      </c>
      <c r="D95" s="49">
        <f t="shared" si="53"/>
        <v>1.4670752950220398E-2</v>
      </c>
      <c r="E95" s="533">
        <v>1793.925</v>
      </c>
      <c r="F95" s="49">
        <f t="shared" si="54"/>
        <v>1.8856968223903054E-2</v>
      </c>
      <c r="G95" s="533">
        <v>1793.925</v>
      </c>
      <c r="H95" s="49">
        <f t="shared" si="55"/>
        <v>1.1367990671992595E-2</v>
      </c>
      <c r="I95" s="533">
        <v>1793.925</v>
      </c>
      <c r="J95" s="49">
        <f t="shared" si="56"/>
        <v>1.2874365223455407E-2</v>
      </c>
      <c r="K95" s="533">
        <v>1793.925</v>
      </c>
      <c r="L95" s="49">
        <f t="shared" si="57"/>
        <v>1.4076469372552351E-2</v>
      </c>
      <c r="M95" s="533">
        <v>1793.925</v>
      </c>
      <c r="N95" s="49">
        <f t="shared" si="58"/>
        <v>9.9270852011569492E-3</v>
      </c>
      <c r="O95" s="533">
        <v>1793.925</v>
      </c>
      <c r="P95" s="49">
        <f t="shared" si="59"/>
        <v>1.5679861367639821E-2</v>
      </c>
      <c r="Q95" s="533">
        <v>1793.925</v>
      </c>
      <c r="R95" s="49">
        <f t="shared" si="60"/>
        <v>1.2627340266598102E-2</v>
      </c>
      <c r="S95" s="533">
        <v>1793.925</v>
      </c>
      <c r="T95" s="49">
        <f t="shared" si="61"/>
        <v>1.2534842209046262E-2</v>
      </c>
      <c r="U95" s="533">
        <v>1793.925</v>
      </c>
      <c r="V95" s="49">
        <f t="shared" si="62"/>
        <v>1.5802747136545576E-2</v>
      </c>
      <c r="W95" s="533">
        <v>1793.925</v>
      </c>
      <c r="X95" s="49">
        <f t="shared" si="63"/>
        <v>1.5531847955045058E-2</v>
      </c>
      <c r="Y95" s="533">
        <v>1847.4750000000001</v>
      </c>
      <c r="Z95" s="49">
        <f t="shared" si="64"/>
        <v>1.0588384107621949E-2</v>
      </c>
      <c r="AA95" s="465">
        <f t="shared" si="65"/>
        <v>21580.649999999994</v>
      </c>
      <c r="AB95" s="214">
        <f t="shared" ref="AB95:AB99" si="66">AA95/AA$12</f>
        <v>1.3273850431430752E-2</v>
      </c>
      <c r="AC95" s="464">
        <f t="shared" si="51"/>
        <v>1798.3874999999996</v>
      </c>
      <c r="AD95" s="214">
        <f t="shared" ref="AD95:AD99" si="67">AC95/AC$12</f>
        <v>1.3273850431430752E-2</v>
      </c>
      <c r="AE95" s="75"/>
      <c r="AF95" s="169"/>
      <c r="AG95" s="75"/>
      <c r="AH95" s="53">
        <f t="shared" si="47"/>
        <v>0</v>
      </c>
      <c r="AI95" s="53">
        <f t="shared" si="48"/>
        <v>21580.649999999994</v>
      </c>
      <c r="AJ95" s="53">
        <f t="shared" si="52"/>
        <v>169132.32</v>
      </c>
      <c r="AK95" s="53"/>
      <c r="AQ95" s="53">
        <f t="shared" si="49"/>
        <v>17239.61925</v>
      </c>
    </row>
    <row r="96" spans="1:43">
      <c r="A96" s="99">
        <v>6303</v>
      </c>
      <c r="B96" s="2" t="s">
        <v>117</v>
      </c>
      <c r="C96" s="533"/>
      <c r="D96" s="49">
        <f t="shared" si="53"/>
        <v>0</v>
      </c>
      <c r="E96" s="533"/>
      <c r="F96" s="49">
        <f t="shared" si="54"/>
        <v>0</v>
      </c>
      <c r="G96" s="533"/>
      <c r="H96" s="49">
        <f t="shared" si="55"/>
        <v>0</v>
      </c>
      <c r="I96" s="533"/>
      <c r="J96" s="49">
        <f t="shared" si="56"/>
        <v>0</v>
      </c>
      <c r="K96" s="533"/>
      <c r="L96" s="49">
        <f t="shared" si="57"/>
        <v>0</v>
      </c>
      <c r="M96" s="533"/>
      <c r="N96" s="49">
        <f t="shared" si="58"/>
        <v>0</v>
      </c>
      <c r="O96" s="533"/>
      <c r="P96" s="49">
        <f t="shared" si="59"/>
        <v>0</v>
      </c>
      <c r="Q96" s="533"/>
      <c r="R96" s="49">
        <f t="shared" si="60"/>
        <v>0</v>
      </c>
      <c r="S96" s="533"/>
      <c r="T96" s="49">
        <f t="shared" si="61"/>
        <v>0</v>
      </c>
      <c r="U96" s="533"/>
      <c r="V96" s="49">
        <f t="shared" si="62"/>
        <v>0</v>
      </c>
      <c r="W96" s="533"/>
      <c r="X96" s="49">
        <f t="shared" si="63"/>
        <v>0</v>
      </c>
      <c r="Y96" s="533"/>
      <c r="Z96" s="49">
        <f t="shared" si="64"/>
        <v>0</v>
      </c>
      <c r="AA96" s="465">
        <f t="shared" si="65"/>
        <v>0</v>
      </c>
      <c r="AB96" s="214">
        <f t="shared" si="66"/>
        <v>0</v>
      </c>
      <c r="AC96" s="464">
        <f t="shared" si="51"/>
        <v>0</v>
      </c>
      <c r="AD96" s="214">
        <f t="shared" si="67"/>
        <v>0</v>
      </c>
      <c r="AE96" s="75"/>
      <c r="AF96" s="169"/>
      <c r="AG96" s="75"/>
      <c r="AH96" s="53">
        <f t="shared" si="47"/>
        <v>0</v>
      </c>
      <c r="AI96" s="53">
        <f t="shared" si="48"/>
        <v>0</v>
      </c>
      <c r="AJ96" s="53">
        <f t="shared" si="52"/>
        <v>0</v>
      </c>
      <c r="AK96" s="53"/>
      <c r="AQ96" s="53">
        <f t="shared" si="49"/>
        <v>0</v>
      </c>
    </row>
    <row r="97" spans="1:43">
      <c r="A97" s="99">
        <v>6304</v>
      </c>
      <c r="B97" s="2" t="s">
        <v>39</v>
      </c>
      <c r="C97" s="537"/>
      <c r="D97" s="49">
        <f t="shared" si="53"/>
        <v>0</v>
      </c>
      <c r="E97" s="537"/>
      <c r="F97" s="49">
        <f t="shared" si="54"/>
        <v>0</v>
      </c>
      <c r="G97" s="537"/>
      <c r="H97" s="49">
        <f t="shared" si="55"/>
        <v>0</v>
      </c>
      <c r="I97" s="537"/>
      <c r="J97" s="49">
        <f t="shared" si="56"/>
        <v>0</v>
      </c>
      <c r="K97" s="537"/>
      <c r="L97" s="49">
        <f t="shared" si="57"/>
        <v>0</v>
      </c>
      <c r="M97" s="537"/>
      <c r="N97" s="49">
        <f t="shared" si="58"/>
        <v>0</v>
      </c>
      <c r="O97" s="537"/>
      <c r="P97" s="49">
        <f t="shared" si="59"/>
        <v>0</v>
      </c>
      <c r="Q97" s="537"/>
      <c r="R97" s="49">
        <f t="shared" si="60"/>
        <v>0</v>
      </c>
      <c r="S97" s="537"/>
      <c r="T97" s="49">
        <f t="shared" si="61"/>
        <v>0</v>
      </c>
      <c r="U97" s="537"/>
      <c r="V97" s="49">
        <f t="shared" si="62"/>
        <v>0</v>
      </c>
      <c r="W97" s="537"/>
      <c r="X97" s="49">
        <f t="shared" si="63"/>
        <v>0</v>
      </c>
      <c r="Y97" s="537"/>
      <c r="Z97" s="49">
        <f t="shared" si="64"/>
        <v>0</v>
      </c>
      <c r="AA97" s="465">
        <f t="shared" si="65"/>
        <v>0</v>
      </c>
      <c r="AB97" s="214">
        <f t="shared" si="66"/>
        <v>0</v>
      </c>
      <c r="AC97" s="464">
        <f t="shared" si="51"/>
        <v>0</v>
      </c>
      <c r="AD97" s="214">
        <f t="shared" si="67"/>
        <v>0</v>
      </c>
      <c r="AE97" s="75"/>
      <c r="AF97" s="169"/>
      <c r="AG97" s="75"/>
      <c r="AH97" s="53">
        <f t="shared" si="47"/>
        <v>0</v>
      </c>
      <c r="AI97" s="53">
        <f t="shared" si="48"/>
        <v>0</v>
      </c>
      <c r="AJ97" s="53">
        <f t="shared" si="52"/>
        <v>0</v>
      </c>
      <c r="AK97" s="53"/>
      <c r="AQ97" s="53">
        <f t="shared" si="49"/>
        <v>0</v>
      </c>
    </row>
    <row r="98" spans="1:43">
      <c r="A98" s="99">
        <v>6305</v>
      </c>
      <c r="B98" s="2" t="s">
        <v>40</v>
      </c>
      <c r="C98" s="533"/>
      <c r="D98" s="49">
        <f t="shared" si="53"/>
        <v>0</v>
      </c>
      <c r="E98" s="533"/>
      <c r="F98" s="49">
        <f t="shared" si="54"/>
        <v>0</v>
      </c>
      <c r="G98" s="533"/>
      <c r="H98" s="49">
        <f t="shared" si="55"/>
        <v>0</v>
      </c>
      <c r="I98" s="533"/>
      <c r="J98" s="49">
        <f t="shared" si="56"/>
        <v>0</v>
      </c>
      <c r="K98" s="533"/>
      <c r="L98" s="49">
        <f t="shared" si="57"/>
        <v>0</v>
      </c>
      <c r="M98" s="533"/>
      <c r="N98" s="49">
        <f t="shared" si="58"/>
        <v>0</v>
      </c>
      <c r="O98" s="533"/>
      <c r="P98" s="49">
        <f t="shared" si="59"/>
        <v>0</v>
      </c>
      <c r="Q98" s="533"/>
      <c r="R98" s="49">
        <f t="shared" si="60"/>
        <v>0</v>
      </c>
      <c r="S98" s="533"/>
      <c r="T98" s="49">
        <f t="shared" si="61"/>
        <v>0</v>
      </c>
      <c r="U98" s="533"/>
      <c r="V98" s="49">
        <f t="shared" si="62"/>
        <v>0</v>
      </c>
      <c r="W98" s="533"/>
      <c r="X98" s="49">
        <f t="shared" si="63"/>
        <v>0</v>
      </c>
      <c r="Y98" s="533"/>
      <c r="Z98" s="49">
        <f t="shared" si="64"/>
        <v>0</v>
      </c>
      <c r="AA98" s="465">
        <f t="shared" si="65"/>
        <v>0</v>
      </c>
      <c r="AB98" s="214">
        <f t="shared" si="66"/>
        <v>0</v>
      </c>
      <c r="AC98" s="464">
        <f t="shared" si="51"/>
        <v>0</v>
      </c>
      <c r="AD98" s="214">
        <f t="shared" si="67"/>
        <v>0</v>
      </c>
      <c r="AE98" s="75"/>
      <c r="AF98" s="169"/>
      <c r="AG98" s="75"/>
      <c r="AH98" s="53">
        <f t="shared" si="47"/>
        <v>0</v>
      </c>
      <c r="AI98" s="53">
        <f t="shared" si="48"/>
        <v>0</v>
      </c>
      <c r="AJ98" s="53">
        <f t="shared" si="52"/>
        <v>0</v>
      </c>
      <c r="AK98" s="53"/>
      <c r="AQ98" s="53">
        <f t="shared" si="49"/>
        <v>0</v>
      </c>
    </row>
    <row r="99" spans="1:43">
      <c r="A99" s="99">
        <v>6306</v>
      </c>
      <c r="B99" s="2" t="s">
        <v>41</v>
      </c>
      <c r="C99" s="533"/>
      <c r="D99" s="49">
        <f t="shared" si="53"/>
        <v>0</v>
      </c>
      <c r="E99" s="533"/>
      <c r="F99" s="49">
        <f t="shared" si="54"/>
        <v>0</v>
      </c>
      <c r="G99" s="533"/>
      <c r="H99" s="49">
        <f t="shared" si="55"/>
        <v>0</v>
      </c>
      <c r="I99" s="533"/>
      <c r="J99" s="49">
        <f t="shared" si="56"/>
        <v>0</v>
      </c>
      <c r="K99" s="533"/>
      <c r="L99" s="49">
        <f t="shared" si="57"/>
        <v>0</v>
      </c>
      <c r="M99" s="533"/>
      <c r="N99" s="49">
        <f t="shared" si="58"/>
        <v>0</v>
      </c>
      <c r="O99" s="533"/>
      <c r="P99" s="49">
        <f t="shared" si="59"/>
        <v>0</v>
      </c>
      <c r="Q99" s="533"/>
      <c r="R99" s="49">
        <f t="shared" si="60"/>
        <v>0</v>
      </c>
      <c r="S99" s="533"/>
      <c r="T99" s="49">
        <f t="shared" si="61"/>
        <v>0</v>
      </c>
      <c r="U99" s="533"/>
      <c r="V99" s="49">
        <f t="shared" si="62"/>
        <v>0</v>
      </c>
      <c r="W99" s="533"/>
      <c r="X99" s="49">
        <f t="shared" si="63"/>
        <v>0</v>
      </c>
      <c r="Y99" s="533"/>
      <c r="Z99" s="49">
        <f t="shared" si="64"/>
        <v>0</v>
      </c>
      <c r="AA99" s="465">
        <f t="shared" si="65"/>
        <v>0</v>
      </c>
      <c r="AB99" s="214">
        <f t="shared" si="66"/>
        <v>0</v>
      </c>
      <c r="AC99" s="464">
        <f t="shared" si="51"/>
        <v>0</v>
      </c>
      <c r="AD99" s="214">
        <f t="shared" si="67"/>
        <v>0</v>
      </c>
      <c r="AE99" s="75"/>
      <c r="AF99" s="169"/>
      <c r="AG99" s="75"/>
      <c r="AH99" s="53">
        <f t="shared" si="47"/>
        <v>0</v>
      </c>
      <c r="AI99" s="53">
        <f t="shared" si="48"/>
        <v>0</v>
      </c>
      <c r="AJ99" s="53">
        <f t="shared" si="52"/>
        <v>0</v>
      </c>
      <c r="AK99" s="53"/>
      <c r="AQ99" s="53">
        <f t="shared" si="49"/>
        <v>0</v>
      </c>
    </row>
    <row r="100" spans="1:43" s="408" customFormat="1">
      <c r="A100" s="99">
        <v>6307</v>
      </c>
      <c r="B100" s="2" t="s">
        <v>324</v>
      </c>
      <c r="C100" s="533"/>
      <c r="D100" s="49">
        <f t="shared" si="53"/>
        <v>0</v>
      </c>
      <c r="E100" s="533">
        <v>44.224765868886578</v>
      </c>
      <c r="F100" s="49">
        <f t="shared" si="54"/>
        <v>4.6487172245168924E-4</v>
      </c>
      <c r="G100" s="533">
        <v>44.224765868886578</v>
      </c>
      <c r="H100" s="49">
        <f t="shared" si="55"/>
        <v>2.8024957892250742E-4</v>
      </c>
      <c r="I100" s="533">
        <v>281.58168574401668</v>
      </c>
      <c r="J100" s="49">
        <f t="shared" si="56"/>
        <v>2.0208121646694915E-3</v>
      </c>
      <c r="K100" s="533">
        <v>44.224765868886578</v>
      </c>
      <c r="L100" s="49">
        <f t="shared" si="57"/>
        <v>3.4702039508991767E-4</v>
      </c>
      <c r="M100" s="533"/>
      <c r="N100" s="49">
        <f t="shared" si="58"/>
        <v>0</v>
      </c>
      <c r="O100" s="533">
        <v>44.224765868886578</v>
      </c>
      <c r="P100" s="49">
        <f t="shared" si="59"/>
        <v>3.8654804288945789E-4</v>
      </c>
      <c r="Q100" s="533">
        <v>44.224765868886578</v>
      </c>
      <c r="R100" s="49">
        <f t="shared" si="60"/>
        <v>3.1129571572783974E-4</v>
      </c>
      <c r="S100" s="533">
        <v>44.224765868886578</v>
      </c>
      <c r="T100" s="49">
        <f t="shared" si="61"/>
        <v>3.0901540582717113E-4</v>
      </c>
      <c r="U100" s="533">
        <v>44.224765868886578</v>
      </c>
      <c r="V100" s="49">
        <f t="shared" si="62"/>
        <v>3.8957748634917621E-4</v>
      </c>
      <c r="W100" s="533">
        <v>44.224765868886578</v>
      </c>
      <c r="X100" s="49">
        <f t="shared" si="63"/>
        <v>3.8289913977619606E-4</v>
      </c>
      <c r="Y100" s="533">
        <v>44.224765868886578</v>
      </c>
      <c r="Z100" s="49">
        <f t="shared" si="64"/>
        <v>2.5346421905001159E-4</v>
      </c>
      <c r="AA100" s="465">
        <f t="shared" si="65"/>
        <v>679.60457856399603</v>
      </c>
      <c r="AB100" s="214">
        <f>AA100/AA$12</f>
        <v>4.1801194720149837E-4</v>
      </c>
      <c r="AC100" s="464">
        <f t="shared" si="51"/>
        <v>56.633714880333002</v>
      </c>
      <c r="AD100" s="214">
        <f>AC100/AC$12</f>
        <v>4.1801194720149837E-4</v>
      </c>
      <c r="AE100" s="75"/>
      <c r="AF100" s="169"/>
      <c r="AG100" s="75"/>
      <c r="AH100" s="53"/>
      <c r="AI100" s="53"/>
      <c r="AJ100" s="53"/>
      <c r="AK100" s="53"/>
      <c r="AQ100" s="53"/>
    </row>
    <row r="101" spans="1:43">
      <c r="A101" s="2">
        <v>6308</v>
      </c>
      <c r="B101" s="2" t="s">
        <v>130</v>
      </c>
      <c r="C101" s="533"/>
      <c r="D101" s="49">
        <f t="shared" si="53"/>
        <v>0</v>
      </c>
      <c r="E101" s="533"/>
      <c r="F101" s="49">
        <f t="shared" si="54"/>
        <v>0</v>
      </c>
      <c r="G101" s="533"/>
      <c r="H101" s="49">
        <f t="shared" si="55"/>
        <v>0</v>
      </c>
      <c r="I101" s="533"/>
      <c r="J101" s="49">
        <f t="shared" si="56"/>
        <v>0</v>
      </c>
      <c r="K101" s="533"/>
      <c r="L101" s="49">
        <f t="shared" si="57"/>
        <v>0</v>
      </c>
      <c r="M101" s="533"/>
      <c r="N101" s="49">
        <f t="shared" si="58"/>
        <v>0</v>
      </c>
      <c r="O101" s="533"/>
      <c r="P101" s="49">
        <f t="shared" si="59"/>
        <v>0</v>
      </c>
      <c r="Q101" s="533"/>
      <c r="R101" s="49">
        <f t="shared" si="60"/>
        <v>0</v>
      </c>
      <c r="S101" s="533"/>
      <c r="T101" s="49">
        <f t="shared" si="61"/>
        <v>0</v>
      </c>
      <c r="U101" s="533"/>
      <c r="V101" s="49">
        <f t="shared" si="62"/>
        <v>0</v>
      </c>
      <c r="W101" s="533"/>
      <c r="X101" s="49">
        <f t="shared" si="63"/>
        <v>0</v>
      </c>
      <c r="Y101" s="533"/>
      <c r="Z101" s="49">
        <f t="shared" si="64"/>
        <v>0</v>
      </c>
      <c r="AA101" s="465">
        <f t="shared" si="65"/>
        <v>0</v>
      </c>
      <c r="AB101" s="214">
        <f>AA101/AA$12</f>
        <v>0</v>
      </c>
      <c r="AC101" s="464">
        <f t="shared" si="51"/>
        <v>0</v>
      </c>
      <c r="AD101" s="214">
        <f>AC101/AC$12</f>
        <v>0</v>
      </c>
      <c r="AE101" s="75"/>
      <c r="AF101" s="169"/>
      <c r="AG101" s="75"/>
      <c r="AH101" s="53">
        <f>AA101-AI101</f>
        <v>0</v>
      </c>
      <c r="AI101" s="53">
        <f t="shared" si="48"/>
        <v>0</v>
      </c>
      <c r="AJ101" s="53">
        <f t="shared" si="52"/>
        <v>0</v>
      </c>
      <c r="AK101" s="53"/>
      <c r="AQ101" s="53">
        <f t="shared" si="49"/>
        <v>0</v>
      </c>
    </row>
    <row r="102" spans="1:43">
      <c r="A102" s="2">
        <v>6309</v>
      </c>
      <c r="B102" s="2" t="s">
        <v>131</v>
      </c>
      <c r="C102" s="533">
        <v>373.63011264000005</v>
      </c>
      <c r="D102" s="49">
        <f t="shared" si="53"/>
        <v>3.055554205055652E-3</v>
      </c>
      <c r="E102" s="533">
        <v>377.36641376640006</v>
      </c>
      <c r="F102" s="49">
        <f t="shared" si="54"/>
        <v>3.9667134764057909E-3</v>
      </c>
      <c r="G102" s="533">
        <v>192.45687102086407</v>
      </c>
      <c r="H102" s="49">
        <f t="shared" si="55"/>
        <v>1.21958717032544E-3</v>
      </c>
      <c r="I102" s="533">
        <v>196.30600844128134</v>
      </c>
      <c r="J102" s="49">
        <f t="shared" si="56"/>
        <v>1.408818790212398E-3</v>
      </c>
      <c r="K102" s="533">
        <v>400.46425722021394</v>
      </c>
      <c r="L102" s="49">
        <f t="shared" si="57"/>
        <v>3.1423403161014358E-3</v>
      </c>
      <c r="M102" s="533">
        <v>204.23677118230913</v>
      </c>
      <c r="N102" s="49">
        <f t="shared" si="58"/>
        <v>1.1301898511565304E-3</v>
      </c>
      <c r="O102" s="533">
        <v>206.27913889413219</v>
      </c>
      <c r="P102" s="49">
        <f t="shared" si="59"/>
        <v>1.8029897018527041E-3</v>
      </c>
      <c r="Q102" s="533">
        <v>208.34193028307351</v>
      </c>
      <c r="R102" s="49">
        <f t="shared" si="60"/>
        <v>1.4665074880411547E-3</v>
      </c>
      <c r="S102" s="533">
        <v>420.85069917180851</v>
      </c>
      <c r="T102" s="49">
        <f t="shared" si="61"/>
        <v>2.9406452932454904E-3</v>
      </c>
      <c r="U102" s="533">
        <v>425.90090756187021</v>
      </c>
      <c r="V102" s="49">
        <f t="shared" si="62"/>
        <v>3.7517757695698017E-3</v>
      </c>
      <c r="W102" s="533">
        <v>217.20946285655378</v>
      </c>
      <c r="X102" s="49">
        <f t="shared" si="63"/>
        <v>1.8806050149727555E-3</v>
      </c>
      <c r="Y102" s="533">
        <v>221.55365211368488</v>
      </c>
      <c r="Z102" s="49">
        <f t="shared" si="64"/>
        <v>1.2697845270036904E-3</v>
      </c>
      <c r="AA102" s="465">
        <f t="shared" si="65"/>
        <v>3444.5962251521919</v>
      </c>
      <c r="AB102" s="214">
        <f>AA102/AA$12</f>
        <v>2.1187061135480708E-3</v>
      </c>
      <c r="AC102" s="464">
        <f t="shared" si="51"/>
        <v>287.04968542934932</v>
      </c>
      <c r="AD102" s="214">
        <f>AC102/AC$12</f>
        <v>2.1187061135480708E-3</v>
      </c>
      <c r="AE102" s="75"/>
      <c r="AF102" s="169"/>
      <c r="AG102" s="75"/>
      <c r="AH102" s="53">
        <f>AA102-AI102</f>
        <v>0</v>
      </c>
      <c r="AI102" s="53">
        <f t="shared" si="48"/>
        <v>3444.5962251521919</v>
      </c>
      <c r="AJ102" s="53">
        <f t="shared" si="52"/>
        <v>25319.837168210441</v>
      </c>
      <c r="AK102" s="53"/>
      <c r="AQ102" s="53">
        <f t="shared" si="49"/>
        <v>2002.1659500203364</v>
      </c>
    </row>
    <row r="103" spans="1:43">
      <c r="A103" s="2">
        <v>6310</v>
      </c>
      <c r="B103" s="2" t="s">
        <v>132</v>
      </c>
      <c r="C103" s="533">
        <f>800/9.61</f>
        <v>83.246618106139437</v>
      </c>
      <c r="D103" s="49">
        <f t="shared" si="53"/>
        <v>6.8079243456472031E-4</v>
      </c>
      <c r="E103" s="533">
        <f>800/9.61</f>
        <v>83.246618106139437</v>
      </c>
      <c r="F103" s="49">
        <f t="shared" si="54"/>
        <v>8.7505265402670906E-4</v>
      </c>
      <c r="G103" s="533">
        <f>800/9.61</f>
        <v>83.246618106139437</v>
      </c>
      <c r="H103" s="49">
        <f t="shared" si="55"/>
        <v>5.2752861914824925E-4</v>
      </c>
      <c r="I103" s="533">
        <f>800/9.61</f>
        <v>83.246618106139437</v>
      </c>
      <c r="J103" s="49">
        <f t="shared" si="56"/>
        <v>5.9743153427035955E-4</v>
      </c>
      <c r="K103" s="533">
        <f>800/9.61</f>
        <v>83.246618106139437</v>
      </c>
      <c r="L103" s="49">
        <f t="shared" si="57"/>
        <v>6.5321486134572733E-4</v>
      </c>
      <c r="M103" s="533"/>
      <c r="N103" s="49">
        <f t="shared" si="58"/>
        <v>0</v>
      </c>
      <c r="O103" s="533">
        <f>800/9.61</f>
        <v>83.246618106139437</v>
      </c>
      <c r="P103" s="49">
        <f t="shared" si="59"/>
        <v>7.2761984543897955E-4</v>
      </c>
      <c r="Q103" s="533">
        <f>800/9.61</f>
        <v>83.246618106139437</v>
      </c>
      <c r="R103" s="49">
        <f t="shared" si="60"/>
        <v>5.8596840607593359E-4</v>
      </c>
      <c r="S103" s="533">
        <f>800/9.61</f>
        <v>83.246618106139437</v>
      </c>
      <c r="T103" s="49">
        <f t="shared" si="61"/>
        <v>5.8167605802761618E-4</v>
      </c>
      <c r="U103" s="533">
        <f>800/9.61</f>
        <v>83.246618106139437</v>
      </c>
      <c r="V103" s="49">
        <f t="shared" si="62"/>
        <v>7.3332232724550805E-4</v>
      </c>
      <c r="W103" s="533">
        <f>800/9.61</f>
        <v>83.246618106139437</v>
      </c>
      <c r="X103" s="49">
        <f t="shared" si="63"/>
        <v>7.2075132193166313E-4</v>
      </c>
      <c r="Y103" s="533">
        <f>800/9.61</f>
        <v>83.246618106139437</v>
      </c>
      <c r="Z103" s="49">
        <f t="shared" si="64"/>
        <v>4.7710911821178653E-4</v>
      </c>
      <c r="AA103" s="465">
        <f t="shared" si="65"/>
        <v>915.7127991675336</v>
      </c>
      <c r="AB103" s="214">
        <f t="shared" ref="AB103:AB114" si="68">AA103/AA$12</f>
        <v>5.6323765661815705E-4</v>
      </c>
      <c r="AC103" s="464">
        <f t="shared" si="51"/>
        <v>76.309399930627805</v>
      </c>
      <c r="AD103" s="214">
        <f t="shared" ref="AD103:AD114" si="69">AC103/AC$12</f>
        <v>5.6323765661815705E-4</v>
      </c>
      <c r="AE103" s="75"/>
      <c r="AF103" s="169"/>
      <c r="AG103" s="75"/>
      <c r="AH103" s="53">
        <f>AA103-AI103</f>
        <v>0</v>
      </c>
      <c r="AI103" s="53">
        <f t="shared" si="48"/>
        <v>915.7127991675336</v>
      </c>
      <c r="AJ103" s="53">
        <f t="shared" si="52"/>
        <v>7042.6638917793962</v>
      </c>
      <c r="AK103" s="53"/>
      <c r="AQ103" s="53">
        <f t="shared" si="49"/>
        <v>799.99999999999989</v>
      </c>
    </row>
    <row r="104" spans="1:43">
      <c r="A104" s="2">
        <v>6311</v>
      </c>
      <c r="B104" s="2" t="s">
        <v>133</v>
      </c>
      <c r="C104" s="533">
        <v>936.52445369406871</v>
      </c>
      <c r="D104" s="49">
        <f t="shared" si="53"/>
        <v>7.6589148888531041E-3</v>
      </c>
      <c r="E104" s="533"/>
      <c r="F104" s="49">
        <f t="shared" si="54"/>
        <v>0</v>
      </c>
      <c r="G104" s="533"/>
      <c r="H104" s="49">
        <f t="shared" si="55"/>
        <v>0</v>
      </c>
      <c r="I104" s="533"/>
      <c r="J104" s="49">
        <f t="shared" si="56"/>
        <v>0</v>
      </c>
      <c r="K104" s="533"/>
      <c r="L104" s="49">
        <f t="shared" si="57"/>
        <v>0</v>
      </c>
      <c r="M104" s="533"/>
      <c r="N104" s="49">
        <f t="shared" si="58"/>
        <v>0</v>
      </c>
      <c r="O104" s="533"/>
      <c r="P104" s="49">
        <f t="shared" si="59"/>
        <v>0</v>
      </c>
      <c r="Q104" s="533"/>
      <c r="R104" s="49">
        <f t="shared" si="60"/>
        <v>0</v>
      </c>
      <c r="S104" s="533"/>
      <c r="T104" s="49">
        <f t="shared" si="61"/>
        <v>0</v>
      </c>
      <c r="U104" s="533"/>
      <c r="V104" s="49">
        <f t="shared" si="62"/>
        <v>0</v>
      </c>
      <c r="W104" s="533"/>
      <c r="X104" s="49">
        <f t="shared" si="63"/>
        <v>0</v>
      </c>
      <c r="Y104" s="533"/>
      <c r="Z104" s="49">
        <f t="shared" si="64"/>
        <v>0</v>
      </c>
      <c r="AA104" s="465">
        <f t="shared" si="65"/>
        <v>936.52445369406871</v>
      </c>
      <c r="AB104" s="214">
        <f t="shared" si="68"/>
        <v>5.7603851245038808E-4</v>
      </c>
      <c r="AC104" s="464">
        <f t="shared" si="51"/>
        <v>78.043704474505731</v>
      </c>
      <c r="AD104" s="214">
        <f t="shared" si="69"/>
        <v>5.7603851245038808E-4</v>
      </c>
      <c r="AE104" s="75"/>
      <c r="AF104" s="169"/>
      <c r="AG104" s="75"/>
      <c r="AH104" s="53">
        <f>AA104-AI104</f>
        <v>0</v>
      </c>
      <c r="AI104" s="53">
        <f t="shared" si="48"/>
        <v>936.52445369406871</v>
      </c>
      <c r="AJ104" s="53">
        <f t="shared" si="52"/>
        <v>0</v>
      </c>
      <c r="AK104" s="53"/>
      <c r="AQ104" s="53">
        <f t="shared" si="49"/>
        <v>0</v>
      </c>
    </row>
    <row r="105" spans="1:43">
      <c r="A105" s="2">
        <v>6312</v>
      </c>
      <c r="B105" s="2" t="s">
        <v>134</v>
      </c>
      <c r="C105" s="533"/>
      <c r="D105" s="49">
        <f t="shared" si="53"/>
        <v>0</v>
      </c>
      <c r="E105" s="533"/>
      <c r="F105" s="49">
        <f t="shared" si="54"/>
        <v>0</v>
      </c>
      <c r="G105" s="533"/>
      <c r="H105" s="49">
        <f t="shared" si="55"/>
        <v>0</v>
      </c>
      <c r="I105" s="533"/>
      <c r="J105" s="49">
        <f t="shared" si="56"/>
        <v>0</v>
      </c>
      <c r="K105" s="533"/>
      <c r="L105" s="49">
        <f t="shared" si="57"/>
        <v>0</v>
      </c>
      <c r="M105" s="533"/>
      <c r="N105" s="49">
        <f t="shared" si="58"/>
        <v>0</v>
      </c>
      <c r="O105" s="533"/>
      <c r="P105" s="49">
        <f t="shared" si="59"/>
        <v>0</v>
      </c>
      <c r="Q105" s="533"/>
      <c r="R105" s="49">
        <f t="shared" si="60"/>
        <v>0</v>
      </c>
      <c r="S105" s="533"/>
      <c r="T105" s="49">
        <f t="shared" si="61"/>
        <v>0</v>
      </c>
      <c r="U105" s="533"/>
      <c r="V105" s="49">
        <f t="shared" si="62"/>
        <v>0</v>
      </c>
      <c r="W105" s="533"/>
      <c r="X105" s="49">
        <f t="shared" si="63"/>
        <v>0</v>
      </c>
      <c r="Y105" s="533"/>
      <c r="Z105" s="49">
        <f t="shared" si="64"/>
        <v>0</v>
      </c>
      <c r="AA105" s="465">
        <f t="shared" si="65"/>
        <v>0</v>
      </c>
      <c r="AB105" s="214">
        <f t="shared" si="68"/>
        <v>0</v>
      </c>
      <c r="AC105" s="464">
        <f t="shared" si="51"/>
        <v>0</v>
      </c>
      <c r="AD105" s="214">
        <f t="shared" si="69"/>
        <v>0</v>
      </c>
      <c r="AE105" s="75"/>
      <c r="AF105" s="169"/>
      <c r="AG105" s="75"/>
      <c r="AH105" s="53">
        <f>AA105-AI105</f>
        <v>0</v>
      </c>
      <c r="AI105" s="53">
        <f t="shared" si="48"/>
        <v>0</v>
      </c>
      <c r="AJ105" s="53">
        <f t="shared" si="52"/>
        <v>0</v>
      </c>
      <c r="AK105" s="53"/>
      <c r="AQ105" s="53">
        <f t="shared" si="49"/>
        <v>0</v>
      </c>
    </row>
    <row r="106" spans="1:43">
      <c r="A106" s="2">
        <v>6313</v>
      </c>
      <c r="B106" s="2" t="s">
        <v>135</v>
      </c>
      <c r="C106" s="533"/>
      <c r="D106" s="49">
        <f t="shared" si="53"/>
        <v>0</v>
      </c>
      <c r="E106" s="533">
        <v>236.49607416516889</v>
      </c>
      <c r="F106" s="49">
        <f t="shared" si="54"/>
        <v>2.485945039848606E-3</v>
      </c>
      <c r="G106" s="533"/>
      <c r="H106" s="49">
        <f t="shared" si="55"/>
        <v>0</v>
      </c>
      <c r="I106" s="533"/>
      <c r="J106" s="49">
        <f t="shared" si="56"/>
        <v>0</v>
      </c>
      <c r="K106" s="533">
        <v>236.49607416516889</v>
      </c>
      <c r="L106" s="49">
        <f t="shared" si="57"/>
        <v>1.8557240379139983E-3</v>
      </c>
      <c r="M106" s="533"/>
      <c r="N106" s="49">
        <f t="shared" si="58"/>
        <v>0</v>
      </c>
      <c r="O106" s="533"/>
      <c r="P106" s="49">
        <f t="shared" si="59"/>
        <v>0</v>
      </c>
      <c r="Q106" s="533">
        <v>236.49607416516889</v>
      </c>
      <c r="R106" s="49">
        <f t="shared" si="60"/>
        <v>1.6646829718066298E-3</v>
      </c>
      <c r="S106" s="533"/>
      <c r="T106" s="49">
        <f t="shared" si="61"/>
        <v>0</v>
      </c>
      <c r="U106" s="533"/>
      <c r="V106" s="49">
        <f t="shared" si="62"/>
        <v>0</v>
      </c>
      <c r="W106" s="533"/>
      <c r="X106" s="49">
        <f t="shared" si="63"/>
        <v>0</v>
      </c>
      <c r="Y106" s="533">
        <v>236.49607416516889</v>
      </c>
      <c r="Z106" s="49">
        <f t="shared" si="64"/>
        <v>1.3554236312834846E-3</v>
      </c>
      <c r="AA106" s="465">
        <f t="shared" si="65"/>
        <v>945.98429666067557</v>
      </c>
      <c r="AB106" s="214">
        <f t="shared" si="68"/>
        <v>5.8185708328322035E-4</v>
      </c>
      <c r="AC106" s="464">
        <f t="shared" si="51"/>
        <v>78.832024721722959</v>
      </c>
      <c r="AD106" s="214">
        <f t="shared" si="69"/>
        <v>5.8185708328322024E-4</v>
      </c>
      <c r="AE106" s="75"/>
      <c r="AF106" s="169"/>
      <c r="AG106" s="75"/>
      <c r="AH106" s="53"/>
      <c r="AI106" s="53"/>
      <c r="AJ106" s="53"/>
      <c r="AK106" s="53"/>
      <c r="AQ106" s="53">
        <f t="shared" si="49"/>
        <v>2272.727272727273</v>
      </c>
    </row>
    <row r="107" spans="1:43">
      <c r="A107" s="2">
        <v>6314</v>
      </c>
      <c r="B107" s="2" t="s">
        <v>247</v>
      </c>
      <c r="C107" s="533"/>
      <c r="D107" s="49">
        <f t="shared" si="53"/>
        <v>0</v>
      </c>
      <c r="E107" s="533"/>
      <c r="F107" s="49">
        <f t="shared" si="54"/>
        <v>0</v>
      </c>
      <c r="G107" s="533"/>
      <c r="H107" s="49">
        <f t="shared" si="55"/>
        <v>0</v>
      </c>
      <c r="I107" s="533"/>
      <c r="J107" s="49">
        <f t="shared" si="56"/>
        <v>0</v>
      </c>
      <c r="K107" s="533"/>
      <c r="L107" s="49">
        <f t="shared" si="57"/>
        <v>0</v>
      </c>
      <c r="M107" s="533"/>
      <c r="N107" s="49">
        <f t="shared" si="58"/>
        <v>0</v>
      </c>
      <c r="O107" s="533"/>
      <c r="P107" s="49">
        <f t="shared" si="59"/>
        <v>0</v>
      </c>
      <c r="Q107" s="533"/>
      <c r="R107" s="49">
        <f t="shared" si="60"/>
        <v>0</v>
      </c>
      <c r="S107" s="533"/>
      <c r="T107" s="49">
        <f t="shared" si="61"/>
        <v>0</v>
      </c>
      <c r="U107" s="533"/>
      <c r="V107" s="49">
        <f t="shared" si="62"/>
        <v>0</v>
      </c>
      <c r="W107" s="533"/>
      <c r="X107" s="49">
        <f t="shared" si="63"/>
        <v>0</v>
      </c>
      <c r="Y107" s="533"/>
      <c r="Z107" s="49">
        <f t="shared" si="64"/>
        <v>0</v>
      </c>
      <c r="AA107" s="465">
        <f t="shared" si="65"/>
        <v>0</v>
      </c>
      <c r="AB107" s="214">
        <f t="shared" si="68"/>
        <v>0</v>
      </c>
      <c r="AC107" s="464">
        <f t="shared" si="51"/>
        <v>0</v>
      </c>
      <c r="AD107" s="214">
        <f t="shared" si="69"/>
        <v>0</v>
      </c>
      <c r="AE107" s="75"/>
      <c r="AF107" s="169"/>
      <c r="AG107" s="75"/>
      <c r="AH107" s="53">
        <f>AA107-AI107</f>
        <v>0</v>
      </c>
      <c r="AI107" s="53">
        <f t="shared" si="48"/>
        <v>0</v>
      </c>
      <c r="AJ107" s="53">
        <f t="shared" si="52"/>
        <v>0</v>
      </c>
      <c r="AK107" s="53"/>
      <c r="AQ107" s="53">
        <f t="shared" si="49"/>
        <v>0</v>
      </c>
    </row>
    <row r="108" spans="1:43" s="408" customFormat="1">
      <c r="A108" s="2">
        <v>6315</v>
      </c>
      <c r="B108" s="2" t="s">
        <v>325</v>
      </c>
      <c r="C108" s="533"/>
      <c r="D108" s="49">
        <f t="shared" si="53"/>
        <v>0</v>
      </c>
      <c r="E108" s="533">
        <v>223.85431841831425</v>
      </c>
      <c r="F108" s="49">
        <f t="shared" si="54"/>
        <v>2.3530603393105221E-3</v>
      </c>
      <c r="G108" s="533">
        <v>362.22580645161293</v>
      </c>
      <c r="H108" s="49">
        <f t="shared" si="55"/>
        <v>2.2954023099610804E-3</v>
      </c>
      <c r="I108" s="533">
        <v>223.85431841831425</v>
      </c>
      <c r="J108" s="49">
        <f t="shared" si="56"/>
        <v>1.6065232672297105E-3</v>
      </c>
      <c r="K108" s="533">
        <v>210.11966701352759</v>
      </c>
      <c r="L108" s="49">
        <f t="shared" si="57"/>
        <v>1.6487551359654501E-3</v>
      </c>
      <c r="M108" s="533"/>
      <c r="N108" s="49">
        <f t="shared" si="58"/>
        <v>0</v>
      </c>
      <c r="O108" s="533">
        <v>171.68314255983353</v>
      </c>
      <c r="P108" s="49">
        <f t="shared" si="59"/>
        <v>1.5006022406170456E-3</v>
      </c>
      <c r="Q108" s="533">
        <v>210.11966701352759</v>
      </c>
      <c r="R108" s="49">
        <f t="shared" si="60"/>
        <v>1.4790208799610363E-3</v>
      </c>
      <c r="S108" s="533"/>
      <c r="T108" s="49">
        <f t="shared" si="61"/>
        <v>0</v>
      </c>
      <c r="U108" s="533">
        <v>171.68314255983353</v>
      </c>
      <c r="V108" s="49">
        <f t="shared" si="62"/>
        <v>1.5123627183302286E-3</v>
      </c>
      <c r="W108" s="533"/>
      <c r="X108" s="49">
        <f t="shared" si="63"/>
        <v>0</v>
      </c>
      <c r="Y108" s="533">
        <v>210.11966701352759</v>
      </c>
      <c r="Z108" s="49">
        <f t="shared" si="64"/>
        <v>1.2042532336864376E-3</v>
      </c>
      <c r="AA108" s="465">
        <f t="shared" si="65"/>
        <v>1783.6597294484911</v>
      </c>
      <c r="AB108" s="214">
        <f t="shared" si="68"/>
        <v>1.0970954289729697E-3</v>
      </c>
      <c r="AC108" s="464">
        <f t="shared" si="51"/>
        <v>148.63831078737425</v>
      </c>
      <c r="AD108" s="214">
        <f t="shared" si="69"/>
        <v>1.0970954289729697E-3</v>
      </c>
      <c r="AE108" s="75"/>
      <c r="AF108" s="169"/>
      <c r="AG108" s="75"/>
      <c r="AH108" s="53"/>
      <c r="AI108" s="53"/>
      <c r="AJ108" s="53"/>
      <c r="AK108" s="53"/>
      <c r="AQ108" s="53"/>
    </row>
    <row r="109" spans="1:43" s="408" customFormat="1">
      <c r="A109" s="2">
        <v>6316</v>
      </c>
      <c r="B109" s="2" t="s">
        <v>326</v>
      </c>
      <c r="C109" s="533"/>
      <c r="D109" s="49">
        <f t="shared" si="53"/>
        <v>0</v>
      </c>
      <c r="E109" s="533">
        <v>358.74089490114466</v>
      </c>
      <c r="F109" s="49">
        <f t="shared" si="54"/>
        <v>3.7709300309463497E-3</v>
      </c>
      <c r="G109" s="533"/>
      <c r="H109" s="49">
        <f t="shared" si="55"/>
        <v>0</v>
      </c>
      <c r="I109" s="533"/>
      <c r="J109" s="49">
        <f t="shared" si="56"/>
        <v>0</v>
      </c>
      <c r="K109" s="533">
        <v>333.11654526534863</v>
      </c>
      <c r="L109" s="49">
        <f t="shared" si="57"/>
        <v>2.6138800936037622E-3</v>
      </c>
      <c r="M109" s="533">
        <v>97.372528616024979</v>
      </c>
      <c r="N109" s="49">
        <f t="shared" si="58"/>
        <v>5.3883266458930735E-4</v>
      </c>
      <c r="O109" s="533"/>
      <c r="P109" s="49">
        <f t="shared" si="59"/>
        <v>0</v>
      </c>
      <c r="Q109" s="533">
        <v>333.11654526534863</v>
      </c>
      <c r="R109" s="49">
        <f t="shared" si="60"/>
        <v>2.3447891999382282E-3</v>
      </c>
      <c r="S109" s="533">
        <v>97.372528616024979</v>
      </c>
      <c r="T109" s="49">
        <f t="shared" si="61"/>
        <v>6.8037921412417732E-4</v>
      </c>
      <c r="U109" s="533">
        <v>102.49739854318419</v>
      </c>
      <c r="V109" s="49">
        <f t="shared" si="62"/>
        <v>9.0290311542103193E-4</v>
      </c>
      <c r="W109" s="533"/>
      <c r="X109" s="49">
        <f t="shared" si="63"/>
        <v>0</v>
      </c>
      <c r="Y109" s="533"/>
      <c r="Z109" s="49">
        <f t="shared" si="64"/>
        <v>0</v>
      </c>
      <c r="AA109" s="465">
        <f t="shared" si="65"/>
        <v>1322.2164412070758</v>
      </c>
      <c r="AB109" s="214">
        <f t="shared" si="68"/>
        <v>8.1327037316120609E-4</v>
      </c>
      <c r="AC109" s="464">
        <f t="shared" si="51"/>
        <v>110.18470343392299</v>
      </c>
      <c r="AD109" s="214">
        <f t="shared" si="69"/>
        <v>8.1327037316120609E-4</v>
      </c>
      <c r="AE109" s="75"/>
      <c r="AF109" s="169"/>
      <c r="AG109" s="75"/>
      <c r="AH109" s="53"/>
      <c r="AI109" s="53"/>
      <c r="AJ109" s="53"/>
      <c r="AK109" s="53"/>
      <c r="AQ109" s="53"/>
    </row>
    <row r="110" spans="1:43" s="408" customFormat="1">
      <c r="A110" s="2">
        <v>6317</v>
      </c>
      <c r="B110" s="2" t="s">
        <v>327</v>
      </c>
      <c r="C110" s="533"/>
      <c r="D110" s="49">
        <f t="shared" si="53"/>
        <v>0</v>
      </c>
      <c r="E110" s="533">
        <v>312.61706555671179</v>
      </c>
      <c r="F110" s="49">
        <f t="shared" si="54"/>
        <v>3.2860961698246765E-3</v>
      </c>
      <c r="G110" s="533">
        <v>1704.5829864724246</v>
      </c>
      <c r="H110" s="49">
        <f t="shared" si="55"/>
        <v>1.0801835912792232E-2</v>
      </c>
      <c r="I110" s="533"/>
      <c r="J110" s="49">
        <f t="shared" si="56"/>
        <v>0</v>
      </c>
      <c r="K110" s="533">
        <v>347.20993756503645</v>
      </c>
      <c r="L110" s="49">
        <f t="shared" si="57"/>
        <v>2.7244673283331523E-3</v>
      </c>
      <c r="M110" s="533"/>
      <c r="N110" s="49">
        <f t="shared" si="58"/>
        <v>0</v>
      </c>
      <c r="O110" s="533"/>
      <c r="P110" s="49">
        <f t="shared" si="59"/>
        <v>0</v>
      </c>
      <c r="Q110" s="533">
        <v>1022.5652965660771</v>
      </c>
      <c r="R110" s="49">
        <f t="shared" si="60"/>
        <v>7.19778137021038E-3</v>
      </c>
      <c r="S110" s="533"/>
      <c r="T110" s="49">
        <f t="shared" si="61"/>
        <v>0</v>
      </c>
      <c r="U110" s="533">
        <v>312.61706555671179</v>
      </c>
      <c r="V110" s="49">
        <f t="shared" si="62"/>
        <v>2.7538545020341474E-3</v>
      </c>
      <c r="W110" s="533"/>
      <c r="X110" s="49">
        <f t="shared" si="63"/>
        <v>0</v>
      </c>
      <c r="Y110" s="533"/>
      <c r="Z110" s="49">
        <f t="shared" si="64"/>
        <v>0</v>
      </c>
      <c r="AA110" s="465">
        <f t="shared" si="65"/>
        <v>3699.5923517169617</v>
      </c>
      <c r="AB110" s="214">
        <f t="shared" si="68"/>
        <v>2.2755494173695473E-3</v>
      </c>
      <c r="AC110" s="464">
        <f t="shared" si="51"/>
        <v>308.29936264308014</v>
      </c>
      <c r="AD110" s="214">
        <f t="shared" si="69"/>
        <v>2.2755494173695473E-3</v>
      </c>
      <c r="AE110" s="75"/>
      <c r="AF110" s="169"/>
      <c r="AG110" s="75"/>
      <c r="AH110" s="53"/>
      <c r="AI110" s="53"/>
      <c r="AJ110" s="53"/>
      <c r="AK110" s="53"/>
      <c r="AQ110" s="53"/>
    </row>
    <row r="111" spans="1:43" s="408" customFormat="1">
      <c r="A111" s="2">
        <v>6318</v>
      </c>
      <c r="B111" s="2" t="s">
        <v>328</v>
      </c>
      <c r="C111" s="533"/>
      <c r="D111" s="49">
        <f t="shared" si="53"/>
        <v>0</v>
      </c>
      <c r="E111" s="533"/>
      <c r="F111" s="49">
        <f t="shared" si="54"/>
        <v>0</v>
      </c>
      <c r="G111" s="533"/>
      <c r="H111" s="49">
        <f t="shared" si="55"/>
        <v>0</v>
      </c>
      <c r="I111" s="533"/>
      <c r="J111" s="49">
        <f t="shared" si="56"/>
        <v>0</v>
      </c>
      <c r="K111" s="533"/>
      <c r="L111" s="49">
        <f t="shared" si="57"/>
        <v>0</v>
      </c>
      <c r="M111" s="533"/>
      <c r="N111" s="49">
        <f t="shared" si="58"/>
        <v>0</v>
      </c>
      <c r="O111" s="533"/>
      <c r="P111" s="49">
        <f t="shared" si="59"/>
        <v>0</v>
      </c>
      <c r="Q111" s="533"/>
      <c r="R111" s="49">
        <f t="shared" si="60"/>
        <v>0</v>
      </c>
      <c r="S111" s="533"/>
      <c r="T111" s="49">
        <f t="shared" si="61"/>
        <v>0</v>
      </c>
      <c r="U111" s="533"/>
      <c r="V111" s="49">
        <f t="shared" si="62"/>
        <v>0</v>
      </c>
      <c r="W111" s="533"/>
      <c r="X111" s="49">
        <f t="shared" si="63"/>
        <v>0</v>
      </c>
      <c r="Y111" s="533"/>
      <c r="Z111" s="49">
        <f t="shared" si="64"/>
        <v>0</v>
      </c>
      <c r="AA111" s="465">
        <f t="shared" si="65"/>
        <v>0</v>
      </c>
      <c r="AB111" s="214">
        <f t="shared" si="68"/>
        <v>0</v>
      </c>
      <c r="AC111" s="464">
        <f t="shared" si="51"/>
        <v>0</v>
      </c>
      <c r="AD111" s="214">
        <f t="shared" si="69"/>
        <v>0</v>
      </c>
      <c r="AE111" s="75"/>
      <c r="AF111" s="169"/>
      <c r="AG111" s="75"/>
      <c r="AH111" s="53"/>
      <c r="AI111" s="53"/>
      <c r="AJ111" s="53"/>
      <c r="AK111" s="53"/>
      <c r="AQ111" s="53"/>
    </row>
    <row r="112" spans="1:43" s="408" customFormat="1">
      <c r="A112" s="2">
        <v>6319</v>
      </c>
      <c r="B112" s="2" t="s">
        <v>329</v>
      </c>
      <c r="C112" s="533"/>
      <c r="D112" s="49">
        <f t="shared" si="53"/>
        <v>0</v>
      </c>
      <c r="E112" s="533">
        <v>2568</v>
      </c>
      <c r="F112" s="49">
        <f t="shared" si="54"/>
        <v>2.6993711776681327E-2</v>
      </c>
      <c r="G112" s="533">
        <v>2568</v>
      </c>
      <c r="H112" s="49">
        <f t="shared" si="55"/>
        <v>1.6273255596347107E-2</v>
      </c>
      <c r="I112" s="533">
        <v>2568</v>
      </c>
      <c r="J112" s="49">
        <f t="shared" si="56"/>
        <v>1.842962771232548E-2</v>
      </c>
      <c r="K112" s="533">
        <v>2568</v>
      </c>
      <c r="L112" s="49">
        <f t="shared" si="57"/>
        <v>2.0150437364279131E-2</v>
      </c>
      <c r="M112" s="533"/>
      <c r="N112" s="49">
        <f t="shared" si="58"/>
        <v>0</v>
      </c>
      <c r="O112" s="533">
        <v>2568</v>
      </c>
      <c r="P112" s="49">
        <f t="shared" si="59"/>
        <v>2.2445689754086184E-2</v>
      </c>
      <c r="Q112" s="533">
        <v>2568</v>
      </c>
      <c r="R112" s="49">
        <f t="shared" si="60"/>
        <v>1.8076011987471007E-2</v>
      </c>
      <c r="S112" s="533">
        <v>2568</v>
      </c>
      <c r="T112" s="49">
        <f t="shared" si="61"/>
        <v>1.7943601205641709E-2</v>
      </c>
      <c r="U112" s="533">
        <v>2568</v>
      </c>
      <c r="V112" s="49">
        <f t="shared" si="62"/>
        <v>2.2621600483102158E-2</v>
      </c>
      <c r="W112" s="533">
        <v>2568</v>
      </c>
      <c r="X112" s="49">
        <f t="shared" si="63"/>
        <v>2.2233808854080137E-2</v>
      </c>
      <c r="Y112" s="533">
        <v>2568</v>
      </c>
      <c r="Z112" s="49">
        <f t="shared" si="64"/>
        <v>1.4717909789509011E-2</v>
      </c>
      <c r="AA112" s="465">
        <f t="shared" si="65"/>
        <v>25680</v>
      </c>
      <c r="AB112" s="214">
        <f t="shared" si="68"/>
        <v>1.5795283231929615E-2</v>
      </c>
      <c r="AC112" s="464">
        <f t="shared" si="51"/>
        <v>2140</v>
      </c>
      <c r="AD112" s="214">
        <f t="shared" si="69"/>
        <v>1.5795283231929615E-2</v>
      </c>
      <c r="AE112" s="75"/>
      <c r="AF112" s="169"/>
      <c r="AG112" s="75"/>
      <c r="AH112" s="53"/>
      <c r="AI112" s="53"/>
      <c r="AJ112" s="53"/>
      <c r="AK112" s="53"/>
      <c r="AQ112" s="53"/>
    </row>
    <row r="113" spans="1:43" s="408" customFormat="1">
      <c r="A113" s="2">
        <v>6320</v>
      </c>
      <c r="B113" s="2" t="s">
        <v>330</v>
      </c>
      <c r="C113" s="533"/>
      <c r="D113" s="49">
        <f t="shared" si="53"/>
        <v>0</v>
      </c>
      <c r="E113" s="533"/>
      <c r="F113" s="49">
        <f t="shared" si="54"/>
        <v>0</v>
      </c>
      <c r="G113" s="533"/>
      <c r="H113" s="49">
        <f t="shared" si="55"/>
        <v>0</v>
      </c>
      <c r="I113" s="533"/>
      <c r="J113" s="49">
        <f t="shared" si="56"/>
        <v>0</v>
      </c>
      <c r="K113" s="533"/>
      <c r="L113" s="49">
        <f t="shared" si="57"/>
        <v>0</v>
      </c>
      <c r="M113" s="533"/>
      <c r="N113" s="49">
        <f t="shared" si="58"/>
        <v>0</v>
      </c>
      <c r="O113" s="533"/>
      <c r="P113" s="49">
        <f t="shared" si="59"/>
        <v>0</v>
      </c>
      <c r="Q113" s="533"/>
      <c r="R113" s="49">
        <f t="shared" si="60"/>
        <v>0</v>
      </c>
      <c r="S113" s="533"/>
      <c r="T113" s="49">
        <f t="shared" si="61"/>
        <v>0</v>
      </c>
      <c r="U113" s="533"/>
      <c r="V113" s="49">
        <f t="shared" si="62"/>
        <v>0</v>
      </c>
      <c r="W113" s="533"/>
      <c r="X113" s="49">
        <f t="shared" si="63"/>
        <v>0</v>
      </c>
      <c r="Y113" s="533"/>
      <c r="Z113" s="49">
        <f t="shared" si="64"/>
        <v>0</v>
      </c>
      <c r="AA113" s="465">
        <f t="shared" si="65"/>
        <v>0</v>
      </c>
      <c r="AB113" s="214">
        <f t="shared" si="68"/>
        <v>0</v>
      </c>
      <c r="AC113" s="464">
        <f t="shared" si="51"/>
        <v>0</v>
      </c>
      <c r="AD113" s="214">
        <f t="shared" si="69"/>
        <v>0</v>
      </c>
      <c r="AE113" s="75"/>
      <c r="AF113" s="169"/>
      <c r="AG113" s="75"/>
      <c r="AH113" s="53"/>
      <c r="AI113" s="53"/>
      <c r="AJ113" s="53"/>
      <c r="AK113" s="53"/>
      <c r="AQ113" s="53"/>
    </row>
    <row r="114" spans="1:43" s="408" customFormat="1">
      <c r="A114" s="2">
        <v>6321</v>
      </c>
      <c r="B114" s="2" t="s">
        <v>331</v>
      </c>
      <c r="C114" s="534"/>
      <c r="D114" s="538">
        <f t="shared" si="53"/>
        <v>0</v>
      </c>
      <c r="E114" s="534"/>
      <c r="F114" s="538">
        <f t="shared" si="54"/>
        <v>0</v>
      </c>
      <c r="G114" s="534"/>
      <c r="H114" s="538">
        <f t="shared" si="55"/>
        <v>0</v>
      </c>
      <c r="I114" s="534"/>
      <c r="J114" s="538">
        <f t="shared" si="56"/>
        <v>0</v>
      </c>
      <c r="K114" s="534"/>
      <c r="L114" s="538">
        <f t="shared" si="57"/>
        <v>0</v>
      </c>
      <c r="M114" s="534"/>
      <c r="N114" s="538">
        <f t="shared" si="58"/>
        <v>0</v>
      </c>
      <c r="O114" s="534"/>
      <c r="P114" s="538">
        <f t="shared" si="59"/>
        <v>0</v>
      </c>
      <c r="Q114" s="534"/>
      <c r="R114" s="538">
        <f t="shared" si="60"/>
        <v>0</v>
      </c>
      <c r="S114" s="534"/>
      <c r="T114" s="538">
        <f t="shared" si="61"/>
        <v>0</v>
      </c>
      <c r="U114" s="534"/>
      <c r="V114" s="538">
        <f t="shared" si="62"/>
        <v>0</v>
      </c>
      <c r="W114" s="534"/>
      <c r="X114" s="538">
        <f t="shared" si="63"/>
        <v>0</v>
      </c>
      <c r="Y114" s="534"/>
      <c r="Z114" s="49">
        <f t="shared" si="64"/>
        <v>0</v>
      </c>
      <c r="AA114" s="465">
        <f t="shared" si="65"/>
        <v>0</v>
      </c>
      <c r="AB114" s="214">
        <f t="shared" si="68"/>
        <v>0</v>
      </c>
      <c r="AC114" s="464">
        <f t="shared" si="51"/>
        <v>0</v>
      </c>
      <c r="AD114" s="214">
        <f t="shared" si="69"/>
        <v>0</v>
      </c>
      <c r="AE114" s="75"/>
      <c r="AF114" s="169"/>
      <c r="AG114" s="75"/>
      <c r="AH114" s="53"/>
      <c r="AI114" s="53"/>
      <c r="AJ114" s="53"/>
      <c r="AK114" s="53"/>
      <c r="AQ114" s="53"/>
    </row>
    <row r="115" spans="1:43" ht="15.75" thickBot="1">
      <c r="A115" s="4">
        <v>6399</v>
      </c>
      <c r="B115" s="113" t="s">
        <v>101</v>
      </c>
      <c r="C115" s="466">
        <f>SUM(C94:C114)</f>
        <v>3187.3261844402082</v>
      </c>
      <c r="D115" s="467">
        <f>C115/C12</f>
        <v>2.6066014478693875E-2</v>
      </c>
      <c r="E115" s="466">
        <f>SUM(E94:E114)</f>
        <v>5998.4711507827651</v>
      </c>
      <c r="F115" s="467">
        <f>E115/E12</f>
        <v>6.3053349433398714E-2</v>
      </c>
      <c r="G115" s="466">
        <f>SUM(G94:G114)</f>
        <v>6748.6620479199273</v>
      </c>
      <c r="H115" s="467">
        <f>G115/G12</f>
        <v>4.2765849859489211E-2</v>
      </c>
      <c r="I115" s="466">
        <f>SUM(I94:I114)</f>
        <v>5146.9136307097515</v>
      </c>
      <c r="J115" s="467">
        <f>I115/I12</f>
        <v>3.6937578692162847E-2</v>
      </c>
      <c r="K115" s="466">
        <f>SUM(K94:K114)</f>
        <v>6016.8028652043213</v>
      </c>
      <c r="L115" s="467">
        <f>K115/K12</f>
        <v>4.7212308905184922E-2</v>
      </c>
      <c r="M115" s="466">
        <f>SUM(M94:M114)</f>
        <v>2095.5342997983344</v>
      </c>
      <c r="N115" s="467">
        <f>M115/M12</f>
        <v>1.1596107716902788E-2</v>
      </c>
      <c r="O115" s="466">
        <f>SUM(O94:O114)</f>
        <v>4867.358665428992</v>
      </c>
      <c r="P115" s="467">
        <f>O115/O12</f>
        <v>4.2543310952524199E-2</v>
      </c>
      <c r="Q115" s="466">
        <f>SUM(Q94:Q114)</f>
        <v>6500.0358972682216</v>
      </c>
      <c r="R115" s="467">
        <f>Q115/Q12</f>
        <v>4.5753398285830311E-2</v>
      </c>
      <c r="S115" s="466">
        <f>SUM(S94:S114)</f>
        <v>5007.6196117628597</v>
      </c>
      <c r="T115" s="467">
        <f>S115/S12</f>
        <v>3.4990159385912427E-2</v>
      </c>
      <c r="U115" s="466">
        <f>SUM(U94:U114)</f>
        <v>5502.0948981966258</v>
      </c>
      <c r="V115" s="467">
        <f>U115/U12</f>
        <v>4.846814353859763E-2</v>
      </c>
      <c r="W115" s="466">
        <f>SUM(W94:W114)</f>
        <v>4706.6058468315805</v>
      </c>
      <c r="X115" s="467">
        <f>W115/W12</f>
        <v>4.0749912285805816E-2</v>
      </c>
      <c r="Y115" s="466">
        <f>SUM(Y94:Y114)</f>
        <v>5211.1157772674078</v>
      </c>
      <c r="Z115" s="467">
        <f>Y115/Y12</f>
        <v>2.9866328626366373E-2</v>
      </c>
      <c r="AA115" s="466">
        <f>SUM(AA94:AA114)</f>
        <v>60988.54087561099</v>
      </c>
      <c r="AB115" s="467">
        <f>AA115/AA12</f>
        <v>3.7512900195965426E-2</v>
      </c>
      <c r="AC115" s="468">
        <f t="shared" si="51"/>
        <v>5082.3784063009161</v>
      </c>
      <c r="AD115" s="467">
        <f>AC115/AC12</f>
        <v>3.7512900195965426E-2</v>
      </c>
      <c r="AE115" s="75"/>
      <c r="AF115" s="169"/>
      <c r="AG115" s="75"/>
      <c r="AH115" s="53">
        <f>AA115-AI115</f>
        <v>0</v>
      </c>
      <c r="AI115" s="53">
        <f t="shared" si="48"/>
        <v>60988.540875610997</v>
      </c>
      <c r="AJ115" s="53">
        <f t="shared" si="52"/>
        <v>486945.7892796474</v>
      </c>
      <c r="AK115" s="53"/>
      <c r="AQ115" s="53">
        <f t="shared" si="49"/>
        <v>62465.344972747604</v>
      </c>
    </row>
    <row r="116" spans="1:43" ht="15.75" thickTop="1">
      <c r="A116" s="16">
        <v>6401</v>
      </c>
      <c r="B116" s="111" t="s">
        <v>89</v>
      </c>
      <c r="C116" s="61"/>
      <c r="D116" s="49">
        <f>C116/C12</f>
        <v>0</v>
      </c>
      <c r="E116" s="61"/>
      <c r="F116" s="49">
        <f>E116/E12</f>
        <v>0</v>
      </c>
      <c r="G116" s="61"/>
      <c r="H116" s="49">
        <f>G116/G12</f>
        <v>0</v>
      </c>
      <c r="I116" s="61"/>
      <c r="J116" s="49">
        <f>I116/I12</f>
        <v>0</v>
      </c>
      <c r="K116" s="61"/>
      <c r="L116" s="49">
        <f>K116/K12</f>
        <v>0</v>
      </c>
      <c r="M116" s="61"/>
      <c r="N116" s="49">
        <f>M116/M12</f>
        <v>0</v>
      </c>
      <c r="O116" s="61"/>
      <c r="P116" s="49">
        <f>O116/O12</f>
        <v>0</v>
      </c>
      <c r="Q116" s="61"/>
      <c r="R116" s="49">
        <f>Q116/Q12</f>
        <v>0</v>
      </c>
      <c r="S116" s="61"/>
      <c r="T116" s="49">
        <f>S116/S12</f>
        <v>0</v>
      </c>
      <c r="U116" s="61"/>
      <c r="V116" s="49">
        <f>U116/U12</f>
        <v>0</v>
      </c>
      <c r="W116" s="61"/>
      <c r="X116" s="49">
        <f>W116/W12</f>
        <v>0</v>
      </c>
      <c r="Y116" s="61"/>
      <c r="Z116" s="179">
        <f>Y116/Y12</f>
        <v>0</v>
      </c>
      <c r="AA116" s="286">
        <f t="shared" ref="AA116:AA128" si="70">C116+E116+G116+I116+K116+M116+O116+Q116+S116+U116+W116+Y116</f>
        <v>0</v>
      </c>
      <c r="AB116" s="214">
        <f>AA116/AA12</f>
        <v>0</v>
      </c>
      <c r="AC116" s="205">
        <f t="shared" si="51"/>
        <v>0</v>
      </c>
      <c r="AD116" s="214">
        <f>AC116/AC12</f>
        <v>0</v>
      </c>
      <c r="AE116" s="75"/>
      <c r="AF116" s="169"/>
      <c r="AG116" s="75"/>
      <c r="AH116" s="53">
        <f>AA116-AI116</f>
        <v>0</v>
      </c>
      <c r="AI116" s="53">
        <f t="shared" si="48"/>
        <v>0</v>
      </c>
      <c r="AJ116" s="53">
        <f t="shared" si="52"/>
        <v>0</v>
      </c>
      <c r="AK116" s="53"/>
      <c r="AQ116" s="53">
        <f t="shared" si="49"/>
        <v>0</v>
      </c>
    </row>
    <row r="117" spans="1:43">
      <c r="A117" s="99">
        <v>6402</v>
      </c>
      <c r="B117" s="2" t="s">
        <v>75</v>
      </c>
      <c r="C117" s="23">
        <v>0</v>
      </c>
      <c r="D117" s="49">
        <f>C117/C12</f>
        <v>0</v>
      </c>
      <c r="E117" s="23">
        <v>0</v>
      </c>
      <c r="F117" s="49">
        <f>E117/E12</f>
        <v>0</v>
      </c>
      <c r="G117" s="23">
        <v>0</v>
      </c>
      <c r="H117" s="49">
        <f>G117/G12</f>
        <v>0</v>
      </c>
      <c r="I117" s="23">
        <v>0</v>
      </c>
      <c r="J117" s="49">
        <f>I117/I12</f>
        <v>0</v>
      </c>
      <c r="K117" s="23">
        <v>0</v>
      </c>
      <c r="L117" s="49">
        <f>K117/K12</f>
        <v>0</v>
      </c>
      <c r="M117" s="23">
        <v>0</v>
      </c>
      <c r="N117" s="49">
        <f>M117/M12</f>
        <v>0</v>
      </c>
      <c r="O117" s="23">
        <v>0</v>
      </c>
      <c r="P117" s="49">
        <f>O117/O12</f>
        <v>0</v>
      </c>
      <c r="Q117" s="23">
        <v>0</v>
      </c>
      <c r="R117" s="49">
        <f>Q117/Q12</f>
        <v>0</v>
      </c>
      <c r="S117" s="23">
        <v>0</v>
      </c>
      <c r="T117" s="49">
        <f>S117/S12</f>
        <v>0</v>
      </c>
      <c r="U117" s="23">
        <v>0</v>
      </c>
      <c r="V117" s="49">
        <f>U117/U12</f>
        <v>0</v>
      </c>
      <c r="W117" s="23">
        <v>0</v>
      </c>
      <c r="X117" s="49">
        <f>W117/W12</f>
        <v>0</v>
      </c>
      <c r="Y117" s="23">
        <v>0</v>
      </c>
      <c r="Z117" s="179">
        <f>Y117/Y12</f>
        <v>0</v>
      </c>
      <c r="AA117" s="286">
        <f t="shared" si="70"/>
        <v>0</v>
      </c>
      <c r="AB117" s="214">
        <f>AA117/AA12</f>
        <v>0</v>
      </c>
      <c r="AC117" s="207">
        <f t="shared" si="51"/>
        <v>0</v>
      </c>
      <c r="AD117" s="214">
        <f>AC117/AC12</f>
        <v>0</v>
      </c>
      <c r="AE117" s="170"/>
      <c r="AF117" s="238"/>
      <c r="AG117" s="75"/>
      <c r="AH117" s="53">
        <f>AA117-AI117</f>
        <v>0</v>
      </c>
      <c r="AI117" s="53">
        <f t="shared" si="48"/>
        <v>0</v>
      </c>
      <c r="AJ117" s="53">
        <f t="shared" si="52"/>
        <v>0</v>
      </c>
      <c r="AK117" s="53"/>
      <c r="AQ117" s="53">
        <f t="shared" si="49"/>
        <v>0</v>
      </c>
    </row>
    <row r="118" spans="1:43" s="408" customFormat="1">
      <c r="A118" s="99">
        <v>6403</v>
      </c>
      <c r="B118" s="2" t="s">
        <v>337</v>
      </c>
      <c r="C118" s="23">
        <v>0</v>
      </c>
      <c r="D118" s="49">
        <f>C118/C12</f>
        <v>0</v>
      </c>
      <c r="E118" s="23">
        <v>0</v>
      </c>
      <c r="F118" s="49">
        <f>E118/E12</f>
        <v>0</v>
      </c>
      <c r="G118" s="23">
        <v>0</v>
      </c>
      <c r="H118" s="49">
        <f>G118/G12</f>
        <v>0</v>
      </c>
      <c r="I118" s="23">
        <v>0</v>
      </c>
      <c r="J118" s="49">
        <f>I118/I12</f>
        <v>0</v>
      </c>
      <c r="K118" s="23">
        <v>0</v>
      </c>
      <c r="L118" s="49">
        <f>K118/K12</f>
        <v>0</v>
      </c>
      <c r="M118" s="23">
        <v>0</v>
      </c>
      <c r="N118" s="49">
        <f>M118/M12</f>
        <v>0</v>
      </c>
      <c r="O118" s="23">
        <v>0</v>
      </c>
      <c r="P118" s="49">
        <f>O118/O12</f>
        <v>0</v>
      </c>
      <c r="Q118" s="23">
        <v>0</v>
      </c>
      <c r="R118" s="49">
        <f>Q118/Q12</f>
        <v>0</v>
      </c>
      <c r="S118" s="23">
        <v>0</v>
      </c>
      <c r="T118" s="49">
        <f>S118/S12</f>
        <v>0</v>
      </c>
      <c r="U118" s="23">
        <v>0</v>
      </c>
      <c r="V118" s="49">
        <f>U118/U12</f>
        <v>0</v>
      </c>
      <c r="W118" s="23">
        <v>0</v>
      </c>
      <c r="X118" s="49">
        <f>W118/W12</f>
        <v>0</v>
      </c>
      <c r="Y118" s="23">
        <v>0</v>
      </c>
      <c r="Z118" s="49">
        <f>Y118/Y12</f>
        <v>0</v>
      </c>
      <c r="AA118" s="286">
        <f t="shared" si="70"/>
        <v>0</v>
      </c>
      <c r="AB118" s="49">
        <f>AA118/AA12</f>
        <v>0</v>
      </c>
      <c r="AC118" s="23">
        <v>0</v>
      </c>
      <c r="AD118" s="49">
        <f>AC118/AC12</f>
        <v>0</v>
      </c>
      <c r="AE118" s="170"/>
      <c r="AF118" s="238"/>
      <c r="AG118" s="75"/>
      <c r="AH118" s="53"/>
      <c r="AI118" s="53"/>
      <c r="AJ118" s="53"/>
      <c r="AK118" s="53"/>
      <c r="AQ118" s="53"/>
    </row>
    <row r="119" spans="1:43">
      <c r="A119" s="99">
        <v>6404</v>
      </c>
      <c r="B119" s="2" t="s">
        <v>91</v>
      </c>
      <c r="C119" s="23">
        <v>150</v>
      </c>
      <c r="D119" s="49">
        <f>C119/C12</f>
        <v>1.2267028680313056E-3</v>
      </c>
      <c r="E119" s="23">
        <v>150</v>
      </c>
      <c r="F119" s="49">
        <f>E119/E12</f>
        <v>1.5767355009743765E-3</v>
      </c>
      <c r="G119" s="23">
        <v>150</v>
      </c>
      <c r="H119" s="49">
        <f>G119/G12</f>
        <v>9.5054063062775156E-4</v>
      </c>
      <c r="I119" s="23">
        <v>150</v>
      </c>
      <c r="J119" s="49">
        <f>I119/I12</f>
        <v>1.0764969458134043E-3</v>
      </c>
      <c r="K119" s="23">
        <v>150</v>
      </c>
      <c r="L119" s="49">
        <f>K119/K12</f>
        <v>1.1770115282873324E-3</v>
      </c>
      <c r="M119" s="23">
        <v>150</v>
      </c>
      <c r="N119" s="49">
        <f>M119/M12</f>
        <v>8.3005854769488267E-4</v>
      </c>
      <c r="O119" s="23">
        <v>150</v>
      </c>
      <c r="P119" s="49">
        <f>O119/O12</f>
        <v>1.3110800090003613E-3</v>
      </c>
      <c r="Q119" s="23">
        <v>150</v>
      </c>
      <c r="R119" s="49">
        <f>Q119/Q12</f>
        <v>1.0558418216980727E-3</v>
      </c>
      <c r="S119" s="23">
        <v>150</v>
      </c>
      <c r="T119" s="49">
        <f>S119/S12</f>
        <v>1.0481075470585108E-3</v>
      </c>
      <c r="U119" s="23">
        <v>150</v>
      </c>
      <c r="V119" s="49">
        <f>U119/U12</f>
        <v>1.3213551684055E-3</v>
      </c>
      <c r="W119" s="23">
        <v>150</v>
      </c>
      <c r="X119" s="49">
        <f>W119/W12</f>
        <v>1.2987037882056156E-3</v>
      </c>
      <c r="Y119" s="23">
        <v>150</v>
      </c>
      <c r="Z119" s="179">
        <f>Y119/Y12</f>
        <v>8.5969099237786291E-4</v>
      </c>
      <c r="AA119" s="286">
        <f t="shared" si="70"/>
        <v>1800</v>
      </c>
      <c r="AB119" s="214">
        <f>AA119/AA12</f>
        <v>1.1071460209296459E-3</v>
      </c>
      <c r="AC119" s="207">
        <f t="shared" si="51"/>
        <v>150</v>
      </c>
      <c r="AD119" s="214">
        <f>AC119/AC12</f>
        <v>1.1071460209296459E-3</v>
      </c>
      <c r="AE119" s="170"/>
      <c r="AF119" s="238"/>
      <c r="AG119" s="75"/>
      <c r="AH119" s="53">
        <f t="shared" ref="AH119:AH152" si="71">AA119-AI119</f>
        <v>0</v>
      </c>
      <c r="AI119" s="53">
        <f t="shared" si="48"/>
        <v>1800</v>
      </c>
      <c r="AJ119" s="53">
        <f t="shared" si="52"/>
        <v>14100</v>
      </c>
      <c r="AK119" s="53"/>
      <c r="AQ119" s="53">
        <f t="shared" si="49"/>
        <v>1441.5</v>
      </c>
    </row>
    <row r="120" spans="1:43">
      <c r="A120" s="99">
        <v>6406</v>
      </c>
      <c r="B120" s="2" t="s">
        <v>73</v>
      </c>
      <c r="C120" s="18">
        <v>0</v>
      </c>
      <c r="D120" s="49">
        <f>C120/C12</f>
        <v>0</v>
      </c>
      <c r="E120" s="18">
        <v>0</v>
      </c>
      <c r="F120" s="49">
        <f>E120/E12</f>
        <v>0</v>
      </c>
      <c r="G120" s="18">
        <v>0</v>
      </c>
      <c r="H120" s="49">
        <f>G120/G12</f>
        <v>0</v>
      </c>
      <c r="I120" s="18">
        <v>0</v>
      </c>
      <c r="J120" s="49">
        <f>I120/I12</f>
        <v>0</v>
      </c>
      <c r="K120" s="18">
        <v>0</v>
      </c>
      <c r="L120" s="49">
        <f>K120/K12</f>
        <v>0</v>
      </c>
      <c r="M120" s="18">
        <v>0</v>
      </c>
      <c r="N120" s="49">
        <f>M120/M12</f>
        <v>0</v>
      </c>
      <c r="O120" s="18">
        <v>0</v>
      </c>
      <c r="P120" s="49">
        <f>O120/O12</f>
        <v>0</v>
      </c>
      <c r="Q120" s="18">
        <v>0</v>
      </c>
      <c r="R120" s="49">
        <f>Q120/Q12</f>
        <v>0</v>
      </c>
      <c r="S120" s="18">
        <v>0</v>
      </c>
      <c r="T120" s="49">
        <f>S120/S12</f>
        <v>0</v>
      </c>
      <c r="U120" s="18">
        <v>0</v>
      </c>
      <c r="V120" s="49">
        <f>U120/U12</f>
        <v>0</v>
      </c>
      <c r="W120" s="18">
        <v>0</v>
      </c>
      <c r="X120" s="49">
        <f>W120/W12</f>
        <v>0</v>
      </c>
      <c r="Y120" s="18">
        <v>0</v>
      </c>
      <c r="Z120" s="179">
        <f>Y120/Y12</f>
        <v>0</v>
      </c>
      <c r="AA120" s="286">
        <f t="shared" si="70"/>
        <v>0</v>
      </c>
      <c r="AB120" s="214">
        <f>AA120/AA12</f>
        <v>0</v>
      </c>
      <c r="AC120" s="205">
        <f t="shared" si="51"/>
        <v>0</v>
      </c>
      <c r="AD120" s="214">
        <f>AC120/AC12</f>
        <v>0</v>
      </c>
      <c r="AE120" s="170"/>
      <c r="AF120" s="238"/>
      <c r="AG120" s="75"/>
      <c r="AH120" s="53">
        <f t="shared" si="71"/>
        <v>0</v>
      </c>
      <c r="AI120" s="53">
        <f t="shared" si="48"/>
        <v>0</v>
      </c>
      <c r="AJ120" s="53">
        <f t="shared" si="52"/>
        <v>0</v>
      </c>
      <c r="AK120" s="53"/>
      <c r="AQ120" s="53">
        <f t="shared" si="49"/>
        <v>0</v>
      </c>
    </row>
    <row r="121" spans="1:43">
      <c r="A121" s="2">
        <v>6407</v>
      </c>
      <c r="B121" s="112" t="s">
        <v>74</v>
      </c>
      <c r="C121" s="43">
        <v>0</v>
      </c>
      <c r="D121" s="49">
        <f>C121/C12</f>
        <v>0</v>
      </c>
      <c r="E121" s="43">
        <v>0</v>
      </c>
      <c r="F121" s="49">
        <f>E121/E12</f>
        <v>0</v>
      </c>
      <c r="G121" s="43">
        <v>0</v>
      </c>
      <c r="H121" s="49">
        <f>G121/G12</f>
        <v>0</v>
      </c>
      <c r="I121" s="43">
        <v>0</v>
      </c>
      <c r="J121" s="49">
        <f>I121/I12</f>
        <v>0</v>
      </c>
      <c r="K121" s="43">
        <v>0</v>
      </c>
      <c r="L121" s="49">
        <f>K121/K12</f>
        <v>0</v>
      </c>
      <c r="M121" s="43">
        <v>0</v>
      </c>
      <c r="N121" s="49">
        <f>M121/M12</f>
        <v>0</v>
      </c>
      <c r="O121" s="43">
        <v>0</v>
      </c>
      <c r="P121" s="49">
        <f>O121/O12</f>
        <v>0</v>
      </c>
      <c r="Q121" s="43">
        <v>0</v>
      </c>
      <c r="R121" s="49">
        <f>Q121/Q12</f>
        <v>0</v>
      </c>
      <c r="S121" s="43">
        <v>0</v>
      </c>
      <c r="T121" s="49">
        <f>S121/S12</f>
        <v>0</v>
      </c>
      <c r="U121" s="43">
        <v>0</v>
      </c>
      <c r="V121" s="49">
        <f>U121/U12</f>
        <v>0</v>
      </c>
      <c r="W121" s="43">
        <v>0</v>
      </c>
      <c r="X121" s="49">
        <f>W121/W12</f>
        <v>0</v>
      </c>
      <c r="Y121" s="43">
        <v>0</v>
      </c>
      <c r="Z121" s="179">
        <f>Y121/Y12</f>
        <v>0</v>
      </c>
      <c r="AA121" s="286">
        <f t="shared" si="70"/>
        <v>0</v>
      </c>
      <c r="AB121" s="214">
        <f>AA121/AA12</f>
        <v>0</v>
      </c>
      <c r="AC121" s="205">
        <f t="shared" si="51"/>
        <v>0</v>
      </c>
      <c r="AD121" s="214">
        <f>AC121/AC12</f>
        <v>0</v>
      </c>
      <c r="AE121" s="170"/>
      <c r="AF121" s="238"/>
      <c r="AG121" s="75"/>
      <c r="AH121" s="53">
        <f t="shared" si="71"/>
        <v>0</v>
      </c>
      <c r="AI121" s="53">
        <f t="shared" si="48"/>
        <v>0</v>
      </c>
      <c r="AJ121" s="53">
        <f t="shared" si="52"/>
        <v>0</v>
      </c>
      <c r="AK121" s="53"/>
      <c r="AQ121" s="53">
        <f t="shared" si="49"/>
        <v>0</v>
      </c>
    </row>
    <row r="122" spans="1:43">
      <c r="A122" s="2">
        <v>6408</v>
      </c>
      <c r="B122" s="112" t="s">
        <v>43</v>
      </c>
      <c r="C122" s="43">
        <v>0</v>
      </c>
      <c r="D122" s="49">
        <f>C122/C12</f>
        <v>0</v>
      </c>
      <c r="E122" s="43">
        <v>0</v>
      </c>
      <c r="F122" s="49">
        <f>E122/E12</f>
        <v>0</v>
      </c>
      <c r="G122" s="43">
        <v>0</v>
      </c>
      <c r="H122" s="49">
        <f>G122/G12</f>
        <v>0</v>
      </c>
      <c r="I122" s="43">
        <v>0</v>
      </c>
      <c r="J122" s="49">
        <f>I122/I12</f>
        <v>0</v>
      </c>
      <c r="K122" s="43">
        <v>0</v>
      </c>
      <c r="L122" s="49">
        <f>K122/K12</f>
        <v>0</v>
      </c>
      <c r="M122" s="43">
        <v>0</v>
      </c>
      <c r="N122" s="49">
        <f>M122/M12</f>
        <v>0</v>
      </c>
      <c r="O122" s="43">
        <v>0</v>
      </c>
      <c r="P122" s="49">
        <f>O122/O12</f>
        <v>0</v>
      </c>
      <c r="Q122" s="43">
        <v>0</v>
      </c>
      <c r="R122" s="49">
        <f>Q122/Q12</f>
        <v>0</v>
      </c>
      <c r="S122" s="43">
        <v>0</v>
      </c>
      <c r="T122" s="49">
        <f>S122/S12</f>
        <v>0</v>
      </c>
      <c r="U122" s="43">
        <v>0</v>
      </c>
      <c r="V122" s="49">
        <f>U122/U12</f>
        <v>0</v>
      </c>
      <c r="W122" s="43">
        <v>0</v>
      </c>
      <c r="X122" s="49">
        <f>W122/W12</f>
        <v>0</v>
      </c>
      <c r="Y122" s="43">
        <v>0</v>
      </c>
      <c r="Z122" s="179">
        <f>Y122/Y12</f>
        <v>0</v>
      </c>
      <c r="AA122" s="286">
        <f t="shared" si="70"/>
        <v>0</v>
      </c>
      <c r="AB122" s="214">
        <f>AA122/AA12</f>
        <v>0</v>
      </c>
      <c r="AC122" s="205">
        <f t="shared" si="51"/>
        <v>0</v>
      </c>
      <c r="AD122" s="214">
        <f>AC122/AC12</f>
        <v>0</v>
      </c>
      <c r="AE122" s="170"/>
      <c r="AF122" s="238"/>
      <c r="AG122" s="75"/>
      <c r="AH122" s="53">
        <f t="shared" si="71"/>
        <v>0</v>
      </c>
      <c r="AI122" s="53">
        <f t="shared" si="48"/>
        <v>0</v>
      </c>
      <c r="AJ122" s="53">
        <f t="shared" si="52"/>
        <v>0</v>
      </c>
      <c r="AK122" s="53"/>
      <c r="AQ122" s="53">
        <f t="shared" si="49"/>
        <v>0</v>
      </c>
    </row>
    <row r="123" spans="1:43">
      <c r="A123" s="2">
        <v>6410</v>
      </c>
      <c r="B123" s="112" t="s">
        <v>105</v>
      </c>
      <c r="C123" s="43"/>
      <c r="D123" s="49"/>
      <c r="E123" s="43"/>
      <c r="F123" s="49"/>
      <c r="G123" s="43"/>
      <c r="H123" s="49"/>
      <c r="I123" s="43"/>
      <c r="J123" s="49"/>
      <c r="K123" s="43"/>
      <c r="L123" s="49"/>
      <c r="M123" s="43"/>
      <c r="N123" s="49"/>
      <c r="O123" s="43"/>
      <c r="P123" s="49"/>
      <c r="Q123" s="43"/>
      <c r="R123" s="49"/>
      <c r="S123" s="43"/>
      <c r="T123" s="49"/>
      <c r="U123" s="43"/>
      <c r="V123" s="49"/>
      <c r="W123" s="43"/>
      <c r="X123" s="49"/>
      <c r="Y123" s="43"/>
      <c r="Z123" s="179"/>
      <c r="AA123" s="286">
        <f t="shared" si="70"/>
        <v>0</v>
      </c>
      <c r="AB123" s="214"/>
      <c r="AC123" s="205">
        <f t="shared" si="51"/>
        <v>0</v>
      </c>
      <c r="AD123" s="214"/>
      <c r="AE123" s="170"/>
      <c r="AF123" s="238"/>
      <c r="AG123" s="75"/>
      <c r="AH123" s="53">
        <f t="shared" si="71"/>
        <v>0</v>
      </c>
      <c r="AI123" s="53">
        <f t="shared" si="48"/>
        <v>0</v>
      </c>
      <c r="AJ123" s="53">
        <f t="shared" ref="AJ123:AJ147" si="72">G123*9.4+I123*9.4+K123*9.4+M123*9.4+O123*9.4+Q123*9.4+S123*9.4+U123*9.4+W123*9.4+Y123*9.4</f>
        <v>0</v>
      </c>
      <c r="AK123" s="53"/>
      <c r="AQ123" s="53">
        <f t="shared" si="49"/>
        <v>0</v>
      </c>
    </row>
    <row r="124" spans="1:43">
      <c r="A124" s="2">
        <v>6411</v>
      </c>
      <c r="B124" s="112" t="s">
        <v>107</v>
      </c>
      <c r="C124" s="43"/>
      <c r="D124" s="49"/>
      <c r="E124" s="43"/>
      <c r="F124" s="49"/>
      <c r="G124" s="43"/>
      <c r="H124" s="49"/>
      <c r="I124" s="43"/>
      <c r="J124" s="49"/>
      <c r="K124" s="43"/>
      <c r="L124" s="49"/>
      <c r="M124" s="43"/>
      <c r="N124" s="49"/>
      <c r="O124" s="43"/>
      <c r="P124" s="49"/>
      <c r="Q124" s="43"/>
      <c r="R124" s="49"/>
      <c r="S124" s="43"/>
      <c r="T124" s="49"/>
      <c r="U124" s="43"/>
      <c r="V124" s="49"/>
      <c r="W124" s="43"/>
      <c r="X124" s="49"/>
      <c r="Y124" s="43"/>
      <c r="Z124" s="179"/>
      <c r="AA124" s="286">
        <f t="shared" si="70"/>
        <v>0</v>
      </c>
      <c r="AB124" s="214"/>
      <c r="AC124" s="205">
        <f t="shared" si="51"/>
        <v>0</v>
      </c>
      <c r="AD124" s="214"/>
      <c r="AE124" s="170"/>
      <c r="AF124" s="238"/>
      <c r="AG124" s="75"/>
      <c r="AH124" s="53">
        <f t="shared" si="71"/>
        <v>0</v>
      </c>
      <c r="AI124" s="53">
        <f t="shared" si="48"/>
        <v>0</v>
      </c>
      <c r="AJ124" s="53">
        <f t="shared" si="72"/>
        <v>0</v>
      </c>
      <c r="AK124" s="53"/>
      <c r="AQ124" s="53">
        <f t="shared" si="49"/>
        <v>0</v>
      </c>
    </row>
    <row r="125" spans="1:43">
      <c r="A125" s="2">
        <v>6412</v>
      </c>
      <c r="B125" s="112" t="s">
        <v>92</v>
      </c>
      <c r="C125" s="43"/>
      <c r="D125" s="49">
        <f>C125/C12</f>
        <v>0</v>
      </c>
      <c r="E125" s="43"/>
      <c r="F125" s="49">
        <f>E125/E12</f>
        <v>0</v>
      </c>
      <c r="G125" s="43"/>
      <c r="H125" s="49">
        <f>G125/G12</f>
        <v>0</v>
      </c>
      <c r="I125" s="43"/>
      <c r="J125" s="49">
        <f>I125/I12</f>
        <v>0</v>
      </c>
      <c r="K125" s="43"/>
      <c r="L125" s="49">
        <f>K125/K12</f>
        <v>0</v>
      </c>
      <c r="M125" s="43"/>
      <c r="N125" s="49">
        <f>M125/M12</f>
        <v>0</v>
      </c>
      <c r="O125" s="43"/>
      <c r="P125" s="49">
        <f>O125/O12</f>
        <v>0</v>
      </c>
      <c r="Q125" s="43"/>
      <c r="R125" s="49">
        <f>Q125/Q12</f>
        <v>0</v>
      </c>
      <c r="S125" s="43"/>
      <c r="T125" s="49">
        <f>S125/S12</f>
        <v>0</v>
      </c>
      <c r="U125" s="43"/>
      <c r="V125" s="49">
        <f>U125/U12</f>
        <v>0</v>
      </c>
      <c r="W125" s="43"/>
      <c r="X125" s="49">
        <f>W125/W12</f>
        <v>0</v>
      </c>
      <c r="Y125" s="43"/>
      <c r="Z125" s="179">
        <f>Y125/Y12</f>
        <v>0</v>
      </c>
      <c r="AA125" s="286">
        <f t="shared" si="70"/>
        <v>0</v>
      </c>
      <c r="AB125" s="214">
        <f>AA125/AA12</f>
        <v>0</v>
      </c>
      <c r="AC125" s="205">
        <f t="shared" si="51"/>
        <v>0</v>
      </c>
      <c r="AD125" s="214">
        <f>AC125/AC12</f>
        <v>0</v>
      </c>
      <c r="AE125" s="170"/>
      <c r="AF125" s="238"/>
      <c r="AG125" s="75"/>
      <c r="AH125" s="53">
        <f t="shared" si="71"/>
        <v>0</v>
      </c>
      <c r="AI125" s="53">
        <f t="shared" si="48"/>
        <v>0</v>
      </c>
      <c r="AJ125" s="53">
        <f t="shared" si="72"/>
        <v>0</v>
      </c>
      <c r="AK125" s="53"/>
      <c r="AQ125" s="53">
        <f t="shared" si="49"/>
        <v>0</v>
      </c>
    </row>
    <row r="126" spans="1:43">
      <c r="A126" s="2">
        <v>6413</v>
      </c>
      <c r="B126" s="2" t="s">
        <v>42</v>
      </c>
      <c r="C126" s="18">
        <f>C12*0.9%</f>
        <v>1100.5110000000002</v>
      </c>
      <c r="D126" s="49">
        <f>C126/C12</f>
        <v>9.0000000000000011E-3</v>
      </c>
      <c r="E126" s="18">
        <f>E12*0.9%</f>
        <v>856.19940641010464</v>
      </c>
      <c r="F126" s="49">
        <f>E126/E12</f>
        <v>9.0000000000000011E-3</v>
      </c>
      <c r="G126" s="18">
        <f>G12*0.9%</f>
        <v>1420.2443919818973</v>
      </c>
      <c r="H126" s="49">
        <f>G126/G12</f>
        <v>9.0000000000000011E-3</v>
      </c>
      <c r="I126" s="18">
        <f>I12*0.9%</f>
        <v>1254.0676545811621</v>
      </c>
      <c r="J126" s="49">
        <f>I126/I12</f>
        <v>9.0000000000000011E-3</v>
      </c>
      <c r="K126" s="18">
        <f>K12*0.9%</f>
        <v>1146.9726230841452</v>
      </c>
      <c r="L126" s="49">
        <f>K126/K12</f>
        <v>9.0000000000000011E-3</v>
      </c>
      <c r="M126" s="18">
        <f>M12*0.9%</f>
        <v>1626.3912994439042</v>
      </c>
      <c r="N126" s="49">
        <f>M126/M12</f>
        <v>9.0000000000000011E-3</v>
      </c>
      <c r="O126" s="18">
        <f>O12*0.9%</f>
        <v>1029.6854430945932</v>
      </c>
      <c r="P126" s="49">
        <f>O126/O12</f>
        <v>9.0000000000000011E-3</v>
      </c>
      <c r="Q126" s="18">
        <f>Q12*0.9%</f>
        <v>1278.6006125698291</v>
      </c>
      <c r="R126" s="49">
        <f>Q126/Q12</f>
        <v>9.0000000000000011E-3</v>
      </c>
      <c r="S126" s="18">
        <f>S12*0.9%</f>
        <v>1288.0357591057743</v>
      </c>
      <c r="T126" s="49">
        <f>S126/S12</f>
        <v>9.0000000000000011E-3</v>
      </c>
      <c r="U126" s="18">
        <f>U12*0.9%</f>
        <v>1021.678374050685</v>
      </c>
      <c r="V126" s="49">
        <f>U126/U12</f>
        <v>9.0000000000000011E-3</v>
      </c>
      <c r="W126" s="18">
        <f>W12*0.9%</f>
        <v>1039.498007367222</v>
      </c>
      <c r="X126" s="49">
        <f>W126/W12</f>
        <v>9.0000000000000011E-3</v>
      </c>
      <c r="Y126" s="18">
        <f>Y12*0.9%</f>
        <v>1570.331679602652</v>
      </c>
      <c r="Z126" s="179">
        <f>Y126/Y12</f>
        <v>9.0000000000000011E-3</v>
      </c>
      <c r="AA126" s="286">
        <f t="shared" si="70"/>
        <v>14632.216251291969</v>
      </c>
      <c r="AB126" s="214">
        <f>AA126/AA12</f>
        <v>9.0000000000000011E-3</v>
      </c>
      <c r="AC126" s="205">
        <f t="shared" si="51"/>
        <v>1219.3513542743308</v>
      </c>
      <c r="AD126" s="214">
        <f>AC126/AC12</f>
        <v>9.0000000000000011E-3</v>
      </c>
      <c r="AE126" s="170"/>
      <c r="AF126" s="249"/>
      <c r="AG126" s="171"/>
      <c r="AH126" s="53">
        <f t="shared" si="71"/>
        <v>0</v>
      </c>
      <c r="AI126" s="53">
        <f t="shared" si="48"/>
        <v>14632.216251291969</v>
      </c>
      <c r="AJ126" s="53">
        <f t="shared" si="72"/>
        <v>119149.75494188954</v>
      </c>
      <c r="AK126" s="53"/>
      <c r="AQ126" s="53">
        <f t="shared" si="49"/>
        <v>12287.351886796057</v>
      </c>
    </row>
    <row r="127" spans="1:43">
      <c r="A127" s="2">
        <v>6414</v>
      </c>
      <c r="B127" s="2" t="s">
        <v>44</v>
      </c>
      <c r="C127" s="18">
        <v>50</v>
      </c>
      <c r="D127" s="49">
        <f>C127/C12</f>
        <v>4.0890095601043517E-4</v>
      </c>
      <c r="E127" s="18">
        <v>50</v>
      </c>
      <c r="F127" s="49">
        <f>E127/E12</f>
        <v>5.2557850032479219E-4</v>
      </c>
      <c r="G127" s="18">
        <v>50</v>
      </c>
      <c r="H127" s="49">
        <f>G127/G12</f>
        <v>3.1684687687591722E-4</v>
      </c>
      <c r="I127" s="18">
        <v>50</v>
      </c>
      <c r="J127" s="49">
        <f>I127/I12</f>
        <v>3.5883231527113473E-4</v>
      </c>
      <c r="K127" s="18">
        <v>50</v>
      </c>
      <c r="L127" s="49">
        <f>K127/K12</f>
        <v>3.9233717609577748E-4</v>
      </c>
      <c r="M127" s="18">
        <v>50</v>
      </c>
      <c r="N127" s="49">
        <f>M127/M12</f>
        <v>2.7668618256496087E-4</v>
      </c>
      <c r="O127" s="18">
        <v>50</v>
      </c>
      <c r="P127" s="49">
        <f>O127/O12</f>
        <v>4.3702666966678711E-4</v>
      </c>
      <c r="Q127" s="18">
        <v>50</v>
      </c>
      <c r="R127" s="49">
        <f>Q127/Q12</f>
        <v>3.5194727389935759E-4</v>
      </c>
      <c r="S127" s="18">
        <v>50</v>
      </c>
      <c r="T127" s="49">
        <f>S127/S12</f>
        <v>3.4936918235283697E-4</v>
      </c>
      <c r="U127" s="18">
        <v>50</v>
      </c>
      <c r="V127" s="49">
        <f>U127/U12</f>
        <v>4.4045172280183332E-4</v>
      </c>
      <c r="W127" s="18">
        <v>50</v>
      </c>
      <c r="X127" s="49">
        <f>W127/W12</f>
        <v>4.329012627352052E-4</v>
      </c>
      <c r="Y127" s="18">
        <v>50</v>
      </c>
      <c r="Z127" s="179">
        <f>Y127/Y12</f>
        <v>2.865636641259543E-4</v>
      </c>
      <c r="AA127" s="286">
        <f t="shared" si="70"/>
        <v>600</v>
      </c>
      <c r="AB127" s="214">
        <f>AA127/AA12</f>
        <v>3.6904867364321529E-4</v>
      </c>
      <c r="AC127" s="205">
        <f t="shared" si="51"/>
        <v>50</v>
      </c>
      <c r="AD127" s="214">
        <f>AC127/AC12</f>
        <v>3.6904867364321529E-4</v>
      </c>
      <c r="AE127" s="170"/>
      <c r="AF127" s="238"/>
      <c r="AG127" s="75"/>
      <c r="AH127" s="53">
        <f t="shared" si="71"/>
        <v>0</v>
      </c>
      <c r="AI127" s="53">
        <f t="shared" si="48"/>
        <v>600</v>
      </c>
      <c r="AJ127" s="53">
        <f t="shared" si="72"/>
        <v>4700</v>
      </c>
      <c r="AK127" s="53">
        <v>45</v>
      </c>
      <c r="AQ127" s="53">
        <f t="shared" si="49"/>
        <v>480.5</v>
      </c>
    </row>
    <row r="128" spans="1:43">
      <c r="A128" s="2">
        <v>6415</v>
      </c>
      <c r="B128" s="112" t="s">
        <v>45</v>
      </c>
      <c r="C128" s="18"/>
      <c r="D128" s="49">
        <f>C128/C12</f>
        <v>0</v>
      </c>
      <c r="E128" s="18"/>
      <c r="F128" s="49">
        <f>E128/E12</f>
        <v>0</v>
      </c>
      <c r="G128" s="18"/>
      <c r="H128" s="49">
        <f>G128/G12</f>
        <v>0</v>
      </c>
      <c r="I128" s="18"/>
      <c r="J128" s="49">
        <f>I128/I12</f>
        <v>0</v>
      </c>
      <c r="K128" s="18"/>
      <c r="L128" s="49">
        <f>K128/K12</f>
        <v>0</v>
      </c>
      <c r="M128" s="18"/>
      <c r="N128" s="49">
        <f>M128/M12</f>
        <v>0</v>
      </c>
      <c r="O128" s="18"/>
      <c r="P128" s="49">
        <f>O128/O12</f>
        <v>0</v>
      </c>
      <c r="Q128" s="18"/>
      <c r="R128" s="49">
        <f>Q128/Q12</f>
        <v>0</v>
      </c>
      <c r="S128" s="18"/>
      <c r="T128" s="49">
        <f>S128/S12</f>
        <v>0</v>
      </c>
      <c r="U128" s="18"/>
      <c r="V128" s="49">
        <f>U128/U12</f>
        <v>0</v>
      </c>
      <c r="W128" s="18"/>
      <c r="X128" s="49">
        <f>W128/W12</f>
        <v>0</v>
      </c>
      <c r="Y128" s="18"/>
      <c r="Z128" s="179">
        <f>Y128/Y12</f>
        <v>0</v>
      </c>
      <c r="AA128" s="286">
        <f t="shared" si="70"/>
        <v>0</v>
      </c>
      <c r="AB128" s="214">
        <f>AA128/AA12</f>
        <v>0</v>
      </c>
      <c r="AC128" s="205">
        <f t="shared" si="51"/>
        <v>0</v>
      </c>
      <c r="AD128" s="214">
        <f>AC128/AC12</f>
        <v>0</v>
      </c>
      <c r="AE128" s="170"/>
      <c r="AF128" s="238"/>
      <c r="AG128" s="170"/>
      <c r="AH128" s="53">
        <f t="shared" si="71"/>
        <v>0</v>
      </c>
      <c r="AI128" s="53">
        <f t="shared" si="48"/>
        <v>0</v>
      </c>
      <c r="AJ128" s="53">
        <f t="shared" si="72"/>
        <v>0</v>
      </c>
      <c r="AK128" s="53"/>
      <c r="AQ128" s="53">
        <f t="shared" si="49"/>
        <v>0</v>
      </c>
    </row>
    <row r="129" spans="1:44" ht="15.75" thickBot="1">
      <c r="A129" s="4">
        <v>6499</v>
      </c>
      <c r="B129" s="113" t="s">
        <v>102</v>
      </c>
      <c r="C129" s="27">
        <f>SUM(C116:C128)</f>
        <v>1300.5110000000002</v>
      </c>
      <c r="D129" s="68">
        <f>C129/C12</f>
        <v>1.0635603824041742E-2</v>
      </c>
      <c r="E129" s="300">
        <f>SUM(E116:E128)</f>
        <v>1056.1994064101045</v>
      </c>
      <c r="F129" s="68">
        <f>E129/E12</f>
        <v>1.1102314001299168E-2</v>
      </c>
      <c r="G129" s="82">
        <f>SUM(G116:G128)</f>
        <v>1620.2443919818973</v>
      </c>
      <c r="H129" s="68">
        <f>G129/G12</f>
        <v>1.026738750750367E-2</v>
      </c>
      <c r="I129" s="20">
        <f>SUM(I116:I128)</f>
        <v>1454.0676545811621</v>
      </c>
      <c r="J129" s="68">
        <f>I129/I12</f>
        <v>1.043532926108454E-2</v>
      </c>
      <c r="K129" s="55">
        <f>SUM(K116:K128)</f>
        <v>1346.9726230841452</v>
      </c>
      <c r="L129" s="68">
        <f>K129/K12</f>
        <v>1.0569348704383112E-2</v>
      </c>
      <c r="M129" s="20">
        <f>SUM(M116:M128)</f>
        <v>1826.3912994439042</v>
      </c>
      <c r="N129" s="68">
        <f>M129/M12</f>
        <v>1.0106744730259845E-2</v>
      </c>
      <c r="O129" s="20">
        <f>SUM(O116:O128)</f>
        <v>1229.6854430945932</v>
      </c>
      <c r="P129" s="68">
        <f>O129/O12</f>
        <v>1.0748106678667151E-2</v>
      </c>
      <c r="Q129" s="20">
        <f>SUM(Q116:Q128)</f>
        <v>1478.6006125698291</v>
      </c>
      <c r="R129" s="68">
        <f>Q129/Q12</f>
        <v>1.0407789095597432E-2</v>
      </c>
      <c r="S129" s="20">
        <f>SUM(S116:S128)</f>
        <v>1488.0357591057743</v>
      </c>
      <c r="T129" s="68">
        <f>S129/S12</f>
        <v>1.039747672941135E-2</v>
      </c>
      <c r="U129" s="55">
        <f>SUM(U116:U128)</f>
        <v>1221.6783740506849</v>
      </c>
      <c r="V129" s="68">
        <f>U129/U12</f>
        <v>1.0761806891207334E-2</v>
      </c>
      <c r="W129" s="34">
        <f>SUM(W116:W128)</f>
        <v>1239.498007367222</v>
      </c>
      <c r="X129" s="68">
        <f>W129/W12</f>
        <v>1.0731605050940821E-2</v>
      </c>
      <c r="Y129" s="55">
        <f>SUM(Y116:Y128)</f>
        <v>1770.331679602652</v>
      </c>
      <c r="Z129" s="223">
        <f>Y129/Y12</f>
        <v>1.0146254656503817E-2</v>
      </c>
      <c r="AA129" s="211">
        <f>SUM(AA116:AA128)</f>
        <v>17032.216251291968</v>
      </c>
      <c r="AB129" s="245">
        <f>AA129/AA12</f>
        <v>1.0476194694572862E-2</v>
      </c>
      <c r="AC129" s="210">
        <f t="shared" si="51"/>
        <v>1419.3513542743306</v>
      </c>
      <c r="AD129" s="245">
        <f>AC129/AC12</f>
        <v>1.047619469457286E-2</v>
      </c>
      <c r="AE129" s="75"/>
      <c r="AF129" s="169"/>
      <c r="AG129" s="75"/>
      <c r="AH129" s="53">
        <f t="shared" si="71"/>
        <v>0</v>
      </c>
      <c r="AI129" s="53">
        <f t="shared" si="48"/>
        <v>17032.216251291968</v>
      </c>
      <c r="AJ129" s="53">
        <f t="shared" si="72"/>
        <v>137949.75494188952</v>
      </c>
      <c r="AK129" s="53"/>
      <c r="AQ129" s="53">
        <f t="shared" si="49"/>
        <v>14209.351886796057</v>
      </c>
    </row>
    <row r="130" spans="1:44" ht="15.75" thickTop="1">
      <c r="A130" s="109"/>
      <c r="B130" s="114"/>
      <c r="C130" s="136"/>
      <c r="D130" s="70"/>
      <c r="E130" s="61"/>
      <c r="F130" s="70"/>
      <c r="G130" s="80"/>
      <c r="H130" s="70"/>
      <c r="J130" s="70"/>
      <c r="K130" s="61"/>
      <c r="L130" s="70"/>
      <c r="N130" s="70"/>
      <c r="P130" s="70"/>
      <c r="R130" s="70"/>
      <c r="T130" s="70"/>
      <c r="U130" s="61"/>
      <c r="V130" s="70"/>
      <c r="W130" s="42"/>
      <c r="X130" s="70"/>
      <c r="Y130" s="61"/>
      <c r="AA130" s="204"/>
      <c r="AB130" s="213"/>
      <c r="AC130" s="205">
        <f t="shared" si="51"/>
        <v>0</v>
      </c>
      <c r="AD130" s="213"/>
      <c r="AE130" s="75"/>
      <c r="AF130" s="169"/>
      <c r="AG130" s="75"/>
      <c r="AH130" s="53">
        <f t="shared" si="71"/>
        <v>0</v>
      </c>
      <c r="AI130" s="53">
        <f t="shared" si="48"/>
        <v>0</v>
      </c>
      <c r="AJ130" s="53">
        <f t="shared" si="72"/>
        <v>0</v>
      </c>
      <c r="AK130" s="53"/>
      <c r="AQ130" s="53">
        <f t="shared" si="49"/>
        <v>0</v>
      </c>
    </row>
    <row r="131" spans="1:44" ht="15.75" thickBot="1">
      <c r="A131" s="4"/>
      <c r="B131" s="113" t="s">
        <v>118</v>
      </c>
      <c r="C131" s="131">
        <f>C37-C41-C76-C93-C115-C129</f>
        <v>4588.1723233513221</v>
      </c>
      <c r="D131" s="126">
        <f>C131/C12</f>
        <v>3.7522160987179504E-2</v>
      </c>
      <c r="E131" s="125">
        <f>E37-E41-E76-E93-E115-E129</f>
        <v>-6138.0604647804967</v>
      </c>
      <c r="F131" s="126">
        <f>E131/E12</f>
        <v>-6.4520652279644611E-2</v>
      </c>
      <c r="G131" s="125">
        <f>G37-G41-G76-G93-G115-G129</f>
        <v>17486.000960450816</v>
      </c>
      <c r="H131" s="126">
        <f>G131/G12</f>
        <v>0.1108076958673626</v>
      </c>
      <c r="I131" s="131">
        <f>I37-I41-I76-I93-I115-I129</f>
        <v>19966.715797370332</v>
      </c>
      <c r="J131" s="126">
        <f>I131/I12</f>
        <v>0.14329405715862276</v>
      </c>
      <c r="K131" s="125">
        <f>K37-K41-K76-K93-K115-K129</f>
        <v>19220.924991258067</v>
      </c>
      <c r="L131" s="126">
        <f>K131/K12</f>
        <v>0.15082166866037894</v>
      </c>
      <c r="M131" s="131">
        <f>M37-M41-M76-M93-M115-M129</f>
        <v>27361.814866862325</v>
      </c>
      <c r="N131" s="126">
        <f>M131/M12</f>
        <v>0.15141272207122661</v>
      </c>
      <c r="O131" s="131">
        <f>O37-O41-O76-O93-O115-O129</f>
        <v>2521.8443986052444</v>
      </c>
      <c r="P131" s="126">
        <f>O131/O12</f>
        <v>2.204226517880583E-2</v>
      </c>
      <c r="Q131" s="131">
        <f>Q37-Q41-Q76-Q93-Q115-Q129</f>
        <v>18413.930459815489</v>
      </c>
      <c r="R131" s="126">
        <f>Q131/Q12</f>
        <v>0.12961465254208812</v>
      </c>
      <c r="S131" s="131">
        <f>S37-S41-S76-S93-S115-S129</f>
        <v>8999.5560885692958</v>
      </c>
      <c r="T131" s="126">
        <f>S131/S12</f>
        <v>6.2883351044039013E-2</v>
      </c>
      <c r="U131" s="125">
        <f>U37-U41-U76-U93-U115-U129</f>
        <v>-1261.3331700507883</v>
      </c>
      <c r="V131" s="126">
        <f>U131/U12</f>
        <v>-1.111112735551935E-2</v>
      </c>
      <c r="W131" s="125">
        <f>W37-W41-W76-W93-W115-W129</f>
        <v>12744.805362357452</v>
      </c>
      <c r="X131" s="126">
        <f>W131/W12</f>
        <v>0.11034484669357911</v>
      </c>
      <c r="Y131" s="125">
        <f>Y37-Y41-Y76-Y93-Y115-Y129</f>
        <v>26167.061774394773</v>
      </c>
      <c r="Z131" s="126">
        <f>Y131/Y12</f>
        <v>0.14997058202961522</v>
      </c>
      <c r="AA131" s="289">
        <f>AA37-AA41-AA76-AA93-AA115-AA129</f>
        <v>150071.43338820388</v>
      </c>
      <c r="AB131" s="250">
        <f>AA131/AA12</f>
        <v>9.2306105739421287E-2</v>
      </c>
      <c r="AC131" s="251">
        <f t="shared" si="51"/>
        <v>12505.952782350323</v>
      </c>
      <c r="AD131" s="250">
        <f>AC131/AC12</f>
        <v>9.2306105739421287E-2</v>
      </c>
      <c r="AE131" s="75"/>
      <c r="AF131" s="169"/>
      <c r="AG131" s="75"/>
      <c r="AH131" s="53">
        <f t="shared" si="71"/>
        <v>0</v>
      </c>
      <c r="AI131" s="53">
        <f t="shared" si="48"/>
        <v>150071.43338820385</v>
      </c>
      <c r="AJ131" s="53">
        <f t="shared" si="72"/>
        <v>1425240.4223785498</v>
      </c>
      <c r="AK131" s="53"/>
      <c r="AQ131" s="53">
        <f t="shared" si="49"/>
        <v>176957.87171882685</v>
      </c>
    </row>
    <row r="132" spans="1:44" ht="15.75" thickTop="1">
      <c r="A132" s="109"/>
      <c r="B132" s="114"/>
      <c r="C132" s="136"/>
      <c r="D132" s="70"/>
      <c r="E132" s="61"/>
      <c r="F132" s="70"/>
      <c r="G132" s="80"/>
      <c r="H132" s="70"/>
      <c r="J132" s="70"/>
      <c r="K132" s="61"/>
      <c r="L132" s="70"/>
      <c r="N132" s="70"/>
      <c r="P132" s="70"/>
      <c r="R132" s="70"/>
      <c r="T132" s="70"/>
      <c r="U132" s="61"/>
      <c r="V132" s="70"/>
      <c r="W132" s="42"/>
      <c r="X132" s="70"/>
      <c r="Y132" s="61"/>
      <c r="AA132" s="204"/>
      <c r="AB132" s="213"/>
      <c r="AC132" s="205">
        <f t="shared" si="51"/>
        <v>0</v>
      </c>
      <c r="AD132" s="213"/>
      <c r="AE132" s="75"/>
      <c r="AF132" s="169"/>
      <c r="AG132" s="75"/>
      <c r="AH132" s="53">
        <f t="shared" si="71"/>
        <v>0</v>
      </c>
      <c r="AI132" s="53">
        <f t="shared" si="48"/>
        <v>0</v>
      </c>
      <c r="AJ132" s="53">
        <f t="shared" si="72"/>
        <v>0</v>
      </c>
      <c r="AK132" s="53"/>
      <c r="AQ132" s="53">
        <f t="shared" si="49"/>
        <v>0</v>
      </c>
    </row>
    <row r="133" spans="1:44" ht="15.75" thickBot="1">
      <c r="A133" s="4"/>
      <c r="B133" s="274" t="s">
        <v>128</v>
      </c>
      <c r="C133" s="132"/>
      <c r="D133" s="275"/>
      <c r="E133" s="132"/>
      <c r="F133" s="275"/>
      <c r="G133" s="132"/>
      <c r="H133" s="275"/>
      <c r="I133" s="132"/>
      <c r="J133" s="275"/>
      <c r="K133" s="132"/>
      <c r="L133" s="275"/>
      <c r="M133" s="132"/>
      <c r="N133" s="275"/>
      <c r="O133" s="132"/>
      <c r="P133" s="275"/>
      <c r="Q133" s="132"/>
      <c r="R133" s="275"/>
      <c r="S133" s="132"/>
      <c r="T133" s="275"/>
      <c r="U133" s="132"/>
      <c r="V133" s="275"/>
      <c r="W133" s="132"/>
      <c r="X133" s="275"/>
      <c r="Y133" s="132"/>
      <c r="Z133" s="276"/>
      <c r="AA133" s="287">
        <f>C133+E133+G133+I133+K133+M133+O133+Q133+S133+U133+W133+Y133</f>
        <v>0</v>
      </c>
      <c r="AB133" s="277"/>
      <c r="AC133" s="278">
        <f t="shared" si="51"/>
        <v>0</v>
      </c>
      <c r="AD133" s="277"/>
      <c r="AE133" s="273"/>
      <c r="AF133" s="272"/>
      <c r="AG133" s="273"/>
      <c r="AH133" s="53">
        <f t="shared" si="71"/>
        <v>0</v>
      </c>
      <c r="AI133" s="53">
        <f t="shared" si="48"/>
        <v>0</v>
      </c>
      <c r="AJ133" s="53">
        <f t="shared" si="72"/>
        <v>0</v>
      </c>
      <c r="AK133" s="53"/>
      <c r="AQ133" s="53">
        <f t="shared" si="49"/>
        <v>0</v>
      </c>
    </row>
    <row r="134" spans="1:44" ht="15.75" thickTop="1">
      <c r="A134" s="109"/>
      <c r="B134" s="109"/>
      <c r="C134" s="136"/>
      <c r="D134" s="70"/>
      <c r="E134" s="61"/>
      <c r="F134" s="70"/>
      <c r="G134" s="80"/>
      <c r="H134" s="70"/>
      <c r="J134" s="70"/>
      <c r="K134" s="61"/>
      <c r="L134" s="70"/>
      <c r="N134" s="70"/>
      <c r="P134" s="70"/>
      <c r="R134" s="70"/>
      <c r="T134" s="70"/>
      <c r="U134" s="61"/>
      <c r="V134" s="70"/>
      <c r="W134" s="42"/>
      <c r="X134" s="70"/>
      <c r="Y134" s="61"/>
      <c r="AA134" s="204"/>
      <c r="AB134" s="213"/>
      <c r="AC134" s="205">
        <f t="shared" si="51"/>
        <v>0</v>
      </c>
      <c r="AD134" s="213"/>
      <c r="AE134" s="75"/>
      <c r="AF134" s="169"/>
      <c r="AG134" s="75"/>
      <c r="AH134" s="53">
        <f t="shared" si="71"/>
        <v>0</v>
      </c>
      <c r="AI134" s="53">
        <f t="shared" si="48"/>
        <v>0</v>
      </c>
      <c r="AJ134" s="53">
        <f t="shared" si="72"/>
        <v>0</v>
      </c>
      <c r="AK134" s="53"/>
      <c r="AQ134" s="53">
        <f t="shared" si="49"/>
        <v>0</v>
      </c>
    </row>
    <row r="135" spans="1:44" ht="15.75" thickBot="1">
      <c r="A135" s="4"/>
      <c r="B135" s="4" t="s">
        <v>125</v>
      </c>
      <c r="C135" s="27">
        <f>C131-C133</f>
        <v>4588.1723233513221</v>
      </c>
      <c r="D135" s="68">
        <f>C135/C12</f>
        <v>3.7522160987179504E-2</v>
      </c>
      <c r="E135" s="34">
        <f>E131-E133</f>
        <v>-6138.0604647804967</v>
      </c>
      <c r="F135" s="68">
        <f>E135/E12</f>
        <v>-6.4520652279644611E-2</v>
      </c>
      <c r="G135" s="34">
        <f>G131-G133</f>
        <v>17486.000960450816</v>
      </c>
      <c r="H135" s="68">
        <f>G135/G12</f>
        <v>0.1108076958673626</v>
      </c>
      <c r="I135" s="20">
        <f>I131-I133</f>
        <v>19966.715797370332</v>
      </c>
      <c r="J135" s="68">
        <f>I135/I12</f>
        <v>0.14329405715862276</v>
      </c>
      <c r="K135" s="34">
        <f>K131-K133</f>
        <v>19220.924991258067</v>
      </c>
      <c r="L135" s="68">
        <f>K135/K12</f>
        <v>0.15082166866037894</v>
      </c>
      <c r="M135" s="20">
        <f>M131-M133</f>
        <v>27361.814866862325</v>
      </c>
      <c r="N135" s="68">
        <f>M135/M12</f>
        <v>0.15141272207122661</v>
      </c>
      <c r="O135" s="20">
        <f>O131-O133</f>
        <v>2521.8443986052444</v>
      </c>
      <c r="P135" s="68">
        <f>O135/O12</f>
        <v>2.204226517880583E-2</v>
      </c>
      <c r="Q135" s="20">
        <f>Q131-Q133</f>
        <v>18413.930459815489</v>
      </c>
      <c r="R135" s="68">
        <f>Q135/Q12</f>
        <v>0.12961465254208812</v>
      </c>
      <c r="S135" s="20">
        <f>S131-S133</f>
        <v>8999.5560885692958</v>
      </c>
      <c r="T135" s="68">
        <f>S135/S12</f>
        <v>6.2883351044039013E-2</v>
      </c>
      <c r="U135" s="34">
        <f>U131-U133</f>
        <v>-1261.3331700507883</v>
      </c>
      <c r="V135" s="68">
        <f>U135/U12</f>
        <v>-1.111112735551935E-2</v>
      </c>
      <c r="W135" s="34">
        <f>W131-W133</f>
        <v>12744.805362357452</v>
      </c>
      <c r="X135" s="68">
        <f>W135/W12</f>
        <v>0.11034484669357911</v>
      </c>
      <c r="Y135" s="34">
        <f>Y131-Y133</f>
        <v>26167.061774394773</v>
      </c>
      <c r="Z135" s="223">
        <f>Y135/Y12</f>
        <v>0.14997058202961522</v>
      </c>
      <c r="AA135" s="211">
        <f>AA131-AA133</f>
        <v>150071.43338820388</v>
      </c>
      <c r="AB135" s="245">
        <f>AA135/AA12</f>
        <v>9.2306105739421287E-2</v>
      </c>
      <c r="AC135" s="217">
        <f t="shared" si="51"/>
        <v>12505.952782350323</v>
      </c>
      <c r="AD135" s="245">
        <f>AC135/AC12</f>
        <v>9.2306105739421287E-2</v>
      </c>
      <c r="AE135" s="75"/>
      <c r="AF135" s="169"/>
      <c r="AG135" s="75"/>
      <c r="AH135" s="53">
        <f t="shared" si="71"/>
        <v>0</v>
      </c>
      <c r="AI135" s="53">
        <f t="shared" si="48"/>
        <v>150071.43338820385</v>
      </c>
      <c r="AJ135" s="53">
        <f t="shared" si="72"/>
        <v>1425240.4223785498</v>
      </c>
      <c r="AK135" s="53"/>
      <c r="AQ135" s="53">
        <f t="shared" si="49"/>
        <v>176957.87171882685</v>
      </c>
    </row>
    <row r="136" spans="1:44" ht="15.75" thickTop="1">
      <c r="A136" s="16">
        <v>6501</v>
      </c>
      <c r="B136" s="115"/>
      <c r="C136" s="136"/>
      <c r="D136" s="49">
        <f>C136/C12</f>
        <v>0</v>
      </c>
      <c r="E136" s="61"/>
      <c r="F136" s="49">
        <f>E136/E12</f>
        <v>0</v>
      </c>
      <c r="G136" s="80"/>
      <c r="H136" s="49">
        <f>G136/G12</f>
        <v>0</v>
      </c>
      <c r="J136" s="49">
        <f>I136/I12</f>
        <v>0</v>
      </c>
      <c r="K136" s="61"/>
      <c r="L136" s="49">
        <f>K136/K12</f>
        <v>0</v>
      </c>
      <c r="N136" s="49">
        <f>M136/M12</f>
        <v>0</v>
      </c>
      <c r="P136" s="49">
        <f>O136/O12</f>
        <v>0</v>
      </c>
      <c r="R136" s="49">
        <f>Q136/Q12</f>
        <v>0</v>
      </c>
      <c r="T136" s="49">
        <f>S136/S12</f>
        <v>0</v>
      </c>
      <c r="U136" s="61"/>
      <c r="V136" s="49">
        <f>U136/U12</f>
        <v>0</v>
      </c>
      <c r="W136" s="42"/>
      <c r="X136" s="49">
        <f>W136/W12</f>
        <v>0</v>
      </c>
      <c r="Y136" s="61"/>
      <c r="Z136" s="179">
        <f>Y136/Y12</f>
        <v>0</v>
      </c>
      <c r="AA136" s="286">
        <f t="shared" ref="AA136:AA143" si="73">C136+E136+G136+I136+K136+M136+O136+Q136+S136+U136+W136+Y136</f>
        <v>0</v>
      </c>
      <c r="AB136" s="214">
        <f>AA136/AA12</f>
        <v>0</v>
      </c>
      <c r="AC136" s="205">
        <f t="shared" si="51"/>
        <v>0</v>
      </c>
      <c r="AD136" s="214">
        <f>AC136/AC12</f>
        <v>0</v>
      </c>
      <c r="AE136" s="75"/>
      <c r="AF136" s="169"/>
      <c r="AG136" s="75"/>
      <c r="AH136" s="53">
        <f t="shared" si="71"/>
        <v>0</v>
      </c>
      <c r="AI136" s="53">
        <f t="shared" si="48"/>
        <v>0</v>
      </c>
      <c r="AJ136" s="53">
        <f t="shared" si="72"/>
        <v>0</v>
      </c>
      <c r="AK136" s="53"/>
      <c r="AQ136" s="53">
        <f t="shared" si="49"/>
        <v>0</v>
      </c>
    </row>
    <row r="137" spans="1:44">
      <c r="A137" s="2">
        <v>6502</v>
      </c>
      <c r="B137" s="115" t="s">
        <v>121</v>
      </c>
      <c r="C137" s="18">
        <v>6427.06</v>
      </c>
      <c r="D137" s="49">
        <f>C137/C12</f>
        <v>5.2560619566728549E-2</v>
      </c>
      <c r="E137" s="18">
        <v>6427.06</v>
      </c>
      <c r="F137" s="49">
        <f>E137/E12</f>
        <v>6.755849112594918E-2</v>
      </c>
      <c r="G137" s="18">
        <v>6427.06</v>
      </c>
      <c r="H137" s="49">
        <f>G137/G12</f>
        <v>4.0727877769882653E-2</v>
      </c>
      <c r="I137" s="18">
        <v>6427.06</v>
      </c>
      <c r="J137" s="49">
        <f>I137/I12</f>
        <v>4.6124736403729986E-2</v>
      </c>
      <c r="K137" s="18">
        <v>6427.06</v>
      </c>
      <c r="L137" s="49">
        <f>K137/K12</f>
        <v>5.0431491419962553E-2</v>
      </c>
      <c r="M137" s="474">
        <v>6427.06</v>
      </c>
      <c r="N137" s="49">
        <f>M137/M12</f>
        <v>3.5565573930319151E-2</v>
      </c>
      <c r="O137" s="18">
        <v>6427.06</v>
      </c>
      <c r="P137" s="49">
        <f>O137/O12</f>
        <v>5.6175932550972418E-2</v>
      </c>
      <c r="Q137" s="18">
        <v>6427.06</v>
      </c>
      <c r="R137" s="49">
        <f>Q137/Q12</f>
        <v>4.5239724923752112E-2</v>
      </c>
      <c r="S137" s="18">
        <v>6427.06</v>
      </c>
      <c r="T137" s="49">
        <f>S137/S12</f>
        <v>4.4908333942652492E-2</v>
      </c>
      <c r="U137" s="18">
        <v>6417.27</v>
      </c>
      <c r="V137" s="49">
        <f>U137/U12</f>
        <v>5.652995254369042E-2</v>
      </c>
      <c r="W137" s="18">
        <v>6417.27</v>
      </c>
      <c r="X137" s="49">
        <f>W137/W12</f>
        <v>5.5560885726255005E-2</v>
      </c>
      <c r="Y137" s="18">
        <v>6417.27</v>
      </c>
      <c r="Z137" s="179">
        <f>Y137/Y12</f>
        <v>3.6779128097711257E-2</v>
      </c>
      <c r="AA137" s="286">
        <f t="shared" si="73"/>
        <v>77095.350000000006</v>
      </c>
      <c r="AB137" s="214">
        <f>AA137/AA12</f>
        <v>4.7419894435932433E-2</v>
      </c>
      <c r="AC137" s="212">
        <f t="shared" si="51"/>
        <v>6424.6125000000002</v>
      </c>
      <c r="AD137" s="214">
        <f>AC137/AC12</f>
        <v>4.7419894435932426E-2</v>
      </c>
      <c r="AE137" s="75"/>
      <c r="AF137" s="169"/>
      <c r="AG137" s="75"/>
      <c r="AH137" s="53">
        <f t="shared" si="71"/>
        <v>0</v>
      </c>
      <c r="AI137" s="53">
        <f t="shared" si="48"/>
        <v>77095.350000000006</v>
      </c>
      <c r="AJ137" s="53">
        <f t="shared" si="72"/>
        <v>603867.56200000003</v>
      </c>
      <c r="AK137" s="53"/>
      <c r="AQ137" s="53">
        <f t="shared" si="49"/>
        <v>61764.046600000001</v>
      </c>
    </row>
    <row r="138" spans="1:44">
      <c r="A138" s="2">
        <v>6503</v>
      </c>
      <c r="B138" s="115" t="s">
        <v>122</v>
      </c>
      <c r="C138" s="18">
        <v>951.23</v>
      </c>
      <c r="D138" s="49">
        <f>C138/C12</f>
        <v>7.779177127716125E-3</v>
      </c>
      <c r="E138" s="18">
        <v>951.24</v>
      </c>
      <c r="F138" s="49">
        <f>E138/E12</f>
        <v>9.9990258529791057E-3</v>
      </c>
      <c r="G138" s="18">
        <v>951.23</v>
      </c>
      <c r="H138" s="49">
        <f>G138/G12</f>
        <v>6.0278850938135743E-3</v>
      </c>
      <c r="I138" s="18">
        <v>951.24</v>
      </c>
      <c r="J138" s="49">
        <f>I138/I12</f>
        <v>6.8267130315702845E-3</v>
      </c>
      <c r="K138" s="18">
        <v>951.23</v>
      </c>
      <c r="L138" s="49">
        <f>K138/K12</f>
        <v>7.4640578403517279E-3</v>
      </c>
      <c r="M138" s="408">
        <v>951.24</v>
      </c>
      <c r="N138" s="49">
        <f>M138/M12</f>
        <v>5.2638992860618685E-3</v>
      </c>
      <c r="O138" s="18">
        <v>951.23</v>
      </c>
      <c r="P138" s="49">
        <f>O138/O12</f>
        <v>8.3142575797427575E-3</v>
      </c>
      <c r="Q138" s="18">
        <v>951.22</v>
      </c>
      <c r="R138" s="49">
        <f>Q138/Q12</f>
        <v>6.6955857175709389E-3</v>
      </c>
      <c r="S138" s="18">
        <v>951.23</v>
      </c>
      <c r="T138" s="49">
        <f>S138/S12</f>
        <v>6.6466089465897823E-3</v>
      </c>
      <c r="U138" s="18">
        <v>951.22</v>
      </c>
      <c r="V138" s="49">
        <f>U138/U12</f>
        <v>8.3793297552711976E-3</v>
      </c>
      <c r="W138" s="18">
        <v>951.22</v>
      </c>
      <c r="X138" s="49">
        <f>W138/W12</f>
        <v>8.235686782779637E-3</v>
      </c>
      <c r="Y138" s="18">
        <v>951.22</v>
      </c>
      <c r="Z138" s="179">
        <f>Y138/Y12</f>
        <v>5.4517017717978051E-3</v>
      </c>
      <c r="AA138" s="286">
        <f t="shared" si="73"/>
        <v>11414.749999999998</v>
      </c>
      <c r="AB138" s="214">
        <f>AA138/AA12</f>
        <v>7.0209972457814847E-3</v>
      </c>
      <c r="AC138" s="212">
        <f t="shared" si="51"/>
        <v>951.22916666666652</v>
      </c>
      <c r="AD138" s="214">
        <f>AC138/AC12</f>
        <v>7.0209972457814847E-3</v>
      </c>
      <c r="AE138" s="75"/>
      <c r="AF138" s="169"/>
      <c r="AG138" s="75"/>
      <c r="AH138" s="53">
        <f t="shared" si="71"/>
        <v>0</v>
      </c>
      <c r="AI138" s="53">
        <f t="shared" si="48"/>
        <v>11414.749999999998</v>
      </c>
      <c r="AJ138" s="53">
        <f t="shared" si="72"/>
        <v>89415.432000000001</v>
      </c>
      <c r="AK138" s="53"/>
      <c r="AQ138" s="53">
        <f t="shared" si="49"/>
        <v>9141.2242000000006</v>
      </c>
      <c r="AR138" s="63">
        <f>AQ137+AQ138</f>
        <v>70905.270799999998</v>
      </c>
    </row>
    <row r="139" spans="1:44">
      <c r="A139" s="2">
        <v>6504</v>
      </c>
      <c r="B139" s="115" t="s">
        <v>123</v>
      </c>
      <c r="C139" s="25"/>
      <c r="D139" s="49">
        <f>C139/C12</f>
        <v>0</v>
      </c>
      <c r="E139" s="25"/>
      <c r="F139" s="49">
        <f>E139/E12</f>
        <v>0</v>
      </c>
      <c r="G139" s="25"/>
      <c r="H139" s="49">
        <f>G139/G12</f>
        <v>0</v>
      </c>
      <c r="I139" s="25"/>
      <c r="J139" s="49">
        <f>I139/I12</f>
        <v>0</v>
      </c>
      <c r="K139" s="25"/>
      <c r="L139" s="49">
        <f>K139/K12</f>
        <v>0</v>
      </c>
      <c r="M139" s="25"/>
      <c r="N139" s="49">
        <f>M139/M12</f>
        <v>0</v>
      </c>
      <c r="O139" s="25"/>
      <c r="P139" s="49">
        <f>O139/O12</f>
        <v>0</v>
      </c>
      <c r="Q139" s="25"/>
      <c r="R139" s="49">
        <f>Q139/Q12</f>
        <v>0</v>
      </c>
      <c r="S139" s="25"/>
      <c r="T139" s="49">
        <f>S139/S12</f>
        <v>0</v>
      </c>
      <c r="U139" s="25"/>
      <c r="V139" s="49">
        <f>U139/U12</f>
        <v>0</v>
      </c>
      <c r="W139" s="25"/>
      <c r="X139" s="49">
        <f>W139/W12</f>
        <v>0</v>
      </c>
      <c r="Y139" s="25"/>
      <c r="Z139" s="179">
        <f>Y139/Y12</f>
        <v>0</v>
      </c>
      <c r="AA139" s="286">
        <f t="shared" si="73"/>
        <v>0</v>
      </c>
      <c r="AB139" s="214">
        <f>AA139/AA12</f>
        <v>0</v>
      </c>
      <c r="AC139" s="76">
        <f t="shared" si="51"/>
        <v>0</v>
      </c>
      <c r="AD139" s="214">
        <f>AC139/AC12</f>
        <v>0</v>
      </c>
      <c r="AE139" s="75"/>
      <c r="AF139" s="169"/>
      <c r="AG139" s="75"/>
      <c r="AH139" s="53">
        <f t="shared" si="71"/>
        <v>0</v>
      </c>
      <c r="AI139" s="53">
        <f t="shared" si="48"/>
        <v>0</v>
      </c>
      <c r="AJ139" s="53">
        <f t="shared" si="72"/>
        <v>0</v>
      </c>
      <c r="AK139" s="53"/>
      <c r="AQ139" s="53">
        <f t="shared" si="49"/>
        <v>0</v>
      </c>
    </row>
    <row r="140" spans="1:44">
      <c r="A140" s="99">
        <v>6505</v>
      </c>
      <c r="B140" s="2" t="s">
        <v>124</v>
      </c>
      <c r="C140" s="25"/>
      <c r="D140" s="49">
        <f>C140/C12</f>
        <v>0</v>
      </c>
      <c r="E140" s="25"/>
      <c r="F140" s="49">
        <f>E140/E12</f>
        <v>0</v>
      </c>
      <c r="G140" s="25"/>
      <c r="H140" s="49">
        <f>G140/G12</f>
        <v>0</v>
      </c>
      <c r="I140" s="25"/>
      <c r="J140" s="49">
        <f>I140/I12</f>
        <v>0</v>
      </c>
      <c r="K140" s="25"/>
      <c r="L140" s="49">
        <f>K140/K12</f>
        <v>0</v>
      </c>
      <c r="M140" s="25"/>
      <c r="N140" s="49">
        <f>M140/M12</f>
        <v>0</v>
      </c>
      <c r="O140" s="25"/>
      <c r="P140" s="49">
        <f>O140/O12</f>
        <v>0</v>
      </c>
      <c r="Q140" s="25"/>
      <c r="R140" s="49">
        <f>Q140/Q12</f>
        <v>0</v>
      </c>
      <c r="S140" s="25"/>
      <c r="T140" s="49">
        <f>S140/S12</f>
        <v>0</v>
      </c>
      <c r="U140" s="25"/>
      <c r="V140" s="49">
        <f>U140/U12</f>
        <v>0</v>
      </c>
      <c r="W140" s="25"/>
      <c r="X140" s="49">
        <f>W140/W12</f>
        <v>0</v>
      </c>
      <c r="Y140" s="25"/>
      <c r="Z140" s="179">
        <f>Y140/Y12</f>
        <v>0</v>
      </c>
      <c r="AA140" s="286">
        <f t="shared" si="73"/>
        <v>0</v>
      </c>
      <c r="AB140" s="214">
        <f>AA140/AA12</f>
        <v>0</v>
      </c>
      <c r="AC140" s="76">
        <f t="shared" si="51"/>
        <v>0</v>
      </c>
      <c r="AD140" s="214">
        <f>AC140/AC12</f>
        <v>0</v>
      </c>
      <c r="AE140" s="75"/>
      <c r="AF140" s="169"/>
      <c r="AG140" s="75"/>
      <c r="AH140" s="53">
        <f t="shared" si="71"/>
        <v>0</v>
      </c>
      <c r="AI140" s="53">
        <f t="shared" si="48"/>
        <v>0</v>
      </c>
      <c r="AJ140" s="53">
        <f t="shared" si="72"/>
        <v>0</v>
      </c>
      <c r="AK140" s="53"/>
      <c r="AQ140" s="53">
        <f t="shared" si="49"/>
        <v>0</v>
      </c>
    </row>
    <row r="141" spans="1:44">
      <c r="A141" s="2">
        <v>6506</v>
      </c>
      <c r="B141" s="2" t="s">
        <v>212</v>
      </c>
      <c r="C141" s="140"/>
      <c r="D141" s="49">
        <f t="shared" ref="D141:AD141" si="74">C141/C$12</f>
        <v>0</v>
      </c>
      <c r="E141" s="140"/>
      <c r="F141" s="49">
        <f t="shared" si="74"/>
        <v>0</v>
      </c>
      <c r="G141" s="140"/>
      <c r="H141" s="49">
        <f t="shared" si="74"/>
        <v>0</v>
      </c>
      <c r="I141" s="140"/>
      <c r="J141" s="49">
        <f t="shared" si="74"/>
        <v>0</v>
      </c>
      <c r="K141" s="140"/>
      <c r="L141" s="49">
        <f t="shared" si="74"/>
        <v>0</v>
      </c>
      <c r="M141" s="140"/>
      <c r="N141" s="49">
        <f t="shared" si="74"/>
        <v>0</v>
      </c>
      <c r="O141" s="140"/>
      <c r="P141" s="49">
        <f t="shared" si="74"/>
        <v>0</v>
      </c>
      <c r="Q141" s="140"/>
      <c r="R141" s="49">
        <f t="shared" si="74"/>
        <v>0</v>
      </c>
      <c r="S141" s="140"/>
      <c r="T141" s="49">
        <f t="shared" si="74"/>
        <v>0</v>
      </c>
      <c r="U141" s="140"/>
      <c r="V141" s="49">
        <f t="shared" si="74"/>
        <v>0</v>
      </c>
      <c r="W141" s="140"/>
      <c r="X141" s="49">
        <f t="shared" si="74"/>
        <v>0</v>
      </c>
      <c r="Y141" s="140"/>
      <c r="Z141" s="179">
        <f t="shared" si="74"/>
        <v>0</v>
      </c>
      <c r="AA141" s="286">
        <f t="shared" si="73"/>
        <v>0</v>
      </c>
      <c r="AB141" s="214">
        <f t="shared" si="74"/>
        <v>0</v>
      </c>
      <c r="AC141" s="205">
        <f t="shared" si="51"/>
        <v>0</v>
      </c>
      <c r="AD141" s="214">
        <f t="shared" si="74"/>
        <v>0</v>
      </c>
      <c r="AE141" s="170"/>
      <c r="AF141" s="215"/>
      <c r="AG141" s="215"/>
      <c r="AH141" s="53">
        <f t="shared" si="71"/>
        <v>0</v>
      </c>
      <c r="AI141" s="53">
        <f t="shared" si="48"/>
        <v>0</v>
      </c>
      <c r="AJ141" s="1"/>
      <c r="AK141" s="1"/>
      <c r="AQ141" s="53">
        <f t="shared" si="49"/>
        <v>0</v>
      </c>
    </row>
    <row r="142" spans="1:44">
      <c r="A142" s="130">
        <v>6604</v>
      </c>
      <c r="B142" s="2" t="s">
        <v>127</v>
      </c>
      <c r="C142" s="18">
        <v>7224</v>
      </c>
      <c r="D142" s="73">
        <f>C142/C12</f>
        <v>5.9078010124387674E-2</v>
      </c>
      <c r="E142" s="18">
        <v>7224</v>
      </c>
      <c r="F142" s="73">
        <f>E142/E12</f>
        <v>7.593558172692598E-2</v>
      </c>
      <c r="G142" s="18">
        <v>7224</v>
      </c>
      <c r="H142" s="73">
        <f>G142/G12</f>
        <v>4.5778036771032517E-2</v>
      </c>
      <c r="I142" s="18">
        <v>7224</v>
      </c>
      <c r="J142" s="73">
        <f>I142/I12</f>
        <v>5.1844092910373549E-2</v>
      </c>
      <c r="K142" s="18">
        <v>7224</v>
      </c>
      <c r="L142" s="73">
        <f>K142/K12</f>
        <v>5.6684875202317929E-2</v>
      </c>
      <c r="M142" s="18">
        <v>7224</v>
      </c>
      <c r="N142" s="73">
        <f>M142/M12</f>
        <v>3.9975619656985553E-2</v>
      </c>
      <c r="O142" s="18">
        <v>7224</v>
      </c>
      <c r="P142" s="73">
        <f>O142/O12</f>
        <v>6.3141613233457405E-2</v>
      </c>
      <c r="Q142" s="18">
        <v>7224</v>
      </c>
      <c r="R142" s="73">
        <f>Q142/Q12</f>
        <v>5.0849342132979189E-2</v>
      </c>
      <c r="S142" s="18">
        <v>7224</v>
      </c>
      <c r="T142" s="73">
        <f>S142/S12</f>
        <v>5.0476859466337884E-2</v>
      </c>
      <c r="U142" s="18">
        <v>7224</v>
      </c>
      <c r="V142" s="73">
        <f>U142/U12</f>
        <v>6.3636464910408877E-2</v>
      </c>
      <c r="W142" s="18">
        <v>7224</v>
      </c>
      <c r="X142" s="73">
        <f>W142/W12</f>
        <v>6.2545574439982446E-2</v>
      </c>
      <c r="Y142" s="18">
        <v>7224</v>
      </c>
      <c r="Z142" s="228">
        <f>Y142/Y12</f>
        <v>4.1402718192917874E-2</v>
      </c>
      <c r="AA142" s="286">
        <f t="shared" si="73"/>
        <v>86688</v>
      </c>
      <c r="AB142" s="214">
        <f>AA142/AA12</f>
        <v>5.3320152367971746E-2</v>
      </c>
      <c r="AC142" s="216">
        <f t="shared" si="51"/>
        <v>7224</v>
      </c>
      <c r="AD142" s="214">
        <f>AC142/AC12</f>
        <v>5.3320152367971746E-2</v>
      </c>
      <c r="AE142" s="170"/>
      <c r="AF142" s="238"/>
      <c r="AG142" s="170"/>
      <c r="AH142" s="53">
        <f t="shared" si="71"/>
        <v>0</v>
      </c>
      <c r="AI142" s="53">
        <f t="shared" si="48"/>
        <v>86688</v>
      </c>
      <c r="AJ142" s="53">
        <f t="shared" si="72"/>
        <v>679055.99999999988</v>
      </c>
      <c r="AK142" s="53"/>
      <c r="AQ142" s="53">
        <f t="shared" si="49"/>
        <v>69422.64</v>
      </c>
    </row>
    <row r="143" spans="1:44">
      <c r="A143" s="2"/>
      <c r="B143" s="2"/>
      <c r="C143" s="136"/>
      <c r="D143" s="49">
        <f>C143/C12</f>
        <v>0</v>
      </c>
      <c r="E143" s="43"/>
      <c r="F143" s="49">
        <f>E143/E12</f>
        <v>0</v>
      </c>
      <c r="G143" s="80"/>
      <c r="H143" s="49">
        <f>G143/G12</f>
        <v>0</v>
      </c>
      <c r="I143" s="18">
        <v>0</v>
      </c>
      <c r="J143" s="49">
        <f>I143/I12</f>
        <v>0</v>
      </c>
      <c r="K143" s="43"/>
      <c r="L143" s="49">
        <f>K143/K12</f>
        <v>0</v>
      </c>
      <c r="M143" s="18"/>
      <c r="N143" s="49">
        <f>M143/M12</f>
        <v>0</v>
      </c>
      <c r="O143" s="18"/>
      <c r="P143" s="49">
        <f>O143/O12</f>
        <v>0</v>
      </c>
      <c r="Q143" s="18"/>
      <c r="R143" s="49">
        <f>Q143/Q12</f>
        <v>0</v>
      </c>
      <c r="S143" s="18"/>
      <c r="T143" s="49">
        <f>S143/S12</f>
        <v>0</v>
      </c>
      <c r="U143" s="43"/>
      <c r="V143" s="49">
        <f>U143/U12</f>
        <v>0</v>
      </c>
      <c r="W143" s="33"/>
      <c r="X143" s="49">
        <f>W143/W12</f>
        <v>0</v>
      </c>
      <c r="Y143" s="43"/>
      <c r="Z143" s="179">
        <f>Y143/Y12</f>
        <v>0</v>
      </c>
      <c r="AA143" s="286">
        <f t="shared" si="73"/>
        <v>0</v>
      </c>
      <c r="AB143" s="214">
        <f>AA143/AA12</f>
        <v>0</v>
      </c>
      <c r="AC143" s="216">
        <f t="shared" si="51"/>
        <v>0</v>
      </c>
      <c r="AD143" s="214">
        <f>AC143/AC12</f>
        <v>0</v>
      </c>
      <c r="AE143" s="170"/>
      <c r="AF143" s="238"/>
      <c r="AG143" s="170"/>
      <c r="AH143" s="53">
        <f t="shared" si="71"/>
        <v>0</v>
      </c>
      <c r="AI143" s="53">
        <f t="shared" si="48"/>
        <v>0</v>
      </c>
      <c r="AJ143" s="53">
        <f t="shared" si="72"/>
        <v>0</v>
      </c>
      <c r="AK143" s="53"/>
      <c r="AQ143" s="53">
        <f t="shared" si="49"/>
        <v>0</v>
      </c>
    </row>
    <row r="144" spans="1:44" ht="15" customHeight="1">
      <c r="A144" s="45">
        <v>6798</v>
      </c>
      <c r="B144" s="45" t="s">
        <v>196</v>
      </c>
      <c r="C144" s="58">
        <f>SUM(C136:C143)</f>
        <v>14602.29</v>
      </c>
      <c r="D144" s="66">
        <f>C144/C12</f>
        <v>0.11941780681883235</v>
      </c>
      <c r="E144" s="58">
        <f>SUM(E136:E143)</f>
        <v>14602.3</v>
      </c>
      <c r="F144" s="66">
        <f>E144/E12</f>
        <v>0.15349309870585426</v>
      </c>
      <c r="G144" s="58">
        <f>SUM(G136:G143)</f>
        <v>14602.29</v>
      </c>
      <c r="H144" s="66">
        <f>G144/G12</f>
        <v>9.2533799634728742E-2</v>
      </c>
      <c r="I144" s="58">
        <f>SUM(I136:I143)</f>
        <v>14602.3</v>
      </c>
      <c r="J144" s="66">
        <f>I144/I12</f>
        <v>0.10479554234567381</v>
      </c>
      <c r="K144" s="58">
        <f>SUM(K136:K143)</f>
        <v>14602.29</v>
      </c>
      <c r="L144" s="66">
        <f>K144/K12</f>
        <v>0.11458042446263221</v>
      </c>
      <c r="M144" s="58">
        <f>SUM(M136:M143)</f>
        <v>14602.3</v>
      </c>
      <c r="N144" s="66">
        <f>M144/M12</f>
        <v>8.0805092873366569E-2</v>
      </c>
      <c r="O144" s="58">
        <f>SUM(O136:O143)</f>
        <v>14602.29</v>
      </c>
      <c r="P144" s="66">
        <f>O144/O12</f>
        <v>0.12763180336417257</v>
      </c>
      <c r="Q144" s="58">
        <f>SUM(Q136:Q143)</f>
        <v>14602.28</v>
      </c>
      <c r="R144" s="66">
        <f>Q144/Q12</f>
        <v>0.10278465277430224</v>
      </c>
      <c r="S144" s="58">
        <f>SUM(S136:S143)</f>
        <v>14602.29</v>
      </c>
      <c r="T144" s="66">
        <f t="shared" ref="T144" si="75">S144/S$12</f>
        <v>0.10203180235558017</v>
      </c>
      <c r="U144" s="58">
        <f>SUM(U136:U143)</f>
        <v>14592.490000000002</v>
      </c>
      <c r="V144" s="66">
        <f>U144/U12</f>
        <v>0.12854574720937051</v>
      </c>
      <c r="W144" s="58">
        <f>SUM(W136:W143)</f>
        <v>14592.490000000002</v>
      </c>
      <c r="X144" s="66">
        <f>W144/W12</f>
        <v>0.1263421469490171</v>
      </c>
      <c r="Y144" s="58">
        <f>SUM(Y136:Y143)</f>
        <v>14592.490000000002</v>
      </c>
      <c r="Z144" s="224">
        <f t="shared" ref="Z144" si="76">Y144/Y$12</f>
        <v>8.3633548062426941E-2</v>
      </c>
      <c r="AA144" s="287">
        <f>SUM(AA136:AA143)</f>
        <v>175198.1</v>
      </c>
      <c r="AB144" s="241">
        <f t="shared" ref="AB144" si="77">AA144/AA$12</f>
        <v>0.10776104404968566</v>
      </c>
      <c r="AC144" s="240">
        <f t="shared" si="51"/>
        <v>14599.841666666667</v>
      </c>
      <c r="AD144" s="241">
        <f t="shared" ref="AD144" si="78">AC144/AC$12</f>
        <v>0.10776104404968566</v>
      </c>
      <c r="AE144" s="241"/>
      <c r="AF144" s="272"/>
      <c r="AG144" s="273"/>
      <c r="AH144" s="53">
        <f t="shared" si="71"/>
        <v>0</v>
      </c>
      <c r="AI144" s="53">
        <f t="shared" si="48"/>
        <v>175198.09999999998</v>
      </c>
      <c r="AJ144" s="53">
        <f t="shared" si="72"/>
        <v>1372338.9939999999</v>
      </c>
      <c r="AK144" s="53"/>
      <c r="AQ144" s="53">
        <f t="shared" si="49"/>
        <v>140327.91080000001</v>
      </c>
    </row>
    <row r="145" spans="1:44">
      <c r="A145" s="45">
        <v>6799</v>
      </c>
      <c r="B145" s="45" t="s">
        <v>119</v>
      </c>
      <c r="C145" s="29">
        <f>C41+C76+C93+C115+C129+C144+C133</f>
        <v>67741.489376648678</v>
      </c>
      <c r="D145" s="66">
        <f>C145/C12</f>
        <v>0.5539911953536476</v>
      </c>
      <c r="E145" s="85">
        <f>E41+E76+E93+E115+E129+E144+E133</f>
        <v>70308.332749401336</v>
      </c>
      <c r="F145" s="66">
        <f>E145/E12</f>
        <v>0.73905096173533646</v>
      </c>
      <c r="G145" s="85">
        <f>G41+G76+G93+G115+G129+G144+G133</f>
        <v>71622.558632110289</v>
      </c>
      <c r="H145" s="66">
        <f>G145/G12</f>
        <v>0.45386768032892821</v>
      </c>
      <c r="I145" s="29">
        <f>I41+I76+I93+I115+I129+I144+I133</f>
        <v>69854.643477499383</v>
      </c>
      <c r="J145" s="66">
        <f>I145/I12</f>
        <v>0.50132206902941545</v>
      </c>
      <c r="K145" s="85">
        <f>K41+K76+K93+K115+K129+K144+K133</f>
        <v>70470.327680496935</v>
      </c>
      <c r="L145" s="66">
        <f>K145/K12</f>
        <v>0.55296258721420533</v>
      </c>
      <c r="M145" s="29">
        <f>M41+M76+M93+M115+M129+M144+M133</f>
        <v>66890.5877914507</v>
      </c>
      <c r="N145" s="66">
        <f>M145/M12</f>
        <v>0.37015402771085748</v>
      </c>
      <c r="O145" s="29">
        <f>O41+O76+O93+O115+O129+O144+O133</f>
        <v>69065.696300732059</v>
      </c>
      <c r="P145" s="66">
        <f>O145/O12</f>
        <v>0.60367102485053337</v>
      </c>
      <c r="Q145" s="29">
        <f>Q41+Q76+Q93+Q115+Q129+Q144+Q133</f>
        <v>70947.278702046518</v>
      </c>
      <c r="R145" s="66">
        <f>Q145/Q12</f>
        <v>0.49939402659526455</v>
      </c>
      <c r="S145" s="29">
        <f>S41+S76+S93+S115+S129+S144+S133</f>
        <v>69464.307563077105</v>
      </c>
      <c r="T145" s="66">
        <f>S145/S12</f>
        <v>0.48537376672036475</v>
      </c>
      <c r="U145" s="85">
        <f>U41+U76+U93+U115+U129+U144+U133</f>
        <v>69682.625464455778</v>
      </c>
      <c r="V145" s="66">
        <f>U145/U12</f>
        <v>0.61383664870348897</v>
      </c>
      <c r="W145" s="85">
        <f>W41+W76+W93+W115+W129+W144+W133</f>
        <v>68904.956046407271</v>
      </c>
      <c r="X145" s="66">
        <f>W145/W12</f>
        <v>0.59658084962407032</v>
      </c>
      <c r="Y145" s="85">
        <f>Y41+Y76+Y93+Y115+Y129+Y144+Y133</f>
        <v>71279.044649078525</v>
      </c>
      <c r="Z145" s="224">
        <f>Y145/Y12</f>
        <v>0.40851968420074874</v>
      </c>
      <c r="AA145" s="211">
        <f>AA41+AA76+AA93+AA115+AA129+AA144+AA133</f>
        <v>836231.84843340435</v>
      </c>
      <c r="AB145" s="245">
        <f>AA145/AA12</f>
        <v>0.51435042420427013</v>
      </c>
      <c r="AC145" s="211">
        <f t="shared" si="51"/>
        <v>69685.987369450362</v>
      </c>
      <c r="AD145" s="245">
        <f>AC145/AC12</f>
        <v>0.51435042420427013</v>
      </c>
      <c r="AE145" s="75"/>
      <c r="AF145" s="169"/>
      <c r="AG145" s="75"/>
      <c r="AH145" s="53">
        <f t="shared" si="71"/>
        <v>0</v>
      </c>
      <c r="AI145" s="53">
        <f t="shared" si="48"/>
        <v>836231.84843340446</v>
      </c>
      <c r="AJ145" s="53">
        <f t="shared" si="72"/>
        <v>6562911.0472891331</v>
      </c>
      <c r="AK145" s="53">
        <f>AC145*9.61</f>
        <v>669682.33862041798</v>
      </c>
      <c r="AL145" s="1" t="s">
        <v>227</v>
      </c>
      <c r="AQ145" s="53">
        <f t="shared" si="49"/>
        <v>681803.34832666698</v>
      </c>
      <c r="AR145" s="63">
        <f>AQ145-AQ142</f>
        <v>612380.70832666697</v>
      </c>
    </row>
    <row r="146" spans="1:44" ht="15.75" thickBot="1">
      <c r="A146" s="10">
        <v>6999</v>
      </c>
      <c r="B146" s="10" t="s">
        <v>126</v>
      </c>
      <c r="C146" s="28">
        <f>C135-C144</f>
        <v>-10014.117676648679</v>
      </c>
      <c r="D146" s="67">
        <f>C146/C12</f>
        <v>-8.1895645831652847E-2</v>
      </c>
      <c r="E146" s="59">
        <f>E135-E144</f>
        <v>-20740.360464780497</v>
      </c>
      <c r="F146" s="165">
        <f>E146/E12</f>
        <v>-0.21801375098549886</v>
      </c>
      <c r="G146" s="59">
        <f>G135-G144</f>
        <v>2883.710960450815</v>
      </c>
      <c r="H146" s="67">
        <f>G146/G12</f>
        <v>1.8273896232633847E-2</v>
      </c>
      <c r="I146" s="22">
        <f>I135-I144</f>
        <v>5364.4157973703332</v>
      </c>
      <c r="J146" s="67">
        <f>I146/I12</f>
        <v>3.8498514812948942E-2</v>
      </c>
      <c r="K146" s="41">
        <f>K135-K144</f>
        <v>4618.6349912580663</v>
      </c>
      <c r="L146" s="67">
        <f>K146/K12</f>
        <v>3.6241244197746714E-2</v>
      </c>
      <c r="M146" s="22">
        <f>M135-M144</f>
        <v>12759.514866862326</v>
      </c>
      <c r="N146" s="67">
        <f>M146/M12</f>
        <v>7.0607629197860039E-2</v>
      </c>
      <c r="O146" s="22">
        <f>O135-O144</f>
        <v>-12080.445601394757</v>
      </c>
      <c r="P146" s="67">
        <f>O146/O12</f>
        <v>-0.10558953818536675</v>
      </c>
      <c r="Q146" s="46">
        <f>Q135-Q144</f>
        <v>3811.6504598154879</v>
      </c>
      <c r="R146" s="67">
        <f>Q146/Q12</f>
        <v>2.6829999767785877E-2</v>
      </c>
      <c r="S146" s="22">
        <f>S135-S144</f>
        <v>-5602.7339114307051</v>
      </c>
      <c r="T146" s="67">
        <f>S146/S12</f>
        <v>-3.9148451311541155E-2</v>
      </c>
      <c r="U146" s="41">
        <f>U135-U144</f>
        <v>-15853.823170050789</v>
      </c>
      <c r="V146" s="67">
        <f>U146/U12</f>
        <v>-0.13965687456488984</v>
      </c>
      <c r="W146" s="50">
        <f>W135-W144</f>
        <v>-1847.6846376425492</v>
      </c>
      <c r="X146" s="67">
        <f>W146/W12</f>
        <v>-1.5997300255437993E-2</v>
      </c>
      <c r="Y146" s="41">
        <f>Y135-Y144</f>
        <v>11574.571774394772</v>
      </c>
      <c r="Z146" s="225">
        <f>Y146/Y12</f>
        <v>6.6337033967188277E-2</v>
      </c>
      <c r="AA146" s="290">
        <f>AA135-AA144</f>
        <v>-25126.666611796129</v>
      </c>
      <c r="AB146" s="247">
        <f>AA146/AA12</f>
        <v>-1.5454938310264371E-2</v>
      </c>
      <c r="AC146" s="290">
        <f t="shared" si="51"/>
        <v>-2093.888884316344</v>
      </c>
      <c r="AD146" s="247">
        <f>AC146/AC12</f>
        <v>-1.5454938310264371E-2</v>
      </c>
      <c r="AE146" s="271"/>
      <c r="AF146" s="270"/>
      <c r="AG146" s="271"/>
      <c r="AH146" s="53">
        <f t="shared" si="71"/>
        <v>4.7293724492192268E-11</v>
      </c>
      <c r="AI146" s="53">
        <f t="shared" si="48"/>
        <v>-25126.666611796176</v>
      </c>
      <c r="AJ146" s="53">
        <f t="shared" si="72"/>
        <v>52901.428378550212</v>
      </c>
      <c r="AK146" s="53"/>
      <c r="AQ146" s="53">
        <f t="shared" si="49"/>
        <v>36629.960918826837</v>
      </c>
    </row>
    <row r="147" spans="1:44" ht="15.75" thickTop="1">
      <c r="A147" s="1"/>
      <c r="B147" s="1"/>
      <c r="C147" s="30"/>
      <c r="D147" s="72"/>
      <c r="E147" s="62"/>
      <c r="F147" s="72"/>
      <c r="G147" s="87"/>
      <c r="H147" s="72"/>
      <c r="I147" s="25"/>
      <c r="J147" s="72"/>
      <c r="K147" s="62"/>
      <c r="L147" s="72"/>
      <c r="M147" s="25"/>
      <c r="N147" s="72"/>
      <c r="O147" s="25"/>
      <c r="P147" s="72"/>
      <c r="Q147" s="25"/>
      <c r="R147" s="72"/>
      <c r="S147" s="25"/>
      <c r="T147" s="72"/>
      <c r="U147" s="62"/>
      <c r="V147" s="72"/>
      <c r="W147" s="44"/>
      <c r="X147" s="72"/>
      <c r="Y147" s="62"/>
      <c r="Z147" s="107"/>
      <c r="AA147" s="204"/>
      <c r="AB147" s="213"/>
      <c r="AC147" s="208">
        <f t="shared" si="51"/>
        <v>0</v>
      </c>
      <c r="AD147" s="213"/>
      <c r="AE147" s="170"/>
      <c r="AF147" s="238"/>
      <c r="AG147" s="170"/>
      <c r="AH147" s="53">
        <f t="shared" si="71"/>
        <v>0</v>
      </c>
      <c r="AI147" s="53">
        <f t="shared" si="48"/>
        <v>0</v>
      </c>
      <c r="AJ147" s="53">
        <f t="shared" si="72"/>
        <v>0</v>
      </c>
      <c r="AK147" s="53"/>
      <c r="AQ147" s="53">
        <f t="shared" si="49"/>
        <v>0</v>
      </c>
    </row>
    <row r="148" spans="1:44" ht="15.75" thickBot="1">
      <c r="A148" s="196"/>
      <c r="B148" s="10" t="s">
        <v>220</v>
      </c>
      <c r="C148" s="197"/>
      <c r="D148" s="198">
        <f t="shared" ref="D148" si="79">C148/C$12</f>
        <v>0</v>
      </c>
      <c r="E148" s="197"/>
      <c r="F148" s="198">
        <f t="shared" ref="F148" si="80">E148/E$12</f>
        <v>0</v>
      </c>
      <c r="G148" s="303"/>
      <c r="H148" s="198">
        <f t="shared" ref="H148" si="81">G148/G$12</f>
        <v>0</v>
      </c>
      <c r="I148" s="197"/>
      <c r="J148" s="198">
        <f t="shared" ref="J148" si="82">I148/I$12</f>
        <v>0</v>
      </c>
      <c r="K148" s="197"/>
      <c r="L148" s="198">
        <f t="shared" ref="L148" si="83">K148/K$12</f>
        <v>0</v>
      </c>
      <c r="M148" s="197"/>
      <c r="N148" s="198">
        <f t="shared" ref="N148" si="84">M148/M$12</f>
        <v>0</v>
      </c>
      <c r="O148" s="197"/>
      <c r="P148" s="198">
        <f t="shared" ref="P148" si="85">O148/O$12</f>
        <v>0</v>
      </c>
      <c r="Q148" s="197"/>
      <c r="R148" s="198">
        <f t="shared" ref="R148" si="86">Q148/Q$12</f>
        <v>0</v>
      </c>
      <c r="S148" s="197"/>
      <c r="T148" s="198">
        <f t="shared" ref="T148" si="87">S148/S$12</f>
        <v>0</v>
      </c>
      <c r="U148" s="197"/>
      <c r="V148" s="198">
        <f t="shared" ref="V148" si="88">U148/U$12</f>
        <v>0</v>
      </c>
      <c r="W148" s="197"/>
      <c r="X148" s="198">
        <f t="shared" ref="X148" si="89">W148/W$12</f>
        <v>0</v>
      </c>
      <c r="Y148" s="197"/>
      <c r="Z148" s="229">
        <f t="shared" ref="Z148" si="90">Y148/Y$12</f>
        <v>0</v>
      </c>
      <c r="AA148" s="290">
        <f t="shared" ref="AA148:AA150" si="91">C148+E148+G148+I148+K148+M148+O148+Q148+S148+U148+W148+Y148</f>
        <v>0</v>
      </c>
      <c r="AB148" s="252">
        <f t="shared" ref="AB148" si="92">AA148/AA$12</f>
        <v>0</v>
      </c>
      <c r="AC148" s="218">
        <f t="shared" si="51"/>
        <v>0</v>
      </c>
      <c r="AD148" s="252">
        <f t="shared" ref="AD148" si="93">AC148/AC$12</f>
        <v>0</v>
      </c>
      <c r="AE148" s="75"/>
      <c r="AF148" s="76"/>
      <c r="AG148" s="76"/>
      <c r="AH148" s="53">
        <f t="shared" si="71"/>
        <v>0</v>
      </c>
      <c r="AI148" s="53">
        <f t="shared" si="48"/>
        <v>0</v>
      </c>
      <c r="AJ148" s="1"/>
      <c r="AK148" s="1"/>
      <c r="AQ148" s="53">
        <f t="shared" si="49"/>
        <v>0</v>
      </c>
    </row>
    <row r="149" spans="1:44" ht="15.75" thickTop="1">
      <c r="A149" s="1"/>
      <c r="B149" s="269"/>
      <c r="C149" s="136"/>
      <c r="D149" s="49"/>
      <c r="E149" s="136"/>
      <c r="F149" s="70"/>
      <c r="G149" s="136"/>
      <c r="H149" s="70"/>
      <c r="I149" s="136"/>
      <c r="J149" s="70"/>
      <c r="K149" s="136"/>
      <c r="L149" s="70"/>
      <c r="M149" s="136"/>
      <c r="N149" s="70"/>
      <c r="O149" s="136"/>
      <c r="P149" s="70"/>
      <c r="Q149" s="136"/>
      <c r="R149" s="70"/>
      <c r="S149" s="136"/>
      <c r="T149" s="70"/>
      <c r="U149" s="136"/>
      <c r="V149" s="70"/>
      <c r="W149" s="136"/>
      <c r="X149" s="70"/>
      <c r="Y149" s="136"/>
      <c r="AA149" s="204"/>
      <c r="AB149" s="213"/>
      <c r="AC149" s="170">
        <f t="shared" si="51"/>
        <v>0</v>
      </c>
      <c r="AD149" s="213"/>
      <c r="AE149" s="170"/>
      <c r="AF149" s="215"/>
      <c r="AG149" s="215"/>
      <c r="AH149" s="53">
        <f t="shared" si="71"/>
        <v>0</v>
      </c>
      <c r="AI149" s="53">
        <f t="shared" si="48"/>
        <v>0</v>
      </c>
      <c r="AJ149" s="1"/>
      <c r="AK149" s="1"/>
      <c r="AQ149" s="53">
        <f t="shared" ref="AQ149:AQ152" si="94">Q149*9.61</f>
        <v>0</v>
      </c>
    </row>
    <row r="150" spans="1:44" ht="15.75" thickBot="1">
      <c r="A150" s="196"/>
      <c r="B150" s="10" t="s">
        <v>215</v>
      </c>
      <c r="C150" s="197"/>
      <c r="D150" s="198">
        <f t="shared" ref="D150" si="95">C150/C$12</f>
        <v>0</v>
      </c>
      <c r="E150" s="197">
        <v>0</v>
      </c>
      <c r="F150" s="198">
        <f t="shared" ref="F150" si="96">E150/E$12</f>
        <v>0</v>
      </c>
      <c r="G150" s="197"/>
      <c r="H150" s="198">
        <f t="shared" ref="H150" si="97">G150/G$12</f>
        <v>0</v>
      </c>
      <c r="I150" s="197">
        <v>0</v>
      </c>
      <c r="J150" s="198">
        <f t="shared" ref="J150" si="98">I150/I$12</f>
        <v>0</v>
      </c>
      <c r="K150" s="197">
        <v>0</v>
      </c>
      <c r="L150" s="198">
        <f t="shared" ref="L150" si="99">K150/K$12</f>
        <v>0</v>
      </c>
      <c r="M150" s="197">
        <v>0</v>
      </c>
      <c r="N150" s="198">
        <f t="shared" ref="N150" si="100">M150/M$12</f>
        <v>0</v>
      </c>
      <c r="O150" s="197">
        <v>0</v>
      </c>
      <c r="P150" s="198">
        <f t="shared" ref="P150" si="101">O150/O$12</f>
        <v>0</v>
      </c>
      <c r="Q150" s="197">
        <v>0</v>
      </c>
      <c r="R150" s="198">
        <f t="shared" ref="R150" si="102">Q150/Q$12</f>
        <v>0</v>
      </c>
      <c r="S150" s="197">
        <v>0</v>
      </c>
      <c r="T150" s="198">
        <v>0</v>
      </c>
      <c r="U150" s="197">
        <v>0</v>
      </c>
      <c r="V150" s="198">
        <f t="shared" ref="V150" si="103">U150/U$12</f>
        <v>0</v>
      </c>
      <c r="W150" s="197">
        <v>0</v>
      </c>
      <c r="X150" s="198">
        <f t="shared" ref="X150" si="104">W150/W$12</f>
        <v>0</v>
      </c>
      <c r="Y150" s="197">
        <v>0</v>
      </c>
      <c r="Z150" s="229">
        <f t="shared" ref="Z150" si="105">Y150/Y$12</f>
        <v>0</v>
      </c>
      <c r="AA150" s="290">
        <f t="shared" si="91"/>
        <v>0</v>
      </c>
      <c r="AB150" s="252">
        <f t="shared" ref="AB150" si="106">AA150/AA$12</f>
        <v>0</v>
      </c>
      <c r="AC150" s="218">
        <f t="shared" ref="AC150:AC152" si="107">AA150/12</f>
        <v>0</v>
      </c>
      <c r="AD150" s="252">
        <f t="shared" ref="AD150" si="108">AC150/AC$12</f>
        <v>0</v>
      </c>
      <c r="AE150" s="75"/>
      <c r="AF150" s="76"/>
      <c r="AG150" s="76"/>
      <c r="AH150" s="53">
        <f t="shared" si="71"/>
        <v>0</v>
      </c>
      <c r="AI150" s="53">
        <f t="shared" ref="AI150:AI152" si="109">C150+E150+G150+I150+K150+M150+O150+Q150+S150+U150+W150+Y150</f>
        <v>0</v>
      </c>
      <c r="AJ150" s="1"/>
      <c r="AK150" s="1"/>
      <c r="AQ150" s="53">
        <f t="shared" si="94"/>
        <v>0</v>
      </c>
    </row>
    <row r="151" spans="1:44" ht="15.75" thickTop="1">
      <c r="A151" s="1"/>
      <c r="B151" s="65"/>
      <c r="C151" s="136"/>
      <c r="D151" s="49"/>
      <c r="E151" s="136"/>
      <c r="F151" s="70"/>
      <c r="G151" s="136"/>
      <c r="H151" s="70"/>
      <c r="I151" s="136"/>
      <c r="J151" s="70"/>
      <c r="K151" s="136"/>
      <c r="L151" s="70"/>
      <c r="M151" s="136"/>
      <c r="N151" s="70"/>
      <c r="O151" s="136"/>
      <c r="P151" s="70"/>
      <c r="Q151" s="136"/>
      <c r="R151" s="70"/>
      <c r="S151" s="136"/>
      <c r="T151" s="70"/>
      <c r="U151" s="136"/>
      <c r="V151" s="70"/>
      <c r="W151" s="136"/>
      <c r="X151" s="72"/>
      <c r="Y151" s="136"/>
      <c r="Z151" s="107"/>
      <c r="AA151" s="204"/>
      <c r="AB151" s="213"/>
      <c r="AC151" s="170">
        <f t="shared" si="107"/>
        <v>0</v>
      </c>
      <c r="AD151" s="213"/>
      <c r="AE151" s="170"/>
      <c r="AF151" s="215"/>
      <c r="AG151" s="215"/>
      <c r="AH151" s="53">
        <f t="shared" si="71"/>
        <v>0</v>
      </c>
      <c r="AI151" s="53">
        <f t="shared" si="109"/>
        <v>0</v>
      </c>
      <c r="AJ151" s="1"/>
      <c r="AK151" s="1"/>
      <c r="AQ151" s="53">
        <f t="shared" si="94"/>
        <v>0</v>
      </c>
    </row>
    <row r="152" spans="1:44" ht="15.75" thickBot="1">
      <c r="A152" s="110"/>
      <c r="B152" s="199" t="s">
        <v>214</v>
      </c>
      <c r="C152" s="302">
        <f>C146-C148-C150</f>
        <v>-10014.117676648679</v>
      </c>
      <c r="D152" s="124">
        <f t="shared" ref="D152:F152" si="110">C152/C$12</f>
        <v>-8.1895645831652847E-2</v>
      </c>
      <c r="E152" s="302">
        <f>E146-E148-E150</f>
        <v>-20740.360464780497</v>
      </c>
      <c r="F152" s="124">
        <f t="shared" si="110"/>
        <v>-0.21801375098549886</v>
      </c>
      <c r="G152" s="302">
        <f>G146-G148-G150</f>
        <v>2883.710960450815</v>
      </c>
      <c r="H152" s="124">
        <f t="shared" ref="H152" si="111">G152/G$12</f>
        <v>1.8273896232633847E-2</v>
      </c>
      <c r="I152" s="302">
        <f>I146-I148-I150</f>
        <v>5364.4157973703332</v>
      </c>
      <c r="J152" s="124">
        <f t="shared" ref="J152" si="112">I152/I$12</f>
        <v>3.8498514812948942E-2</v>
      </c>
      <c r="K152" s="200">
        <f>K146-K148-K150</f>
        <v>4618.6349912580663</v>
      </c>
      <c r="L152" s="124">
        <f t="shared" ref="L152" si="113">K152/K$12</f>
        <v>3.6241244197746714E-2</v>
      </c>
      <c r="M152" s="200">
        <f>M146-M148-M150</f>
        <v>12759.514866862326</v>
      </c>
      <c r="N152" s="124">
        <f t="shared" ref="N152" si="114">M152/M$12</f>
        <v>7.0607629197860039E-2</v>
      </c>
      <c r="O152" s="200">
        <f>O146-O148-O150</f>
        <v>-12080.445601394757</v>
      </c>
      <c r="P152" s="124">
        <f t="shared" ref="P152" si="115">O152/O$12</f>
        <v>-0.10558953818536675</v>
      </c>
      <c r="Q152" s="200">
        <f>Q146-Q148-Q150</f>
        <v>3811.6504598154879</v>
      </c>
      <c r="R152" s="124">
        <f t="shared" ref="R152" si="116">Q152/Q$12</f>
        <v>2.6829999767785877E-2</v>
      </c>
      <c r="S152" s="200">
        <f>S146-S148-S150</f>
        <v>-5602.7339114307051</v>
      </c>
      <c r="T152" s="124">
        <f t="shared" ref="T152" si="117">S152/S$12</f>
        <v>-3.9148451311541155E-2</v>
      </c>
      <c r="U152" s="200">
        <f>U146-U148-U150</f>
        <v>-15853.823170050789</v>
      </c>
      <c r="V152" s="124">
        <f t="shared" ref="V152" si="118">U152/U$12</f>
        <v>-0.13965687456488984</v>
      </c>
      <c r="W152" s="200">
        <f>W146-W148-W150</f>
        <v>-1847.6846376425492</v>
      </c>
      <c r="X152" s="124">
        <f t="shared" ref="X152" si="119">W152/W$12</f>
        <v>-1.5997300255437993E-2</v>
      </c>
      <c r="Y152" s="200">
        <f>Y146-Y148-Y150</f>
        <v>11574.571774394772</v>
      </c>
      <c r="Z152" s="230">
        <f t="shared" ref="Z152" si="120">Y152/Y$12</f>
        <v>6.6337033967188277E-2</v>
      </c>
      <c r="AA152" s="291">
        <f>AA146-AA148-AA150</f>
        <v>-25126.666611796129</v>
      </c>
      <c r="AB152" s="264">
        <f t="shared" ref="AB152" si="121">AA152/AA$12</f>
        <v>-1.5454938310264371E-2</v>
      </c>
      <c r="AC152" s="265">
        <f t="shared" si="107"/>
        <v>-2093.888884316344</v>
      </c>
      <c r="AD152" s="264">
        <f t="shared" ref="AD152" si="122">AC152/AC$12</f>
        <v>-1.5454938310264371E-2</v>
      </c>
      <c r="AE152" s="266"/>
      <c r="AF152" s="267"/>
      <c r="AG152" s="267"/>
      <c r="AH152" s="53">
        <f t="shared" si="71"/>
        <v>4.7293724492192268E-11</v>
      </c>
      <c r="AI152" s="53">
        <f t="shared" si="109"/>
        <v>-25126.666611796176</v>
      </c>
      <c r="AJ152" s="1"/>
      <c r="AK152" s="1"/>
      <c r="AQ152" s="53">
        <f t="shared" si="94"/>
        <v>36629.960918826837</v>
      </c>
    </row>
    <row r="153" spans="1:44" ht="15.75" thickTop="1">
      <c r="Z153" s="322" t="s">
        <v>227</v>
      </c>
      <c r="AA153" s="312">
        <f>AA152*9.61</f>
        <v>-241467.26613936079</v>
      </c>
      <c r="AB153" s="313"/>
      <c r="AC153" s="312">
        <f>AC152*9.61</f>
        <v>-20122.272178280065</v>
      </c>
    </row>
    <row r="154" spans="1:44">
      <c r="A154" s="1"/>
      <c r="B154" s="64" t="s">
        <v>216</v>
      </c>
      <c r="C154" s="63">
        <f>C152</f>
        <v>-10014.117676648679</v>
      </c>
      <c r="D154" s="15"/>
      <c r="E154" s="63">
        <f>E152+C154</f>
        <v>-30754.478141429176</v>
      </c>
      <c r="F154" s="201"/>
      <c r="G154" s="301">
        <f>G152+E154</f>
        <v>-27870.767180978361</v>
      </c>
      <c r="H154" s="201"/>
      <c r="I154" s="63">
        <f>I152+G154</f>
        <v>-22506.351383608027</v>
      </c>
      <c r="J154" s="201"/>
      <c r="K154" s="63">
        <f>K152+I154</f>
        <v>-17887.716392349961</v>
      </c>
      <c r="L154" s="201"/>
      <c r="M154" s="63">
        <f>M152+K154</f>
        <v>-5128.2015254876351</v>
      </c>
      <c r="N154" s="201"/>
      <c r="O154" s="63">
        <f>O152+M154</f>
        <v>-17208.647126882392</v>
      </c>
      <c r="P154" s="201"/>
      <c r="Q154" s="63">
        <f>Q152+O154</f>
        <v>-13396.996667066904</v>
      </c>
      <c r="R154" s="201"/>
      <c r="S154" s="63">
        <f>S152+Q154</f>
        <v>-18999.730578497609</v>
      </c>
      <c r="T154" s="201"/>
      <c r="U154" s="63">
        <f>U152+S154</f>
        <v>-34853.553748548395</v>
      </c>
      <c r="V154" s="201"/>
      <c r="W154" s="63">
        <f>W152+U154</f>
        <v>-36701.238386190947</v>
      </c>
      <c r="X154" s="201"/>
      <c r="Y154" s="63"/>
      <c r="Z154" s="292"/>
      <c r="AA154" s="128"/>
      <c r="AH154" s="1"/>
      <c r="AI154" s="202"/>
      <c r="AJ154" s="202">
        <f t="shared" ref="AJ154" si="123">C154*0.985+E154*0.985+G154*0.985+I154*0.985+K154*0.985+M154*0.985+O154*0.985+Q154*0.985+S154*0.985+U154*0.985+W154*0.985+Y154*0.985</f>
        <v>-231791.97182557275</v>
      </c>
      <c r="AK154" s="202"/>
    </row>
    <row r="155" spans="1:44">
      <c r="O155" s="24">
        <v>31529.52</v>
      </c>
      <c r="AA155" s="128"/>
    </row>
    <row r="156" spans="1:44">
      <c r="C156" s="24">
        <f>C154*9.61</f>
        <v>-96235.670872593793</v>
      </c>
      <c r="E156" s="24">
        <f>E154*9.61</f>
        <v>-295550.53493913438</v>
      </c>
      <c r="G156" s="24">
        <f>G154*9.61</f>
        <v>-267838.072609202</v>
      </c>
      <c r="I156" s="24">
        <f>I154*9.61</f>
        <v>-216286.03679647314</v>
      </c>
      <c r="K156" s="24">
        <f>K154*9.61</f>
        <v>-171900.95453048311</v>
      </c>
      <c r="M156" s="24">
        <f>M154*9.61</f>
        <v>-49282.016659936169</v>
      </c>
      <c r="O156" s="24">
        <f>O154*9.61</f>
        <v>-165375.09888933977</v>
      </c>
      <c r="Q156" s="24">
        <f>Q154*9.61</f>
        <v>-128745.13797051294</v>
      </c>
      <c r="S156" s="24">
        <f>S154*9.61</f>
        <v>-182587.41085936202</v>
      </c>
      <c r="U156" s="24">
        <f>U154*9.61</f>
        <v>-334942.65152355004</v>
      </c>
      <c r="W156" s="24">
        <f>W154*9.61</f>
        <v>-352698.90089129499</v>
      </c>
      <c r="AA156" s="24"/>
    </row>
    <row r="157" spans="1:44">
      <c r="E157" s="317"/>
      <c r="I157" s="24" t="s">
        <v>221</v>
      </c>
      <c r="AA157" s="128"/>
    </row>
    <row r="158" spans="1:44">
      <c r="I158" s="24" t="s">
        <v>221</v>
      </c>
    </row>
    <row r="159" spans="1:44">
      <c r="C159" s="25"/>
      <c r="I159" s="24">
        <f>I36*9.61</f>
        <v>616210.41376016499</v>
      </c>
      <c r="M159" s="24">
        <f>M36*9.61</f>
        <v>971187.00097093591</v>
      </c>
      <c r="O159" s="24">
        <f>O36*9.61</f>
        <v>551846.97501703957</v>
      </c>
    </row>
    <row r="160" spans="1:44" s="105" customFormat="1" hidden="1">
      <c r="B160" s="305" t="s">
        <v>126</v>
      </c>
      <c r="C160" s="25"/>
      <c r="D160" s="306"/>
      <c r="E160" s="306"/>
      <c r="F160" s="306"/>
      <c r="G160" s="306"/>
      <c r="H160" s="306"/>
      <c r="I160" s="306">
        <f>I152</f>
        <v>5364.4157973703332</v>
      </c>
      <c r="J160" s="306"/>
      <c r="K160" s="306">
        <f>K152</f>
        <v>4618.6349912580663</v>
      </c>
      <c r="L160" s="306"/>
      <c r="M160" s="306">
        <f>M152</f>
        <v>12759.514866862326</v>
      </c>
      <c r="N160" s="306"/>
      <c r="O160" s="306">
        <f>O152</f>
        <v>-12080.445601394757</v>
      </c>
      <c r="P160" s="306"/>
      <c r="Q160" s="306">
        <f>Q152</f>
        <v>3811.6504598154879</v>
      </c>
      <c r="R160" s="306"/>
      <c r="S160" s="306">
        <f>S152</f>
        <v>-5602.7339114307051</v>
      </c>
      <c r="T160" s="306"/>
      <c r="U160" s="306">
        <f>U152</f>
        <v>-15853.823170050789</v>
      </c>
      <c r="V160" s="306"/>
      <c r="W160" s="306">
        <f>W152</f>
        <v>-1847.6846376425492</v>
      </c>
      <c r="X160" s="306"/>
      <c r="Y160" s="306">
        <f>Y152</f>
        <v>11574.571774394772</v>
      </c>
      <c r="Z160" s="306"/>
      <c r="AA160" s="306">
        <f>AA152</f>
        <v>-25126.666611796129</v>
      </c>
      <c r="AB160" s="306"/>
      <c r="AC160" s="306">
        <f>AC152</f>
        <v>-2093.888884316344</v>
      </c>
      <c r="AD160" s="306"/>
    </row>
    <row r="161" spans="2:30" s="105" customFormat="1" hidden="1">
      <c r="C161" s="106"/>
      <c r="D161" s="228"/>
      <c r="E161" s="106"/>
      <c r="F161" s="107"/>
      <c r="G161" s="106"/>
      <c r="H161" s="107"/>
      <c r="I161" s="106"/>
      <c r="J161" s="107"/>
      <c r="K161" s="106"/>
      <c r="L161" s="107"/>
      <c r="M161" s="106"/>
      <c r="N161" s="107"/>
      <c r="O161" s="106"/>
      <c r="P161" s="107"/>
      <c r="Q161" s="106"/>
      <c r="R161" s="107"/>
      <c r="S161" s="106"/>
      <c r="T161" s="107"/>
      <c r="U161" s="106"/>
      <c r="V161" s="107"/>
      <c r="W161" s="106"/>
      <c r="X161" s="107"/>
      <c r="Y161" s="106"/>
      <c r="Z161" s="107"/>
      <c r="AA161" s="104"/>
      <c r="AB161" s="108"/>
      <c r="AC161" s="104"/>
      <c r="AD161" s="108"/>
    </row>
    <row r="162" spans="2:30" s="105" customFormat="1" hidden="1">
      <c r="B162" s="105" t="s">
        <v>222</v>
      </c>
      <c r="C162" s="106"/>
      <c r="D162" s="228"/>
      <c r="E162" s="106"/>
      <c r="F162" s="107"/>
      <c r="G162" s="106"/>
      <c r="H162" s="107"/>
      <c r="I162" s="106">
        <f>I150</f>
        <v>0</v>
      </c>
      <c r="J162" s="107"/>
      <c r="K162" s="106">
        <f>K150</f>
        <v>0</v>
      </c>
      <c r="L162" s="107"/>
      <c r="M162" s="106">
        <f>M150</f>
        <v>0</v>
      </c>
      <c r="N162" s="107"/>
      <c r="O162" s="106">
        <f>O150</f>
        <v>0</v>
      </c>
      <c r="P162" s="107"/>
      <c r="Q162" s="106">
        <f>Q150</f>
        <v>0</v>
      </c>
      <c r="R162" s="107"/>
      <c r="S162" s="106">
        <f>S150</f>
        <v>0</v>
      </c>
      <c r="T162" s="107"/>
      <c r="U162" s="106">
        <f>U150</f>
        <v>0</v>
      </c>
      <c r="V162" s="107"/>
      <c r="W162" s="106">
        <f>W150</f>
        <v>0</v>
      </c>
      <c r="X162" s="107"/>
      <c r="Y162" s="106">
        <f>Y150</f>
        <v>0</v>
      </c>
      <c r="Z162" s="107"/>
      <c r="AA162" s="106">
        <f>AA150</f>
        <v>0</v>
      </c>
      <c r="AB162" s="108"/>
      <c r="AC162" s="106">
        <f>AC150</f>
        <v>0</v>
      </c>
      <c r="AD162" s="108"/>
    </row>
    <row r="163" spans="2:30" s="105" customFormat="1" hidden="1">
      <c r="C163" s="106"/>
      <c r="D163" s="228"/>
      <c r="E163" s="106"/>
      <c r="F163" s="107"/>
      <c r="G163" s="106"/>
      <c r="H163" s="107"/>
      <c r="I163" s="106"/>
      <c r="J163" s="107"/>
      <c r="K163" s="106"/>
      <c r="L163" s="107"/>
      <c r="M163" s="106"/>
      <c r="N163" s="107"/>
      <c r="O163" s="106"/>
      <c r="P163" s="107"/>
      <c r="Q163" s="106"/>
      <c r="R163" s="107"/>
      <c r="S163" s="106"/>
      <c r="T163" s="107"/>
      <c r="U163" s="106"/>
      <c r="V163" s="107"/>
      <c r="W163" s="106"/>
      <c r="X163" s="107"/>
      <c r="Y163" s="106"/>
      <c r="Z163" s="107"/>
      <c r="AA163" s="104"/>
      <c r="AB163" s="108"/>
      <c r="AC163" s="104"/>
      <c r="AD163" s="108"/>
    </row>
    <row r="164" spans="2:30" s="105" customFormat="1" hidden="1">
      <c r="B164" s="105" t="s">
        <v>223</v>
      </c>
      <c r="C164" s="106"/>
      <c r="D164" s="106"/>
      <c r="E164" s="106"/>
      <c r="F164" s="106"/>
      <c r="G164" s="106"/>
      <c r="H164" s="106"/>
      <c r="I164" s="106">
        <f>I142</f>
        <v>7224</v>
      </c>
      <c r="J164" s="106"/>
      <c r="K164" s="106">
        <f>K142</f>
        <v>7224</v>
      </c>
      <c r="L164" s="106"/>
      <c r="M164" s="106">
        <f>M142</f>
        <v>7224</v>
      </c>
      <c r="N164" s="106"/>
      <c r="O164" s="106">
        <f>O142</f>
        <v>7224</v>
      </c>
      <c r="P164" s="106"/>
      <c r="Q164" s="106">
        <f>Q142</f>
        <v>7224</v>
      </c>
      <c r="R164" s="106"/>
      <c r="S164" s="106">
        <f>S142</f>
        <v>7224</v>
      </c>
      <c r="T164" s="106"/>
      <c r="U164" s="106">
        <f>U142</f>
        <v>7224</v>
      </c>
      <c r="V164" s="106"/>
      <c r="W164" s="106">
        <f>W142</f>
        <v>7224</v>
      </c>
      <c r="X164" s="106"/>
      <c r="Y164" s="106">
        <f>Y142</f>
        <v>7224</v>
      </c>
      <c r="Z164" s="106"/>
      <c r="AA164" s="106">
        <f>AA142</f>
        <v>86688</v>
      </c>
      <c r="AB164" s="106"/>
      <c r="AC164" s="106">
        <f>AC142</f>
        <v>7224</v>
      </c>
      <c r="AD164" s="106"/>
    </row>
    <row r="165" spans="2:30" s="105" customFormat="1" hidden="1">
      <c r="C165" s="106"/>
      <c r="D165" s="228"/>
      <c r="E165" s="106"/>
      <c r="F165" s="107"/>
      <c r="G165" s="106"/>
      <c r="H165" s="107"/>
      <c r="I165" s="106"/>
      <c r="J165" s="107"/>
      <c r="K165" s="106"/>
      <c r="L165" s="107"/>
      <c r="M165" s="106"/>
      <c r="N165" s="107"/>
      <c r="O165" s="106"/>
      <c r="P165" s="107"/>
      <c r="Q165" s="106"/>
      <c r="R165" s="107"/>
      <c r="S165" s="106"/>
      <c r="T165" s="107"/>
      <c r="U165" s="106"/>
      <c r="V165" s="107"/>
      <c r="W165" s="106"/>
      <c r="X165" s="107"/>
      <c r="Y165" s="106"/>
      <c r="Z165" s="107"/>
      <c r="AA165" s="106"/>
      <c r="AB165" s="108"/>
      <c r="AC165" s="106"/>
      <c r="AD165" s="108"/>
    </row>
    <row r="166" spans="2:30" s="105" customFormat="1" hidden="1">
      <c r="B166" s="105" t="s">
        <v>224</v>
      </c>
      <c r="C166" s="106"/>
      <c r="D166" s="106"/>
      <c r="E166" s="106"/>
      <c r="F166" s="106"/>
      <c r="G166" s="106"/>
      <c r="H166" s="106"/>
      <c r="I166" s="106">
        <f>I144-I142</f>
        <v>7378.2999999999993</v>
      </c>
      <c r="J166" s="106"/>
      <c r="K166" s="106">
        <f>K144-K142</f>
        <v>7378.2900000000009</v>
      </c>
      <c r="L166" s="106"/>
      <c r="M166" s="106">
        <f>M144-M142</f>
        <v>7378.2999999999993</v>
      </c>
      <c r="N166" s="106"/>
      <c r="O166" s="106">
        <f>O144-O142</f>
        <v>7378.2900000000009</v>
      </c>
      <c r="P166" s="106"/>
      <c r="Q166" s="106">
        <f>Q144-Q142</f>
        <v>7378.2800000000007</v>
      </c>
      <c r="R166" s="106"/>
      <c r="S166" s="106">
        <f>S144-S142</f>
        <v>7378.2900000000009</v>
      </c>
      <c r="T166" s="106"/>
      <c r="U166" s="106">
        <f>U144-U142</f>
        <v>7368.4900000000016</v>
      </c>
      <c r="V166" s="106"/>
      <c r="W166" s="106">
        <f>W144-W142</f>
        <v>7368.4900000000016</v>
      </c>
      <c r="X166" s="106"/>
      <c r="Y166" s="106">
        <f>Y144-Y142</f>
        <v>7368.4900000000016</v>
      </c>
      <c r="Z166" s="106"/>
      <c r="AA166" s="106">
        <f>AA144-AA142</f>
        <v>88510.1</v>
      </c>
      <c r="AB166" s="106"/>
      <c r="AC166" s="106">
        <f>AC144-AC142</f>
        <v>7375.8416666666672</v>
      </c>
      <c r="AD166" s="106"/>
    </row>
    <row r="167" spans="2:30" s="105" customFormat="1" hidden="1">
      <c r="C167" s="106"/>
      <c r="D167" s="228"/>
      <c r="E167" s="106"/>
      <c r="F167" s="107"/>
      <c r="G167" s="106"/>
      <c r="H167" s="107"/>
      <c r="I167" s="106"/>
      <c r="J167" s="107"/>
      <c r="K167" s="106"/>
      <c r="L167" s="107"/>
      <c r="M167" s="106"/>
      <c r="N167" s="107"/>
      <c r="O167" s="106"/>
      <c r="P167" s="107"/>
      <c r="Q167" s="106"/>
      <c r="R167" s="107"/>
      <c r="S167" s="106"/>
      <c r="T167" s="107"/>
      <c r="U167" s="106"/>
      <c r="V167" s="107"/>
      <c r="W167" s="106"/>
      <c r="X167" s="107"/>
      <c r="Y167" s="106"/>
      <c r="Z167" s="107"/>
      <c r="AA167" s="104"/>
      <c r="AB167" s="108"/>
      <c r="AC167" s="106"/>
      <c r="AD167" s="108"/>
    </row>
    <row r="168" spans="2:30" s="105" customFormat="1" hidden="1">
      <c r="C168" s="106"/>
      <c r="D168" s="228"/>
      <c r="E168" s="106"/>
      <c r="F168" s="107"/>
      <c r="G168" s="106"/>
      <c r="H168" s="107"/>
      <c r="I168" s="106"/>
      <c r="J168" s="107"/>
      <c r="K168" s="106"/>
      <c r="L168" s="107"/>
      <c r="M168" s="106"/>
      <c r="N168" s="107"/>
      <c r="O168" s="106"/>
      <c r="P168" s="107"/>
      <c r="Q168" s="106"/>
      <c r="R168" s="107"/>
      <c r="S168" s="106"/>
      <c r="T168" s="107"/>
      <c r="U168" s="106"/>
      <c r="V168" s="107"/>
      <c r="W168" s="106"/>
      <c r="X168" s="107"/>
      <c r="Y168" s="106"/>
      <c r="Z168" s="107"/>
      <c r="AA168" s="104"/>
      <c r="AB168" s="108"/>
      <c r="AC168" s="104"/>
      <c r="AD168" s="108"/>
    </row>
    <row r="169" spans="2:30" s="105" customFormat="1" hidden="1">
      <c r="B169" s="307" t="s">
        <v>225</v>
      </c>
      <c r="C169" s="308"/>
      <c r="D169" s="309"/>
      <c r="E169" s="308"/>
      <c r="F169" s="308"/>
      <c r="G169" s="308"/>
      <c r="H169" s="308"/>
      <c r="I169" s="308">
        <f>I162+I160+I164+I166</f>
        <v>19966.715797370332</v>
      </c>
      <c r="J169" s="308"/>
      <c r="K169" s="308">
        <f>K162+K160+K164+K166</f>
        <v>19220.924991258067</v>
      </c>
      <c r="L169" s="308"/>
      <c r="M169" s="308">
        <f>M162+M160+M164+M166</f>
        <v>27361.814866862325</v>
      </c>
      <c r="N169" s="308"/>
      <c r="O169" s="308">
        <f>O162+O160+O164+O166</f>
        <v>2521.8443986052444</v>
      </c>
      <c r="P169" s="308"/>
      <c r="Q169" s="308">
        <f>Q162+Q160+Q164+Q166</f>
        <v>18413.930459815489</v>
      </c>
      <c r="R169" s="308"/>
      <c r="S169" s="308">
        <f>S162+S160+S164+S166</f>
        <v>8999.5560885692958</v>
      </c>
      <c r="T169" s="308"/>
      <c r="U169" s="308">
        <f>U162+U160+U164+U166</f>
        <v>-1261.3331700507879</v>
      </c>
      <c r="V169" s="308"/>
      <c r="W169" s="308">
        <f>W162+W160+W164+W166</f>
        <v>12744.805362357452</v>
      </c>
      <c r="X169" s="308"/>
      <c r="Y169" s="308">
        <f>Y162+Y160+Y164+Y166</f>
        <v>26167.061774394773</v>
      </c>
      <c r="Z169" s="308"/>
      <c r="AA169" s="308">
        <f>AA162+AA160+AA164+AA166</f>
        <v>150071.43338820388</v>
      </c>
      <c r="AB169" s="108"/>
      <c r="AC169" s="106">
        <f>AA169/12</f>
        <v>12505.952782350323</v>
      </c>
      <c r="AD169" s="108"/>
    </row>
    <row r="170" spans="2:30" s="105" customFormat="1" hidden="1">
      <c r="C170" s="106"/>
      <c r="D170" s="228"/>
      <c r="E170" s="106"/>
      <c r="F170" s="107"/>
      <c r="G170" s="106"/>
      <c r="H170" s="107"/>
      <c r="I170" s="106"/>
      <c r="J170" s="107"/>
      <c r="K170" s="106"/>
      <c r="L170" s="107"/>
      <c r="M170" s="106"/>
      <c r="N170" s="107"/>
      <c r="O170" s="106"/>
      <c r="P170" s="107"/>
      <c r="Q170" s="106"/>
      <c r="R170" s="107"/>
      <c r="S170" s="106"/>
      <c r="T170" s="107"/>
      <c r="U170" s="106"/>
      <c r="V170" s="107"/>
      <c r="W170" s="106"/>
      <c r="X170" s="107"/>
      <c r="Y170" s="106"/>
      <c r="Z170" s="107"/>
      <c r="AA170" s="104"/>
      <c r="AB170" s="108"/>
      <c r="AC170" s="104"/>
      <c r="AD170" s="108"/>
    </row>
    <row r="171" spans="2:30" s="105" customFormat="1" hidden="1">
      <c r="B171" s="310"/>
      <c r="C171" s="106"/>
      <c r="D171" s="228"/>
      <c r="E171" s="106"/>
      <c r="F171" s="107"/>
      <c r="G171" s="106"/>
      <c r="H171" s="107"/>
      <c r="I171" s="106"/>
      <c r="J171" s="107"/>
      <c r="K171" s="106"/>
      <c r="L171" s="107"/>
      <c r="M171" s="106"/>
      <c r="N171" s="107"/>
      <c r="O171" s="106"/>
      <c r="P171" s="107"/>
      <c r="Q171" s="106"/>
      <c r="R171" s="107"/>
      <c r="S171" s="106"/>
      <c r="T171" s="107"/>
      <c r="U171" s="106"/>
      <c r="V171" s="107"/>
      <c r="W171" s="106"/>
      <c r="X171" s="107"/>
      <c r="Y171" s="106"/>
      <c r="Z171" s="107"/>
      <c r="AA171" s="104"/>
      <c r="AB171" s="108"/>
      <c r="AC171" s="104"/>
      <c r="AD171" s="108"/>
    </row>
    <row r="172" spans="2:30" s="105" customFormat="1" hidden="1">
      <c r="B172" s="311" t="s">
        <v>226</v>
      </c>
      <c r="C172" s="306"/>
      <c r="D172" s="306"/>
      <c r="E172" s="306"/>
      <c r="F172" s="306"/>
      <c r="G172" s="306"/>
      <c r="H172" s="306"/>
      <c r="I172" s="306">
        <f>G172+I169</f>
        <v>19966.715797370332</v>
      </c>
      <c r="J172" s="306"/>
      <c r="K172" s="306">
        <f>I172+K169</f>
        <v>39187.6407886284</v>
      </c>
      <c r="L172" s="306"/>
      <c r="M172" s="306">
        <f>K172+M169</f>
        <v>66549.455655490718</v>
      </c>
      <c r="N172" s="306"/>
      <c r="O172" s="306">
        <f>M172+O169</f>
        <v>69071.300054095962</v>
      </c>
      <c r="P172" s="306"/>
      <c r="Q172" s="306">
        <f>O172+Q169</f>
        <v>87485.230513911447</v>
      </c>
      <c r="R172" s="306"/>
      <c r="S172" s="306">
        <f>Q172+S169</f>
        <v>96484.786602480744</v>
      </c>
      <c r="T172" s="306"/>
      <c r="U172" s="306">
        <f>S172+U169</f>
        <v>95223.45343242996</v>
      </c>
      <c r="V172" s="306"/>
      <c r="W172" s="306">
        <f>U172+W169</f>
        <v>107968.25879478741</v>
      </c>
      <c r="X172" s="306"/>
      <c r="Y172" s="306">
        <f>W172+Y169</f>
        <v>134135.32056918219</v>
      </c>
      <c r="Z172" s="306"/>
      <c r="AA172" s="306"/>
      <c r="AB172" s="306"/>
      <c r="AC172" s="306"/>
      <c r="AD172" s="306"/>
    </row>
    <row r="173" spans="2:30">
      <c r="C173" s="25"/>
      <c r="I173" s="24">
        <f>SUM(I145-I142)*9.61</f>
        <v>601880.48381876899</v>
      </c>
      <c r="M173" s="24">
        <f>SUM(M145-M142)*9.61</f>
        <v>573395.90867584117</v>
      </c>
      <c r="O173" s="24">
        <f>SUM(O145-O142)*9.61</f>
        <v>594298.70145003509</v>
      </c>
    </row>
    <row r="174" spans="2:30">
      <c r="I174" s="24">
        <f>SUM(I152+I142)*9.61</f>
        <v>120974.67581272889</v>
      </c>
      <c r="M174" s="24">
        <f>SUM(M152+M142)*9.61</f>
        <v>192041.57787054693</v>
      </c>
      <c r="O174" s="24">
        <f>SUM(O152+O142)*9.61</f>
        <v>-46670.442229403605</v>
      </c>
    </row>
  </sheetData>
  <customSheetViews>
    <customSheetView guid="{AA4262F8-9AB3-4147-94E2-8DEF81F7E83C}" fitToPage="1" hiddenRows="1">
      <pane xSplit="2" ySplit="5" topLeftCell="C108" activePane="bottomRight" state="frozen"/>
      <selection pane="bottomRight" activeCell="I106" sqref="I106"/>
      <pageMargins left="0.7" right="0.7" top="0.75" bottom="0.75" header="0.3" footer="0.3"/>
      <printOptions gridLines="1"/>
      <pageSetup paperSize="8" scale="39" fitToHeight="2" orientation="landscape" r:id="rId1"/>
    </customSheetView>
    <customSheetView guid="{A8167CC1-C909-4D11-B8D5-4313083C8125}" fitToPage="1" hiddenRows="1" hiddenColumns="1">
      <pane xSplit="2" ySplit="5" topLeftCell="C115" activePane="bottomRight" state="frozen"/>
      <selection pane="bottomRight" activeCell="I130" sqref="I130"/>
      <pageMargins left="0.7" right="0.7" top="0.75" bottom="0.75" header="0.3" footer="0.3"/>
      <printOptions gridLines="1"/>
      <pageSetup paperSize="8" scale="24" fitToHeight="2" orientation="landscape" r:id="rId2"/>
    </customSheetView>
    <customSheetView guid="{C4C974E7-2FCF-4C3A-A063-03001047949F}" topLeftCell="A104">
      <selection activeCell="A141" sqref="A141:XFD141"/>
      <pageMargins left="0.7" right="0.7" top="0.75" bottom="0.75" header="0.3" footer="0.3"/>
    </customSheetView>
    <customSheetView guid="{B2BB7590-1CD2-4457-858D-F8835B99F338}" fitToPage="1" hiddenRows="1">
      <pane xSplit="2" ySplit="5" topLeftCell="K105" activePane="bottomRight" state="frozen"/>
      <selection pane="bottomRight" activeCell="O105" sqref="O105"/>
      <pageMargins left="0.7" right="0.7" top="0.75" bottom="0.75" header="0.3" footer="0.3"/>
      <printOptions gridLines="1"/>
      <pageSetup paperSize="8" scale="39" fitToHeight="2" orientation="landscape" r:id="rId3"/>
    </customSheetView>
    <customSheetView guid="{209662B1-09B2-4060-A837-250CED7848ED}" fitToPage="1" hiddenRows="1">
      <pane xSplit="2" ySplit="5" topLeftCell="C39" activePane="bottomRight" state="frozen"/>
      <selection pane="bottomRight" activeCell="AR45" sqref="AR45"/>
      <pageMargins left="0.7" right="0.7" top="0.75" bottom="0.75" header="0.3" footer="0.3"/>
      <printOptions gridLines="1"/>
      <pageSetup paperSize="8" scale="39" fitToHeight="2" orientation="landscape" r:id="rId4"/>
    </customSheetView>
    <customSheetView guid="{02AA01BD-C75B-4B6E-A8E6-EEB6E90D29E4}" fitToPage="1" hiddenRows="1">
      <pane xSplit="2" ySplit="5" topLeftCell="U6" activePane="bottomRight" state="frozen"/>
      <selection pane="bottomRight" activeCell="AG11" sqref="AG11"/>
      <pageMargins left="0.7" right="0.7" top="0.75" bottom="0.75" header="0.3" footer="0.3"/>
      <printOptions gridLines="1"/>
      <pageSetup paperSize="8" scale="39" fitToHeight="2" orientation="landscape" r:id="rId5"/>
    </customSheetView>
    <customSheetView guid="{879F34B1-DA85-44D2-99EE-74A633FB2C72}" fitToPage="1" hiddenRows="1">
      <pane xSplit="2" ySplit="5" topLeftCell="M6" activePane="bottomRight" state="frozen"/>
      <selection pane="bottomRight" activeCell="A16" sqref="A16:XFD19"/>
      <pageMargins left="0.7" right="0.7" top="0.75" bottom="0.75" header="0.3" footer="0.3"/>
      <printOptions gridLines="1"/>
      <pageSetup paperSize="8" scale="39" fitToHeight="2" orientation="landscape" r:id="rId6"/>
    </customSheetView>
    <customSheetView guid="{F3E5B7E7-D3C6-4CDC-BAA7-D62F15A870E4}" fitToPage="1" hiddenRows="1">
      <pane xSplit="2" ySplit="5" topLeftCell="M27" activePane="bottomRight" state="frozen"/>
      <selection pane="bottomRight" activeCell="AR45" sqref="AR45"/>
      <pageMargins left="0.7" right="0.7" top="0.75" bottom="0.75" header="0.3" footer="0.3"/>
      <printOptions gridLines="1"/>
      <pageSetup paperSize="8" scale="39" fitToHeight="2" orientation="landscape" r:id="rId7"/>
    </customSheetView>
    <customSheetView guid="{D65E0E17-9A53-4B36-ADDE-FDFBD878E6A1}" fitToPage="1" hiddenRows="1">
      <pane xSplit="2" ySplit="5" topLeftCell="M27" activePane="bottomRight" state="frozen"/>
      <selection pane="bottomRight" activeCell="AR45" sqref="AR45"/>
      <pageMargins left="0.7" right="0.7" top="0.75" bottom="0.75" header="0.3" footer="0.3"/>
      <printOptions gridLines="1"/>
      <pageSetup paperSize="8" scale="39" fitToHeight="2" orientation="landscape" r:id="rId8"/>
    </customSheetView>
    <customSheetView guid="{BFB0E08A-7D07-48F2-93C4-BE631A8642F6}" fitToPage="1" hiddenRows="1">
      <pane xSplit="2" ySplit="5" topLeftCell="C6" activePane="bottomRight" state="frozen"/>
      <selection pane="bottomRight" activeCell="B7" sqref="B7"/>
      <pageMargins left="0.7" right="0.7" top="0.75" bottom="0.75" header="0.3" footer="0.3"/>
      <printOptions gridLines="1"/>
      <pageSetup paperSize="8" scale="39" fitToHeight="2" orientation="landscape" r:id="rId9"/>
    </customSheetView>
    <customSheetView guid="{E19D3675-E478-4A54-8E7A-94A199F67811}" fitToPage="1" hiddenRows="1">
      <pane xSplit="2" ySplit="5" topLeftCell="F117" activePane="bottomRight" state="frozen"/>
      <selection pane="bottomRight" activeCell="M127" sqref="M127"/>
      <pageMargins left="0.7" right="0.7" top="0.75" bottom="0.75" header="0.3" footer="0.3"/>
      <printOptions gridLines="1"/>
      <pageSetup paperSize="8" scale="39" fitToHeight="2" orientation="landscape" r:id="rId10"/>
    </customSheetView>
  </customSheetViews>
  <mergeCells count="13">
    <mergeCell ref="Y2:Z2"/>
    <mergeCell ref="AA2:AB2"/>
    <mergeCell ref="AC2:AD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46 Q146">
    <cfRule type="cellIs" dxfId="3" priority="9" operator="lessThan">
      <formula>0</formula>
    </cfRule>
  </conditionalFormatting>
  <printOptions gridLines="1"/>
  <pageMargins left="0.7" right="0.7" top="1.83" bottom="0.75" header="0.3" footer="0.3"/>
  <pageSetup paperSize="8" scale="55" fitToHeight="4" orientation="landscape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H20" sqref="H20:J20"/>
    </sheetView>
  </sheetViews>
  <sheetFormatPr defaultRowHeight="15"/>
  <cols>
    <col min="1" max="1" width="13.140625" style="153" customWidth="1"/>
    <col min="2" max="2" width="11" style="326" customWidth="1"/>
    <col min="3" max="3" width="17" style="326" customWidth="1"/>
    <col min="4" max="4" width="12.7109375" style="326" customWidth="1"/>
    <col min="5" max="5" width="10.28515625" style="326" customWidth="1"/>
    <col min="6" max="6" width="3.85546875" style="326" customWidth="1"/>
    <col min="7" max="7" width="0.28515625" hidden="1" customWidth="1"/>
    <col min="8" max="8" width="29.85546875" bestFit="1" customWidth="1"/>
    <col min="9" max="9" width="10.140625" customWidth="1"/>
    <col min="10" max="10" width="14" customWidth="1"/>
    <col min="11" max="11" width="10.5703125" bestFit="1" customWidth="1"/>
    <col min="12" max="12" width="12.7109375" customWidth="1"/>
    <col min="13" max="13" width="62.28515625" bestFit="1" customWidth="1"/>
  </cols>
  <sheetData>
    <row r="1" spans="1:15" s="326" customFormat="1">
      <c r="A1" s="153"/>
    </row>
    <row r="2" spans="1:15" s="347" customFormat="1" ht="18.75">
      <c r="A2" s="346"/>
      <c r="D2" s="348" t="s">
        <v>283</v>
      </c>
      <c r="E2" s="348"/>
      <c r="F2" s="348"/>
      <c r="G2" s="348"/>
      <c r="H2" s="348"/>
      <c r="I2" s="348"/>
      <c r="J2" s="348"/>
    </row>
    <row r="3" spans="1:15" s="326" customFormat="1">
      <c r="A3" s="153"/>
    </row>
    <row r="4" spans="1:15">
      <c r="B4" s="554" t="s">
        <v>262</v>
      </c>
      <c r="C4" s="554"/>
      <c r="D4" s="554"/>
      <c r="E4" s="323"/>
      <c r="H4" s="562" t="s">
        <v>248</v>
      </c>
      <c r="I4" s="562"/>
      <c r="J4" s="562"/>
      <c r="K4" s="562"/>
    </row>
    <row r="5" spans="1:15">
      <c r="B5" s="554" t="s">
        <v>263</v>
      </c>
      <c r="C5" s="554"/>
      <c r="D5" s="554"/>
      <c r="E5" s="323"/>
      <c r="H5" s="550" t="s">
        <v>249</v>
      </c>
      <c r="I5" s="550"/>
      <c r="J5" s="550"/>
      <c r="K5" s="550"/>
    </row>
    <row r="6" spans="1:15">
      <c r="H6" s="334"/>
      <c r="I6" s="337" t="s">
        <v>277</v>
      </c>
      <c r="J6" s="334"/>
      <c r="K6" s="334"/>
    </row>
    <row r="7" spans="1:15" ht="45">
      <c r="A7" s="336" t="s">
        <v>264</v>
      </c>
      <c r="B7" s="336" t="s">
        <v>274</v>
      </c>
      <c r="C7" s="325" t="s">
        <v>275</v>
      </c>
      <c r="D7" s="325" t="s">
        <v>276</v>
      </c>
      <c r="E7" s="336" t="s">
        <v>206</v>
      </c>
      <c r="H7" s="327" t="s">
        <v>250</v>
      </c>
      <c r="I7" s="328" t="s">
        <v>251</v>
      </c>
      <c r="J7" s="328" t="s">
        <v>252</v>
      </c>
      <c r="K7" s="328" t="s">
        <v>239</v>
      </c>
    </row>
    <row r="8" spans="1:15">
      <c r="A8" s="324"/>
      <c r="B8" s="335"/>
      <c r="C8" s="335"/>
      <c r="D8" s="335"/>
      <c r="E8" s="335"/>
      <c r="H8" s="352" t="s">
        <v>287</v>
      </c>
      <c r="I8" s="353">
        <v>41498</v>
      </c>
      <c r="J8" s="354" t="s">
        <v>288</v>
      </c>
      <c r="K8" s="354">
        <v>85233.75</v>
      </c>
      <c r="L8" s="559" t="s">
        <v>289</v>
      </c>
      <c r="M8" s="553"/>
      <c r="N8" s="326"/>
      <c r="O8" s="326"/>
    </row>
    <row r="9" spans="1:15" ht="17.25">
      <c r="A9" s="396">
        <v>41609</v>
      </c>
      <c r="B9" s="397">
        <f t="shared" ref="B9" si="0">283815/12</f>
        <v>23651.25</v>
      </c>
      <c r="C9" s="397">
        <f t="shared" ref="C9" si="1">57120/12</f>
        <v>4760</v>
      </c>
      <c r="D9" s="397">
        <f t="shared" ref="D9" si="2">19706.4/12</f>
        <v>1642.2</v>
      </c>
      <c r="E9" s="397">
        <f t="shared" ref="E9" si="3">SUM(B9:D9)</f>
        <v>30053.45</v>
      </c>
      <c r="H9" s="329" t="s">
        <v>255</v>
      </c>
      <c r="I9" s="330">
        <v>41698</v>
      </c>
      <c r="J9" s="331" t="s">
        <v>256</v>
      </c>
      <c r="K9" s="332">
        <v>91802.55</v>
      </c>
      <c r="L9" s="560" t="s">
        <v>290</v>
      </c>
      <c r="M9" s="561"/>
    </row>
    <row r="10" spans="1:15" ht="17.25">
      <c r="A10" s="397" t="s">
        <v>265</v>
      </c>
      <c r="B10" s="397">
        <f>283815/12</f>
        <v>23651.25</v>
      </c>
      <c r="C10" s="397">
        <f>57120/12</f>
        <v>4760</v>
      </c>
      <c r="D10" s="397">
        <f>19706.4/12</f>
        <v>1642.2</v>
      </c>
      <c r="E10" s="397">
        <f>SUM(B10:D10)</f>
        <v>30053.45</v>
      </c>
      <c r="H10" s="329" t="s">
        <v>257</v>
      </c>
      <c r="I10" s="330">
        <v>41787</v>
      </c>
      <c r="J10" s="331" t="s">
        <v>258</v>
      </c>
      <c r="K10" s="332">
        <v>91802.55</v>
      </c>
      <c r="L10" s="560" t="s">
        <v>290</v>
      </c>
      <c r="M10" s="561"/>
    </row>
    <row r="11" spans="1:15" ht="17.25">
      <c r="A11" s="397" t="s">
        <v>266</v>
      </c>
      <c r="B11" s="397">
        <f t="shared" ref="B11:B20" si="4">283815/12</f>
        <v>23651.25</v>
      </c>
      <c r="C11" s="397">
        <f t="shared" ref="C11:C20" si="5">57120/12</f>
        <v>4760</v>
      </c>
      <c r="D11" s="397">
        <f t="shared" ref="D11:D20" si="6">19706.4/12</f>
        <v>1642.2</v>
      </c>
      <c r="E11" s="397">
        <f t="shared" ref="E11:E20" si="7">SUM(B11:D11)</f>
        <v>30053.45</v>
      </c>
      <c r="H11" s="329" t="s">
        <v>259</v>
      </c>
      <c r="I11" s="330">
        <v>41879</v>
      </c>
      <c r="J11" s="331" t="s">
        <v>260</v>
      </c>
      <c r="K11" s="332">
        <v>91802.55</v>
      </c>
      <c r="L11" s="560" t="s">
        <v>290</v>
      </c>
      <c r="M11" s="561"/>
    </row>
    <row r="12" spans="1:15">
      <c r="A12" s="397" t="s">
        <v>200</v>
      </c>
      <c r="B12" s="397">
        <f t="shared" si="4"/>
        <v>23651.25</v>
      </c>
      <c r="C12" s="397">
        <f t="shared" si="5"/>
        <v>4760</v>
      </c>
      <c r="D12" s="397">
        <f t="shared" si="6"/>
        <v>1642.2</v>
      </c>
      <c r="E12" s="397">
        <f t="shared" si="7"/>
        <v>30053.45</v>
      </c>
      <c r="H12" s="329" t="s">
        <v>253</v>
      </c>
      <c r="I12" s="333" t="s">
        <v>254</v>
      </c>
      <c r="J12" s="331" t="s">
        <v>261</v>
      </c>
      <c r="K12" s="332">
        <v>85233.75</v>
      </c>
      <c r="L12" s="326"/>
      <c r="O12" s="326" t="s">
        <v>221</v>
      </c>
    </row>
    <row r="13" spans="1:15">
      <c r="A13" s="397" t="s">
        <v>198</v>
      </c>
      <c r="B13" s="397">
        <f t="shared" si="4"/>
        <v>23651.25</v>
      </c>
      <c r="C13" s="397">
        <f t="shared" si="5"/>
        <v>4760</v>
      </c>
      <c r="D13" s="397">
        <f t="shared" si="6"/>
        <v>1642.2</v>
      </c>
      <c r="E13" s="397">
        <f t="shared" si="7"/>
        <v>30053.45</v>
      </c>
    </row>
    <row r="14" spans="1:15">
      <c r="A14" s="397" t="s">
        <v>267</v>
      </c>
      <c r="B14" s="397">
        <f t="shared" si="4"/>
        <v>23651.25</v>
      </c>
      <c r="C14" s="397">
        <f t="shared" si="5"/>
        <v>4760</v>
      </c>
      <c r="D14" s="397">
        <f t="shared" si="6"/>
        <v>1642.2</v>
      </c>
      <c r="E14" s="397">
        <f t="shared" si="7"/>
        <v>30053.45</v>
      </c>
      <c r="H14" s="338"/>
      <c r="I14" s="338"/>
      <c r="J14" s="339" t="s">
        <v>278</v>
      </c>
      <c r="K14" s="338" t="s">
        <v>279</v>
      </c>
      <c r="L14" s="338" t="s">
        <v>280</v>
      </c>
    </row>
    <row r="15" spans="1:15">
      <c r="A15" s="397" t="s">
        <v>268</v>
      </c>
      <c r="B15" s="397">
        <f t="shared" si="4"/>
        <v>23651.25</v>
      </c>
      <c r="C15" s="397">
        <f t="shared" si="5"/>
        <v>4760</v>
      </c>
      <c r="D15" s="397">
        <f t="shared" si="6"/>
        <v>1642.2</v>
      </c>
      <c r="E15" s="397">
        <f t="shared" si="7"/>
        <v>30053.45</v>
      </c>
      <c r="H15" s="340" t="s">
        <v>274</v>
      </c>
      <c r="I15" s="341"/>
      <c r="J15" s="341">
        <v>159</v>
      </c>
      <c r="K15" s="342">
        <v>1785</v>
      </c>
      <c r="L15" s="343">
        <f>J15*K15</f>
        <v>283815</v>
      </c>
    </row>
    <row r="16" spans="1:15">
      <c r="A16" s="397" t="s">
        <v>269</v>
      </c>
      <c r="B16" s="397">
        <f t="shared" si="4"/>
        <v>23651.25</v>
      </c>
      <c r="C16" s="397">
        <f t="shared" si="5"/>
        <v>4760</v>
      </c>
      <c r="D16" s="397">
        <f t="shared" si="6"/>
        <v>1642.2</v>
      </c>
      <c r="E16" s="397">
        <f t="shared" si="7"/>
        <v>30053.45</v>
      </c>
      <c r="H16" s="340" t="s">
        <v>281</v>
      </c>
      <c r="I16" s="341"/>
      <c r="J16" s="341">
        <v>32</v>
      </c>
      <c r="K16" s="341">
        <v>1785</v>
      </c>
      <c r="L16" s="343">
        <f>J16*K16</f>
        <v>57120</v>
      </c>
    </row>
    <row r="17" spans="1:12">
      <c r="A17" s="397" t="s">
        <v>270</v>
      </c>
      <c r="B17" s="397">
        <f t="shared" si="4"/>
        <v>23651.25</v>
      </c>
      <c r="C17" s="397">
        <f t="shared" si="5"/>
        <v>4760</v>
      </c>
      <c r="D17" s="397">
        <f t="shared" si="6"/>
        <v>1642.2</v>
      </c>
      <c r="E17" s="397">
        <f t="shared" si="7"/>
        <v>30053.45</v>
      </c>
      <c r="H17" s="340" t="s">
        <v>291</v>
      </c>
      <c r="I17" s="341"/>
      <c r="J17" s="341">
        <v>11.04</v>
      </c>
      <c r="K17" s="341">
        <v>1785</v>
      </c>
      <c r="L17" s="343">
        <f>J17*K17</f>
        <v>19706.399999999998</v>
      </c>
    </row>
    <row r="18" spans="1:12">
      <c r="A18" s="335" t="s">
        <v>271</v>
      </c>
      <c r="B18" s="335">
        <f t="shared" si="4"/>
        <v>23651.25</v>
      </c>
      <c r="C18" s="335">
        <f t="shared" si="5"/>
        <v>4760</v>
      </c>
      <c r="D18" s="335">
        <f t="shared" si="6"/>
        <v>1642.2</v>
      </c>
      <c r="E18" s="335">
        <f t="shared" si="7"/>
        <v>30053.45</v>
      </c>
      <c r="H18" s="349"/>
      <c r="I18" s="350"/>
      <c r="J18" s="350"/>
      <c r="K18" s="350"/>
      <c r="L18" s="351"/>
    </row>
    <row r="19" spans="1:12">
      <c r="A19" s="335" t="s">
        <v>272</v>
      </c>
      <c r="B19" s="335">
        <f t="shared" si="4"/>
        <v>23651.25</v>
      </c>
      <c r="C19" s="335">
        <f t="shared" si="5"/>
        <v>4760</v>
      </c>
      <c r="D19" s="335">
        <f t="shared" si="6"/>
        <v>1642.2</v>
      </c>
      <c r="E19" s="335">
        <f t="shared" si="7"/>
        <v>30053.45</v>
      </c>
      <c r="H19" s="555" t="s">
        <v>282</v>
      </c>
      <c r="I19" s="555"/>
      <c r="J19" s="338">
        <f>SUM(J15:J18)</f>
        <v>202.04</v>
      </c>
      <c r="K19" s="338">
        <v>1785</v>
      </c>
      <c r="L19" s="344">
        <f>SUM(L15:L18)</f>
        <v>360641.4</v>
      </c>
    </row>
    <row r="20" spans="1:12">
      <c r="A20" s="335" t="s">
        <v>273</v>
      </c>
      <c r="B20" s="335">
        <f t="shared" si="4"/>
        <v>23651.25</v>
      </c>
      <c r="C20" s="335">
        <f t="shared" si="5"/>
        <v>4760</v>
      </c>
      <c r="D20" s="335">
        <f t="shared" si="6"/>
        <v>1642.2</v>
      </c>
      <c r="E20" s="335">
        <f t="shared" si="7"/>
        <v>30053.45</v>
      </c>
      <c r="H20" s="554"/>
      <c r="I20" s="554"/>
      <c r="J20" s="554"/>
    </row>
    <row r="21" spans="1:12">
      <c r="A21" s="335"/>
      <c r="B21" s="335"/>
      <c r="C21" s="335"/>
      <c r="D21" s="335"/>
      <c r="E21" s="335"/>
      <c r="H21" s="554"/>
      <c r="I21" s="554"/>
      <c r="J21" s="554"/>
    </row>
    <row r="22" spans="1:12" ht="16.5" customHeight="1">
      <c r="A22" s="325" t="s">
        <v>206</v>
      </c>
      <c r="B22" s="336">
        <f>SUM(B9:B21)</f>
        <v>283815</v>
      </c>
      <c r="C22" s="336">
        <f>SUM(C9:C21)</f>
        <v>57120</v>
      </c>
      <c r="D22" s="336">
        <f>SUM(D9:D21)</f>
        <v>19706.400000000005</v>
      </c>
      <c r="E22" s="336">
        <f>SUM(E9:E21)</f>
        <v>360641.40000000008</v>
      </c>
    </row>
    <row r="23" spans="1:12" ht="19.5" customHeight="1"/>
    <row r="24" spans="1:12" s="326" customFormat="1" ht="19.5" customHeight="1">
      <c r="A24" s="153"/>
    </row>
    <row r="25" spans="1:12" ht="19.5" customHeight="1"/>
    <row r="26" spans="1:12" s="347" customFormat="1" ht="18.75">
      <c r="A26" s="346"/>
      <c r="E26" s="348" t="s">
        <v>285</v>
      </c>
      <c r="F26" s="348"/>
      <c r="G26" s="348"/>
      <c r="H26" s="348"/>
      <c r="I26" s="348"/>
      <c r="J26" s="348"/>
      <c r="K26" s="348"/>
    </row>
    <row r="27" spans="1:12" ht="18.75">
      <c r="H27" s="355"/>
      <c r="I27" s="355"/>
      <c r="J27" s="355"/>
      <c r="K27" s="355"/>
      <c r="L27" s="5"/>
    </row>
    <row r="28" spans="1:12">
      <c r="B28" s="554" t="s">
        <v>262</v>
      </c>
      <c r="C28" s="554"/>
      <c r="D28" s="554"/>
      <c r="E28" s="323"/>
    </row>
    <row r="29" spans="1:12">
      <c r="B29" s="554" t="s">
        <v>263</v>
      </c>
      <c r="C29" s="554"/>
      <c r="D29" s="554"/>
      <c r="E29" s="323"/>
      <c r="H29" s="338"/>
      <c r="I29" s="338"/>
      <c r="J29" s="339" t="s">
        <v>278</v>
      </c>
      <c r="K29" s="338" t="s">
        <v>279</v>
      </c>
      <c r="L29" s="338" t="s">
        <v>280</v>
      </c>
    </row>
    <row r="30" spans="1:12">
      <c r="H30" s="340" t="s">
        <v>274</v>
      </c>
      <c r="I30" s="341"/>
      <c r="J30" s="341">
        <v>159</v>
      </c>
      <c r="K30" s="342">
        <v>1785</v>
      </c>
      <c r="L30" s="343">
        <f>J30*K30</f>
        <v>283815</v>
      </c>
    </row>
    <row r="31" spans="1:12" ht="45">
      <c r="A31" s="336" t="s">
        <v>264</v>
      </c>
      <c r="B31" s="336" t="s">
        <v>274</v>
      </c>
      <c r="C31" s="325" t="s">
        <v>275</v>
      </c>
      <c r="D31" s="325" t="s">
        <v>276</v>
      </c>
      <c r="E31" s="336" t="s">
        <v>206</v>
      </c>
      <c r="H31" s="340" t="s">
        <v>281</v>
      </c>
      <c r="I31" s="341"/>
      <c r="J31" s="341">
        <v>32.96</v>
      </c>
      <c r="K31" s="341">
        <v>1785</v>
      </c>
      <c r="L31" s="343">
        <f>J31*K31</f>
        <v>58833.599999999999</v>
      </c>
    </row>
    <row r="32" spans="1:12">
      <c r="A32" s="324"/>
      <c r="B32" s="335"/>
      <c r="C32" s="335"/>
      <c r="D32" s="335"/>
      <c r="E32" s="335"/>
      <c r="H32" s="340" t="s">
        <v>291</v>
      </c>
      <c r="I32" s="341"/>
      <c r="J32" s="341">
        <v>11.37</v>
      </c>
      <c r="K32" s="341">
        <v>1785</v>
      </c>
      <c r="L32" s="343">
        <f>J32*K32</f>
        <v>20295.449999999997</v>
      </c>
    </row>
    <row r="33" spans="1:13">
      <c r="A33" s="324">
        <v>41609</v>
      </c>
      <c r="B33" s="335">
        <f t="shared" ref="B33" si="8">283815/12</f>
        <v>23651.25</v>
      </c>
      <c r="C33" s="345">
        <f>58833.6/12</f>
        <v>4902.8</v>
      </c>
      <c r="D33" s="345">
        <f>20295.45/12</f>
        <v>1691.2875000000001</v>
      </c>
      <c r="E33" s="345">
        <f t="shared" ref="E33" si="9">SUM(B33:D33)</f>
        <v>30245.337499999998</v>
      </c>
      <c r="H33" s="349"/>
      <c r="I33" s="350"/>
      <c r="J33" s="350"/>
      <c r="K33" s="350"/>
      <c r="L33" s="351"/>
    </row>
    <row r="34" spans="1:13">
      <c r="A34" s="335" t="s">
        <v>265</v>
      </c>
      <c r="B34" s="335">
        <f>283815/12</f>
        <v>23651.25</v>
      </c>
      <c r="C34" s="345">
        <f t="shared" ref="C34:C44" si="10">58833.6/12</f>
        <v>4902.8</v>
      </c>
      <c r="D34" s="345">
        <f t="shared" ref="D34:D44" si="11">20295.45/12</f>
        <v>1691.2875000000001</v>
      </c>
      <c r="E34" s="345">
        <f>SUM(B34:D34)</f>
        <v>30245.337499999998</v>
      </c>
      <c r="H34" s="555" t="s">
        <v>284</v>
      </c>
      <c r="I34" s="555"/>
      <c r="J34" s="338">
        <f>SUM(J30:J33)</f>
        <v>203.33</v>
      </c>
      <c r="K34" s="338">
        <v>1785</v>
      </c>
      <c r="L34" s="344">
        <f>SUM(L30:L33)</f>
        <v>362944.05</v>
      </c>
    </row>
    <row r="35" spans="1:13">
      <c r="A35" s="335" t="s">
        <v>266</v>
      </c>
      <c r="B35" s="335">
        <f t="shared" ref="B35:B44" si="12">283815/12</f>
        <v>23651.25</v>
      </c>
      <c r="C35" s="345">
        <f t="shared" si="10"/>
        <v>4902.8</v>
      </c>
      <c r="D35" s="345">
        <f t="shared" si="11"/>
        <v>1691.2875000000001</v>
      </c>
      <c r="E35" s="345">
        <f t="shared" ref="E35:E44" si="13">SUM(B35:D35)</f>
        <v>30245.337499999998</v>
      </c>
    </row>
    <row r="36" spans="1:13" ht="15.75" thickBot="1">
      <c r="A36" s="335" t="s">
        <v>200</v>
      </c>
      <c r="B36" s="335">
        <f t="shared" si="12"/>
        <v>23651.25</v>
      </c>
      <c r="C36" s="345">
        <f t="shared" si="10"/>
        <v>4902.8</v>
      </c>
      <c r="D36" s="345">
        <f t="shared" si="11"/>
        <v>1691.2875000000001</v>
      </c>
      <c r="E36" s="345">
        <f t="shared" si="13"/>
        <v>30245.337499999998</v>
      </c>
    </row>
    <row r="37" spans="1:13">
      <c r="A37" s="335" t="s">
        <v>198</v>
      </c>
      <c r="B37" s="335">
        <f t="shared" si="12"/>
        <v>23651.25</v>
      </c>
      <c r="C37" s="345">
        <f t="shared" si="10"/>
        <v>4902.8</v>
      </c>
      <c r="D37" s="345">
        <f t="shared" si="11"/>
        <v>1691.2875000000001</v>
      </c>
      <c r="E37" s="345">
        <f t="shared" si="13"/>
        <v>30245.337499999998</v>
      </c>
      <c r="H37" s="556" t="s">
        <v>248</v>
      </c>
      <c r="I37" s="557"/>
      <c r="J37" s="557"/>
      <c r="K37" s="558"/>
    </row>
    <row r="38" spans="1:13">
      <c r="A38" s="335" t="s">
        <v>267</v>
      </c>
      <c r="B38" s="335">
        <f t="shared" si="12"/>
        <v>23651.25</v>
      </c>
      <c r="C38" s="345">
        <f t="shared" si="10"/>
        <v>4902.8</v>
      </c>
      <c r="D38" s="345">
        <f t="shared" si="11"/>
        <v>1691.2875000000001</v>
      </c>
      <c r="E38" s="345">
        <f t="shared" si="13"/>
        <v>30245.337499999998</v>
      </c>
      <c r="H38" s="549" t="s">
        <v>249</v>
      </c>
      <c r="I38" s="550"/>
      <c r="J38" s="550"/>
      <c r="K38" s="551"/>
      <c r="M38" s="326" t="s">
        <v>221</v>
      </c>
    </row>
    <row r="39" spans="1:13" ht="15.75" thickBot="1">
      <c r="A39" s="335" t="s">
        <v>268</v>
      </c>
      <c r="B39" s="335">
        <f t="shared" si="12"/>
        <v>23651.25</v>
      </c>
      <c r="C39" s="345">
        <f t="shared" si="10"/>
        <v>4902.8</v>
      </c>
      <c r="D39" s="345">
        <f t="shared" si="11"/>
        <v>1691.2875000000001</v>
      </c>
      <c r="E39" s="345">
        <f t="shared" si="13"/>
        <v>30245.337499999998</v>
      </c>
      <c r="H39" s="359"/>
      <c r="I39" s="360" t="s">
        <v>277</v>
      </c>
      <c r="J39" s="360"/>
      <c r="K39" s="361"/>
    </row>
    <row r="40" spans="1:13">
      <c r="A40" s="335" t="s">
        <v>269</v>
      </c>
      <c r="B40" s="335">
        <f t="shared" si="12"/>
        <v>23651.25</v>
      </c>
      <c r="C40" s="345">
        <f t="shared" si="10"/>
        <v>4902.8</v>
      </c>
      <c r="D40" s="345">
        <f t="shared" si="11"/>
        <v>1691.2875000000001</v>
      </c>
      <c r="E40" s="345">
        <f t="shared" si="13"/>
        <v>30245.337499999998</v>
      </c>
      <c r="H40" s="362" t="s">
        <v>250</v>
      </c>
      <c r="I40" s="363" t="s">
        <v>251</v>
      </c>
      <c r="J40" s="363" t="s">
        <v>252</v>
      </c>
      <c r="K40" s="364" t="s">
        <v>239</v>
      </c>
    </row>
    <row r="41" spans="1:13">
      <c r="A41" s="335" t="s">
        <v>270</v>
      </c>
      <c r="B41" s="335">
        <f t="shared" si="12"/>
        <v>23651.25</v>
      </c>
      <c r="C41" s="345">
        <f t="shared" si="10"/>
        <v>4902.8</v>
      </c>
      <c r="D41" s="345">
        <f t="shared" si="11"/>
        <v>1691.2875000000001</v>
      </c>
      <c r="E41" s="345">
        <f t="shared" si="13"/>
        <v>30245.337499999998</v>
      </c>
      <c r="H41" s="365" t="s">
        <v>287</v>
      </c>
      <c r="I41" s="353">
        <v>41971</v>
      </c>
      <c r="J41" s="354"/>
      <c r="K41" s="366">
        <v>90736.012000000002</v>
      </c>
      <c r="L41" s="552" t="s">
        <v>292</v>
      </c>
      <c r="M41" s="553"/>
    </row>
    <row r="42" spans="1:13" ht="17.25">
      <c r="A42" s="335" t="s">
        <v>271</v>
      </c>
      <c r="B42" s="335">
        <f t="shared" si="12"/>
        <v>23651.25</v>
      </c>
      <c r="C42" s="345">
        <f t="shared" si="10"/>
        <v>4902.8</v>
      </c>
      <c r="D42" s="345">
        <f t="shared" si="11"/>
        <v>1691.2875000000001</v>
      </c>
      <c r="E42" s="345">
        <f t="shared" si="13"/>
        <v>30245.337499999998</v>
      </c>
      <c r="H42" s="367" t="s">
        <v>255</v>
      </c>
      <c r="I42" s="330">
        <v>42063</v>
      </c>
      <c r="J42" s="331"/>
      <c r="K42" s="366">
        <v>90736.012000000002</v>
      </c>
      <c r="L42" s="552" t="s">
        <v>292</v>
      </c>
      <c r="M42" s="553"/>
    </row>
    <row r="43" spans="1:13" ht="17.25">
      <c r="A43" s="335" t="s">
        <v>272</v>
      </c>
      <c r="B43" s="335">
        <f t="shared" si="12"/>
        <v>23651.25</v>
      </c>
      <c r="C43" s="345">
        <f t="shared" si="10"/>
        <v>4902.8</v>
      </c>
      <c r="D43" s="345">
        <f t="shared" si="11"/>
        <v>1691.2875000000001</v>
      </c>
      <c r="E43" s="345">
        <f t="shared" si="13"/>
        <v>30245.337499999998</v>
      </c>
      <c r="H43" s="367" t="s">
        <v>257</v>
      </c>
      <c r="I43" s="330">
        <v>42152</v>
      </c>
      <c r="J43" s="331"/>
      <c r="K43" s="366">
        <v>90736.012000000002</v>
      </c>
      <c r="L43" s="552" t="s">
        <v>292</v>
      </c>
      <c r="M43" s="553"/>
    </row>
    <row r="44" spans="1:13" ht="17.25">
      <c r="A44" s="335" t="s">
        <v>273</v>
      </c>
      <c r="B44" s="335">
        <f t="shared" si="12"/>
        <v>23651.25</v>
      </c>
      <c r="C44" s="345">
        <f t="shared" si="10"/>
        <v>4902.8</v>
      </c>
      <c r="D44" s="345">
        <f t="shared" si="11"/>
        <v>1691.2875000000001</v>
      </c>
      <c r="E44" s="345">
        <f t="shared" si="13"/>
        <v>30245.337499999998</v>
      </c>
      <c r="H44" s="367" t="s">
        <v>259</v>
      </c>
      <c r="I44" s="330">
        <v>42244</v>
      </c>
      <c r="J44" s="331"/>
      <c r="K44" s="366">
        <v>90736.012000000002</v>
      </c>
      <c r="L44" s="552" t="s">
        <v>292</v>
      </c>
      <c r="M44" s="553"/>
    </row>
    <row r="45" spans="1:13">
      <c r="A45" s="335"/>
      <c r="B45" s="335"/>
      <c r="C45" s="335"/>
      <c r="D45" s="335"/>
      <c r="E45" s="335"/>
      <c r="H45" s="368"/>
      <c r="I45" s="356"/>
      <c r="J45" s="357"/>
      <c r="K45" s="369"/>
    </row>
    <row r="46" spans="1:13" ht="15.75" thickBot="1">
      <c r="A46" s="325" t="s">
        <v>206</v>
      </c>
      <c r="B46" s="336">
        <f>SUM(B33:B45)</f>
        <v>283815</v>
      </c>
      <c r="C46" s="336">
        <f>SUM(C33:C45)</f>
        <v>58833.600000000013</v>
      </c>
      <c r="D46" s="336">
        <f>SUM(D33:D45)</f>
        <v>20295.449999999997</v>
      </c>
      <c r="E46" s="336">
        <f>SUM(E33:E45)</f>
        <v>362944.05000000005</v>
      </c>
      <c r="H46" s="370" t="s">
        <v>206</v>
      </c>
      <c r="I46" s="371"/>
      <c r="J46" s="371"/>
      <c r="K46" s="372">
        <f>SUM(K41:K45)</f>
        <v>362944.04800000001</v>
      </c>
    </row>
    <row r="47" spans="1:13" s="326" customFormat="1">
      <c r="A47" s="153"/>
      <c r="H47" s="358"/>
      <c r="I47" s="310"/>
      <c r="J47" s="310"/>
      <c r="K47" s="310"/>
    </row>
    <row r="48" spans="1:13" s="326" customFormat="1">
      <c r="A48" s="153"/>
      <c r="H48" s="358"/>
      <c r="I48" s="310"/>
      <c r="J48" s="310"/>
      <c r="K48" s="310"/>
    </row>
    <row r="50" spans="1:13" s="347" customFormat="1" ht="18.75">
      <c r="A50" s="346"/>
      <c r="E50" s="348" t="s">
        <v>286</v>
      </c>
      <c r="F50" s="348"/>
      <c r="G50" s="348"/>
      <c r="H50" s="348"/>
      <c r="I50" s="348"/>
      <c r="J50" s="348"/>
      <c r="K50" s="348"/>
    </row>
    <row r="52" spans="1:13" ht="18.75">
      <c r="G52" s="326"/>
      <c r="H52" s="355"/>
      <c r="I52" s="355"/>
      <c r="J52" s="355"/>
      <c r="K52" s="355"/>
      <c r="L52" s="5"/>
      <c r="M52" s="326"/>
    </row>
    <row r="53" spans="1:13">
      <c r="B53" s="554" t="s">
        <v>262</v>
      </c>
      <c r="C53" s="554"/>
      <c r="D53" s="554"/>
      <c r="E53" s="323"/>
      <c r="G53" s="326"/>
      <c r="H53" s="326"/>
      <c r="I53" s="326"/>
      <c r="J53" s="326"/>
      <c r="K53" s="326"/>
      <c r="L53" s="326"/>
      <c r="M53" s="326"/>
    </row>
    <row r="54" spans="1:13">
      <c r="B54" s="554" t="s">
        <v>263</v>
      </c>
      <c r="C54" s="554"/>
      <c r="D54" s="554"/>
      <c r="E54" s="323"/>
      <c r="G54" s="326"/>
      <c r="H54" s="338"/>
      <c r="I54" s="338"/>
      <c r="J54" s="339" t="s">
        <v>278</v>
      </c>
      <c r="K54" s="338" t="s">
        <v>279</v>
      </c>
      <c r="L54" s="338" t="s">
        <v>280</v>
      </c>
      <c r="M54" s="326"/>
    </row>
    <row r="55" spans="1:13">
      <c r="G55" s="326"/>
      <c r="H55" s="340" t="s">
        <v>274</v>
      </c>
      <c r="I55" s="341"/>
      <c r="J55" s="341">
        <v>159</v>
      </c>
      <c r="K55" s="342">
        <v>1785</v>
      </c>
      <c r="L55" s="343">
        <f>J55*K55</f>
        <v>283815</v>
      </c>
      <c r="M55" s="326"/>
    </row>
    <row r="56" spans="1:13" ht="45">
      <c r="A56" s="336" t="s">
        <v>264</v>
      </c>
      <c r="B56" s="336" t="s">
        <v>274</v>
      </c>
      <c r="C56" s="325" t="s">
        <v>275</v>
      </c>
      <c r="D56" s="325" t="s">
        <v>276</v>
      </c>
      <c r="E56" s="336" t="s">
        <v>206</v>
      </c>
      <c r="G56" s="326"/>
      <c r="H56" s="340" t="s">
        <v>281</v>
      </c>
      <c r="I56" s="341"/>
      <c r="J56" s="341">
        <v>33.950000000000003</v>
      </c>
      <c r="K56" s="341">
        <v>1785</v>
      </c>
      <c r="L56" s="343">
        <f>J56*K56</f>
        <v>60600.750000000007</v>
      </c>
      <c r="M56" s="326"/>
    </row>
    <row r="57" spans="1:13">
      <c r="A57" s="324"/>
      <c r="B57" s="335"/>
      <c r="C57" s="335"/>
      <c r="D57" s="335"/>
      <c r="E57" s="335"/>
      <c r="G57" s="326"/>
      <c r="H57" s="340" t="s">
        <v>291</v>
      </c>
      <c r="I57" s="341"/>
      <c r="J57" s="341">
        <v>11.71</v>
      </c>
      <c r="K57" s="341">
        <v>1785</v>
      </c>
      <c r="L57" s="343">
        <f>J57*K57</f>
        <v>20902.350000000002</v>
      </c>
      <c r="M57" s="326"/>
    </row>
    <row r="58" spans="1:13">
      <c r="A58" s="324">
        <v>41609</v>
      </c>
      <c r="B58" s="335">
        <f t="shared" ref="B58" si="14">283815/12</f>
        <v>23651.25</v>
      </c>
      <c r="C58" s="345">
        <f>60600.75/12</f>
        <v>5050.0625</v>
      </c>
      <c r="D58" s="345">
        <f>20902.35/12</f>
        <v>1741.8625</v>
      </c>
      <c r="E58" s="345">
        <f t="shared" ref="E58" si="15">SUM(B58:D58)</f>
        <v>30443.174999999999</v>
      </c>
      <c r="G58" s="326"/>
      <c r="H58" s="349"/>
      <c r="I58" s="350"/>
      <c r="J58" s="350"/>
      <c r="K58" s="350"/>
      <c r="L58" s="351"/>
      <c r="M58" s="326"/>
    </row>
    <row r="59" spans="1:13">
      <c r="A59" s="335" t="s">
        <v>265</v>
      </c>
      <c r="B59" s="335">
        <f>283815/12</f>
        <v>23651.25</v>
      </c>
      <c r="C59" s="345">
        <f t="shared" ref="C59:C69" si="16">60600.75/12</f>
        <v>5050.0625</v>
      </c>
      <c r="D59" s="345">
        <f t="shared" ref="D59:D69" si="17">20902.35/12</f>
        <v>1741.8625</v>
      </c>
      <c r="E59" s="345">
        <f>SUM(B59:D59)</f>
        <v>30443.174999999999</v>
      </c>
      <c r="G59" s="326"/>
      <c r="H59" s="555" t="s">
        <v>284</v>
      </c>
      <c r="I59" s="555"/>
      <c r="J59" s="338">
        <f>SUM(J55:J58)</f>
        <v>204.66</v>
      </c>
      <c r="K59" s="338">
        <v>1785</v>
      </c>
      <c r="L59" s="344">
        <f>SUM(L55:L58)</f>
        <v>365318.1</v>
      </c>
      <c r="M59" s="326"/>
    </row>
    <row r="60" spans="1:13">
      <c r="A60" s="335" t="s">
        <v>266</v>
      </c>
      <c r="B60" s="335">
        <f t="shared" ref="B60:B69" si="18">283815/12</f>
        <v>23651.25</v>
      </c>
      <c r="C60" s="345">
        <f t="shared" si="16"/>
        <v>5050.0625</v>
      </c>
      <c r="D60" s="345">
        <f t="shared" si="17"/>
        <v>1741.8625</v>
      </c>
      <c r="E60" s="345">
        <f t="shared" ref="E60:E69" si="19">SUM(B60:D60)</f>
        <v>30443.174999999999</v>
      </c>
      <c r="G60" s="326"/>
      <c r="H60" s="326"/>
      <c r="I60" s="326"/>
      <c r="J60" s="326"/>
      <c r="K60" s="326"/>
      <c r="L60" s="326"/>
      <c r="M60" s="326"/>
    </row>
    <row r="61" spans="1:13" ht="15.75" thickBot="1">
      <c r="A61" s="335" t="s">
        <v>200</v>
      </c>
      <c r="B61" s="335">
        <f t="shared" si="18"/>
        <v>23651.25</v>
      </c>
      <c r="C61" s="345">
        <f t="shared" si="16"/>
        <v>5050.0625</v>
      </c>
      <c r="D61" s="345">
        <f t="shared" si="17"/>
        <v>1741.8625</v>
      </c>
      <c r="E61" s="345">
        <f t="shared" si="19"/>
        <v>30443.174999999999</v>
      </c>
      <c r="G61" s="326"/>
      <c r="H61" s="326"/>
      <c r="I61" s="326"/>
      <c r="J61" s="326"/>
      <c r="K61" s="326"/>
      <c r="L61" s="326"/>
      <c r="M61" s="326"/>
    </row>
    <row r="62" spans="1:13">
      <c r="A62" s="335" t="s">
        <v>198</v>
      </c>
      <c r="B62" s="335">
        <f t="shared" si="18"/>
        <v>23651.25</v>
      </c>
      <c r="C62" s="345">
        <f t="shared" si="16"/>
        <v>5050.0625</v>
      </c>
      <c r="D62" s="345">
        <f t="shared" si="17"/>
        <v>1741.8625</v>
      </c>
      <c r="E62" s="345">
        <f t="shared" si="19"/>
        <v>30443.174999999999</v>
      </c>
      <c r="G62" s="326"/>
      <c r="H62" s="556" t="s">
        <v>248</v>
      </c>
      <c r="I62" s="557"/>
      <c r="J62" s="557"/>
      <c r="K62" s="558"/>
      <c r="L62" s="326"/>
      <c r="M62" s="326"/>
    </row>
    <row r="63" spans="1:13">
      <c r="A63" s="335" t="s">
        <v>267</v>
      </c>
      <c r="B63" s="335">
        <f t="shared" si="18"/>
        <v>23651.25</v>
      </c>
      <c r="C63" s="345">
        <f t="shared" si="16"/>
        <v>5050.0625</v>
      </c>
      <c r="D63" s="345">
        <f t="shared" si="17"/>
        <v>1741.8625</v>
      </c>
      <c r="E63" s="345">
        <f t="shared" si="19"/>
        <v>30443.174999999999</v>
      </c>
      <c r="G63" s="326"/>
      <c r="H63" s="549" t="s">
        <v>249</v>
      </c>
      <c r="I63" s="550"/>
      <c r="J63" s="550"/>
      <c r="K63" s="551"/>
      <c r="L63" s="326"/>
      <c r="M63" s="326" t="s">
        <v>221</v>
      </c>
    </row>
    <row r="64" spans="1:13" ht="15.75" thickBot="1">
      <c r="A64" s="335" t="s">
        <v>268</v>
      </c>
      <c r="B64" s="335">
        <f t="shared" si="18"/>
        <v>23651.25</v>
      </c>
      <c r="C64" s="345">
        <f t="shared" si="16"/>
        <v>5050.0625</v>
      </c>
      <c r="D64" s="345">
        <f t="shared" si="17"/>
        <v>1741.8625</v>
      </c>
      <c r="E64" s="345">
        <f t="shared" si="19"/>
        <v>30443.174999999999</v>
      </c>
      <c r="G64" s="326"/>
      <c r="H64" s="359"/>
      <c r="I64" s="360" t="s">
        <v>277</v>
      </c>
      <c r="J64" s="360"/>
      <c r="K64" s="361"/>
      <c r="L64" s="326"/>
      <c r="M64" s="326"/>
    </row>
    <row r="65" spans="1:13">
      <c r="A65" s="335" t="s">
        <v>269</v>
      </c>
      <c r="B65" s="335">
        <f t="shared" si="18"/>
        <v>23651.25</v>
      </c>
      <c r="C65" s="345">
        <f t="shared" si="16"/>
        <v>5050.0625</v>
      </c>
      <c r="D65" s="345">
        <f t="shared" si="17"/>
        <v>1741.8625</v>
      </c>
      <c r="E65" s="345">
        <f t="shared" si="19"/>
        <v>30443.174999999999</v>
      </c>
      <c r="G65" s="326"/>
      <c r="H65" s="362" t="s">
        <v>250</v>
      </c>
      <c r="I65" s="363" t="s">
        <v>251</v>
      </c>
      <c r="J65" s="363" t="s">
        <v>252</v>
      </c>
      <c r="K65" s="364" t="s">
        <v>239</v>
      </c>
      <c r="L65" s="326"/>
      <c r="M65" s="326"/>
    </row>
    <row r="66" spans="1:13">
      <c r="A66" s="335" t="s">
        <v>270</v>
      </c>
      <c r="B66" s="335">
        <f t="shared" si="18"/>
        <v>23651.25</v>
      </c>
      <c r="C66" s="345">
        <f t="shared" si="16"/>
        <v>5050.0625</v>
      </c>
      <c r="D66" s="345">
        <f t="shared" si="17"/>
        <v>1741.8625</v>
      </c>
      <c r="E66" s="345">
        <f t="shared" si="19"/>
        <v>30443.174999999999</v>
      </c>
      <c r="G66" s="326"/>
      <c r="H66" s="365" t="s">
        <v>287</v>
      </c>
      <c r="I66" s="353">
        <v>42336</v>
      </c>
      <c r="J66" s="354"/>
      <c r="K66" s="366">
        <v>91329.53</v>
      </c>
      <c r="L66" s="552" t="s">
        <v>292</v>
      </c>
      <c r="M66" s="553"/>
    </row>
    <row r="67" spans="1:13" ht="17.25">
      <c r="A67" s="335" t="s">
        <v>271</v>
      </c>
      <c r="B67" s="335">
        <f t="shared" si="18"/>
        <v>23651.25</v>
      </c>
      <c r="C67" s="345">
        <f t="shared" si="16"/>
        <v>5050.0625</v>
      </c>
      <c r="D67" s="345">
        <f t="shared" si="17"/>
        <v>1741.8625</v>
      </c>
      <c r="E67" s="345">
        <f t="shared" si="19"/>
        <v>30443.174999999999</v>
      </c>
      <c r="G67" s="326"/>
      <c r="H67" s="367" t="s">
        <v>255</v>
      </c>
      <c r="I67" s="330">
        <v>42428</v>
      </c>
      <c r="J67" s="331"/>
      <c r="K67" s="366">
        <v>91329.53</v>
      </c>
      <c r="L67" s="552" t="s">
        <v>292</v>
      </c>
      <c r="M67" s="553"/>
    </row>
    <row r="68" spans="1:13" ht="17.25">
      <c r="A68" s="335" t="s">
        <v>272</v>
      </c>
      <c r="B68" s="335">
        <f t="shared" si="18"/>
        <v>23651.25</v>
      </c>
      <c r="C68" s="345">
        <f t="shared" si="16"/>
        <v>5050.0625</v>
      </c>
      <c r="D68" s="345">
        <f t="shared" si="17"/>
        <v>1741.8625</v>
      </c>
      <c r="E68" s="345">
        <f t="shared" si="19"/>
        <v>30443.174999999999</v>
      </c>
      <c r="G68" s="326"/>
      <c r="H68" s="367" t="s">
        <v>257</v>
      </c>
      <c r="I68" s="330">
        <v>42515</v>
      </c>
      <c r="J68" s="331"/>
      <c r="K68" s="366">
        <v>91329.53</v>
      </c>
      <c r="L68" s="552" t="s">
        <v>292</v>
      </c>
      <c r="M68" s="553"/>
    </row>
    <row r="69" spans="1:13" ht="17.25">
      <c r="A69" s="335" t="s">
        <v>273</v>
      </c>
      <c r="B69" s="335">
        <f t="shared" si="18"/>
        <v>23651.25</v>
      </c>
      <c r="C69" s="345">
        <f t="shared" si="16"/>
        <v>5050.0625</v>
      </c>
      <c r="D69" s="345">
        <f t="shared" si="17"/>
        <v>1741.8625</v>
      </c>
      <c r="E69" s="345">
        <f t="shared" si="19"/>
        <v>30443.174999999999</v>
      </c>
      <c r="G69" s="326"/>
      <c r="H69" s="367" t="s">
        <v>259</v>
      </c>
      <c r="I69" s="330">
        <v>42610</v>
      </c>
      <c r="J69" s="331"/>
      <c r="K69" s="366">
        <v>91329.53</v>
      </c>
      <c r="L69" s="552" t="s">
        <v>292</v>
      </c>
      <c r="M69" s="553"/>
    </row>
    <row r="70" spans="1:13">
      <c r="A70" s="335"/>
      <c r="B70" s="335"/>
      <c r="C70" s="335"/>
      <c r="D70" s="335"/>
      <c r="E70" s="335"/>
      <c r="G70" s="326"/>
      <c r="H70" s="368"/>
      <c r="I70" s="356"/>
      <c r="J70" s="357"/>
      <c r="K70" s="369"/>
      <c r="L70" s="326"/>
      <c r="M70" s="326"/>
    </row>
    <row r="71" spans="1:13" ht="15.75" thickBot="1">
      <c r="A71" s="325" t="s">
        <v>206</v>
      </c>
      <c r="B71" s="336">
        <f>SUM(B58:B70)</f>
        <v>283815</v>
      </c>
      <c r="C71" s="336">
        <f>SUM(C58:C70)</f>
        <v>60600.75</v>
      </c>
      <c r="D71" s="336">
        <f>SUM(D58:D70)</f>
        <v>20902.349999999995</v>
      </c>
      <c r="E71" s="336">
        <f>SUM(E58:E70)</f>
        <v>365318.09999999992</v>
      </c>
      <c r="G71" s="326"/>
      <c r="H71" s="370" t="s">
        <v>206</v>
      </c>
      <c r="I71" s="371"/>
      <c r="J71" s="371"/>
      <c r="K71" s="372">
        <f>SUM(K66:K70)</f>
        <v>365318.12</v>
      </c>
      <c r="L71" s="326"/>
      <c r="M71" s="326"/>
    </row>
    <row r="75" spans="1:13" s="347" customFormat="1" ht="18.75">
      <c r="A75" s="346"/>
      <c r="E75" s="348" t="s">
        <v>293</v>
      </c>
      <c r="F75" s="348"/>
      <c r="G75" s="348"/>
      <c r="H75" s="348"/>
      <c r="I75" s="348"/>
      <c r="J75" s="348"/>
      <c r="K75" s="348"/>
    </row>
  </sheetData>
  <mergeCells count="29">
    <mergeCell ref="B28:D28"/>
    <mergeCell ref="B29:D29"/>
    <mergeCell ref="H20:J20"/>
    <mergeCell ref="H21:J21"/>
    <mergeCell ref="B4:D4"/>
    <mergeCell ref="B5:D5"/>
    <mergeCell ref="H4:K4"/>
    <mergeCell ref="H5:K5"/>
    <mergeCell ref="H19:I19"/>
    <mergeCell ref="L8:M8"/>
    <mergeCell ref="L9:M9"/>
    <mergeCell ref="L10:M10"/>
    <mergeCell ref="L11:M11"/>
    <mergeCell ref="H34:I34"/>
    <mergeCell ref="H37:K37"/>
    <mergeCell ref="H38:K38"/>
    <mergeCell ref="L41:M41"/>
    <mergeCell ref="L42:M42"/>
    <mergeCell ref="L43:M43"/>
    <mergeCell ref="L44:M44"/>
    <mergeCell ref="B53:D53"/>
    <mergeCell ref="B54:D54"/>
    <mergeCell ref="H59:I59"/>
    <mergeCell ref="H62:K62"/>
    <mergeCell ref="H63:K63"/>
    <mergeCell ref="L66:M66"/>
    <mergeCell ref="L67:M67"/>
    <mergeCell ref="L68:M68"/>
    <mergeCell ref="L69:M6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72"/>
  <sheetViews>
    <sheetView zoomScale="85" zoomScaleNormal="85" zoomScaleSheetLayoutView="91" workbookViewId="0">
      <pane xSplit="2" ySplit="5" topLeftCell="C93" activePane="bottomRight" state="frozen"/>
      <selection activeCell="H20" sqref="H20:J20"/>
      <selection pane="topRight" activeCell="H20" sqref="H20:J20"/>
      <selection pane="bottomLeft" activeCell="H20" sqref="H20:J20"/>
      <selection pane="bottomRight" activeCell="A153" sqref="A153"/>
    </sheetView>
  </sheetViews>
  <sheetFormatPr defaultColWidth="9.140625" defaultRowHeight="15"/>
  <cols>
    <col min="1" max="1" width="6.42578125" style="104" bestFit="1" customWidth="1"/>
    <col min="2" max="2" width="37.140625" style="104" bestFit="1" customWidth="1"/>
    <col min="3" max="3" width="13.28515625" style="24" bestFit="1" customWidth="1"/>
    <col min="4" max="4" width="8.7109375" style="108" bestFit="1" customWidth="1"/>
    <col min="5" max="5" width="13.28515625" style="128" bestFit="1" customWidth="1"/>
    <col min="6" max="6" width="7.85546875" style="108" customWidth="1"/>
    <col min="7" max="7" width="13.28515625" style="128" bestFit="1" customWidth="1"/>
    <col min="8" max="8" width="7.7109375" style="108" bestFit="1" customWidth="1"/>
    <col min="9" max="9" width="15.42578125" style="24" customWidth="1"/>
    <col min="10" max="10" width="7.7109375" style="108" bestFit="1" customWidth="1"/>
    <col min="11" max="11" width="13.7109375" style="128" customWidth="1"/>
    <col min="12" max="12" width="8.85546875" style="108" bestFit="1" customWidth="1"/>
    <col min="13" max="13" width="14.28515625" style="24" customWidth="1"/>
    <col min="14" max="14" width="7.5703125" style="108" customWidth="1"/>
    <col min="15" max="15" width="13.5703125" style="24" customWidth="1"/>
    <col min="16" max="16" width="7.5703125" style="108" customWidth="1"/>
    <col min="17" max="17" width="14" style="24" customWidth="1"/>
    <col min="18" max="18" width="7.5703125" style="108" customWidth="1"/>
    <col min="19" max="19" width="13.5703125" style="24" customWidth="1"/>
    <col min="20" max="20" width="7.5703125" style="108" customWidth="1"/>
    <col min="21" max="21" width="13.5703125" style="128" customWidth="1"/>
    <col min="22" max="22" width="7.5703125" style="108" customWidth="1"/>
    <col min="23" max="23" width="12.5703125" style="104" bestFit="1" customWidth="1"/>
    <col min="24" max="24" width="7.5703125" style="108" customWidth="1"/>
    <col min="25" max="25" width="13.5703125" style="128" customWidth="1"/>
    <col min="26" max="26" width="7.5703125" style="108" customWidth="1"/>
    <col min="27" max="27" width="15.28515625" style="104" bestFit="1" customWidth="1"/>
    <col min="28" max="28" width="9.7109375" style="166" customWidth="1"/>
    <col min="29" max="29" width="12.85546875" style="104" customWidth="1"/>
    <col min="30" max="30" width="7.5703125" style="166" customWidth="1"/>
    <col min="31" max="31" width="22.5703125" style="104" hidden="1" customWidth="1"/>
    <col min="32" max="32" width="14" style="128" hidden="1" customWidth="1"/>
    <col min="33" max="33" width="57.42578125" style="104" hidden="1" customWidth="1"/>
    <col min="34" max="34" width="14.42578125" style="104" hidden="1" customWidth="1"/>
    <col min="35" max="35" width="9.140625" style="104" hidden="1" customWidth="1"/>
    <col min="36" max="36" width="13.28515625" style="294" hidden="1" customWidth="1"/>
    <col min="37" max="37" width="10.28515625" style="104" hidden="1" customWidth="1"/>
    <col min="38" max="40" width="14.28515625" style="104" hidden="1" customWidth="1"/>
    <col min="41" max="41" width="11.140625" style="5" bestFit="1" customWidth="1"/>
    <col min="42" max="42" width="14.7109375" style="1" customWidth="1"/>
    <col min="43" max="16384" width="9.140625" style="1"/>
  </cols>
  <sheetData>
    <row r="1" spans="1:42">
      <c r="A1" s="542" t="s">
        <v>240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3"/>
      <c r="AE1" s="1"/>
      <c r="AF1" s="63"/>
      <c r="AG1" s="1"/>
      <c r="AH1" s="75"/>
      <c r="AI1" s="75"/>
      <c r="AJ1" s="100"/>
      <c r="AK1" s="1"/>
      <c r="AL1" s="5"/>
      <c r="AM1" s="5"/>
      <c r="AN1" s="5"/>
      <c r="AO1" s="5" t="s">
        <v>245</v>
      </c>
      <c r="AP1" s="5">
        <v>16882.439999999999</v>
      </c>
    </row>
    <row r="2" spans="1:42">
      <c r="A2" s="26"/>
      <c r="B2" s="26"/>
      <c r="C2" s="134" t="s">
        <v>65</v>
      </c>
      <c r="D2" s="74"/>
      <c r="E2" s="544" t="s">
        <v>66</v>
      </c>
      <c r="F2" s="545"/>
      <c r="G2" s="318" t="s">
        <v>81</v>
      </c>
      <c r="H2" s="74"/>
      <c r="I2" s="544" t="s">
        <v>82</v>
      </c>
      <c r="J2" s="545"/>
      <c r="K2" s="544" t="s">
        <v>83</v>
      </c>
      <c r="L2" s="546"/>
      <c r="M2" s="544" t="s">
        <v>84</v>
      </c>
      <c r="N2" s="545"/>
      <c r="O2" s="544" t="s">
        <v>85</v>
      </c>
      <c r="P2" s="546"/>
      <c r="Q2" s="544" t="s">
        <v>86</v>
      </c>
      <c r="R2" s="545"/>
      <c r="S2" s="539" t="s">
        <v>87</v>
      </c>
      <c r="T2" s="539"/>
      <c r="U2" s="544" t="s">
        <v>108</v>
      </c>
      <c r="V2" s="546"/>
      <c r="W2" s="544" t="s">
        <v>109</v>
      </c>
      <c r="X2" s="545"/>
      <c r="Y2" s="539" t="s">
        <v>110</v>
      </c>
      <c r="Z2" s="539"/>
      <c r="AA2" s="540" t="s">
        <v>206</v>
      </c>
      <c r="AB2" s="540"/>
      <c r="AC2" s="541" t="s">
        <v>238</v>
      </c>
      <c r="AD2" s="541"/>
      <c r="AE2" s="89"/>
      <c r="AF2" s="154"/>
      <c r="AG2" s="89"/>
      <c r="AH2" s="541" t="s">
        <v>219</v>
      </c>
      <c r="AI2" s="541"/>
      <c r="AJ2" s="100" t="s">
        <v>206</v>
      </c>
      <c r="AK2" s="1"/>
      <c r="AL2" s="5"/>
      <c r="AM2" s="5"/>
      <c r="AN2" s="5"/>
    </row>
    <row r="3" spans="1:42" ht="15.75" thickBot="1">
      <c r="A3" s="47"/>
      <c r="B3" s="11" t="s">
        <v>70</v>
      </c>
      <c r="C3" s="135" t="s">
        <v>239</v>
      </c>
      <c r="D3" s="69" t="s">
        <v>80</v>
      </c>
      <c r="E3" s="135" t="s">
        <v>239</v>
      </c>
      <c r="F3" s="69" t="s">
        <v>80</v>
      </c>
      <c r="G3" s="135" t="s">
        <v>239</v>
      </c>
      <c r="H3" s="69" t="s">
        <v>80</v>
      </c>
      <c r="I3" s="135" t="s">
        <v>239</v>
      </c>
      <c r="J3" s="69" t="s">
        <v>80</v>
      </c>
      <c r="K3" s="135" t="s">
        <v>239</v>
      </c>
      <c r="L3" s="69" t="s">
        <v>80</v>
      </c>
      <c r="M3" s="135" t="s">
        <v>239</v>
      </c>
      <c r="N3" s="69" t="s">
        <v>80</v>
      </c>
      <c r="O3" s="135" t="s">
        <v>239</v>
      </c>
      <c r="P3" s="69" t="s">
        <v>80</v>
      </c>
      <c r="Q3" s="135" t="s">
        <v>239</v>
      </c>
      <c r="R3" s="69" t="s">
        <v>80</v>
      </c>
      <c r="S3" s="135" t="s">
        <v>239</v>
      </c>
      <c r="T3" s="69" t="s">
        <v>80</v>
      </c>
      <c r="U3" s="135" t="s">
        <v>239</v>
      </c>
      <c r="V3" s="69" t="s">
        <v>80</v>
      </c>
      <c r="W3" s="135" t="s">
        <v>239</v>
      </c>
      <c r="X3" s="69" t="s">
        <v>80</v>
      </c>
      <c r="Y3" s="135" t="s">
        <v>239</v>
      </c>
      <c r="Z3" s="69" t="s">
        <v>80</v>
      </c>
      <c r="AA3" s="231" t="s">
        <v>239</v>
      </c>
      <c r="AB3" s="232" t="s">
        <v>80</v>
      </c>
      <c r="AC3" s="233" t="s">
        <v>239</v>
      </c>
      <c r="AD3" s="234" t="s">
        <v>80</v>
      </c>
      <c r="AE3" s="157" t="s">
        <v>165</v>
      </c>
      <c r="AF3" s="235" t="s">
        <v>160</v>
      </c>
      <c r="AG3" s="157" t="s">
        <v>159</v>
      </c>
      <c r="AH3" s="233" t="s">
        <v>205</v>
      </c>
      <c r="AI3" s="234" t="s">
        <v>80</v>
      </c>
      <c r="AJ3" s="100"/>
      <c r="AK3" s="1"/>
      <c r="AL3" s="5"/>
      <c r="AM3" s="5"/>
      <c r="AN3" s="5"/>
    </row>
    <row r="4" spans="1:42">
      <c r="A4" s="1"/>
      <c r="B4" s="1"/>
      <c r="C4" s="136"/>
      <c r="D4" s="70"/>
      <c r="E4" s="53"/>
      <c r="F4" s="70"/>
      <c r="G4" s="78"/>
      <c r="H4" s="70"/>
      <c r="I4" s="18"/>
      <c r="J4" s="70"/>
      <c r="K4" s="53"/>
      <c r="L4" s="70"/>
      <c r="M4" s="18"/>
      <c r="N4" s="70"/>
      <c r="O4" s="18"/>
      <c r="P4" s="70"/>
      <c r="Q4" s="18"/>
      <c r="R4" s="70"/>
      <c r="S4" s="18"/>
      <c r="T4" s="70"/>
      <c r="U4" s="53"/>
      <c r="V4" s="70"/>
      <c r="W4" s="5"/>
      <c r="X4" s="70"/>
      <c r="Y4" s="53"/>
      <c r="AA4" s="280"/>
      <c r="AB4" s="281"/>
      <c r="AC4" s="282"/>
      <c r="AD4" s="281"/>
      <c r="AE4" s="282"/>
      <c r="AF4" s="283"/>
      <c r="AG4" s="282"/>
      <c r="AH4" s="282"/>
      <c r="AI4" s="284"/>
      <c r="AJ4" s="100"/>
      <c r="AK4" s="1"/>
      <c r="AL4" s="5"/>
      <c r="AM4" s="5"/>
      <c r="AN4" s="5"/>
    </row>
    <row r="5" spans="1:42" s="5" customFormat="1">
      <c r="A5" s="90">
        <v>5004</v>
      </c>
      <c r="B5" s="91" t="s">
        <v>72</v>
      </c>
      <c r="C5" s="97"/>
      <c r="D5" s="96"/>
      <c r="E5" s="95"/>
      <c r="F5" s="96"/>
      <c r="G5" s="97"/>
      <c r="H5" s="96"/>
      <c r="I5" s="95"/>
      <c r="J5" s="95"/>
      <c r="K5" s="97"/>
      <c r="L5" s="96"/>
      <c r="M5" s="95">
        <v>0</v>
      </c>
      <c r="N5" s="96"/>
      <c r="O5" s="95">
        <v>0</v>
      </c>
      <c r="P5" s="96"/>
      <c r="Q5" s="95">
        <v>0</v>
      </c>
      <c r="R5" s="96"/>
      <c r="S5" s="95">
        <v>0</v>
      </c>
      <c r="T5" s="96"/>
      <c r="U5" s="97">
        <v>0</v>
      </c>
      <c r="V5" s="96"/>
      <c r="W5" s="92">
        <v>0</v>
      </c>
      <c r="X5" s="96"/>
      <c r="Y5" s="97">
        <v>0</v>
      </c>
      <c r="Z5" s="219"/>
      <c r="AA5" s="285">
        <f>C5+E5+G5+I5+K5+M5+O5+Q5+S5+U5+W5+Y5</f>
        <v>0</v>
      </c>
      <c r="AB5" s="236"/>
      <c r="AC5" s="237">
        <f>AA5/7</f>
        <v>0</v>
      </c>
      <c r="AD5" s="236"/>
      <c r="AE5" s="170"/>
      <c r="AF5" s="238"/>
      <c r="AG5" s="238"/>
      <c r="AH5" s="237">
        <f>2265*365</f>
        <v>826725</v>
      </c>
      <c r="AI5" s="253"/>
      <c r="AJ5" s="295">
        <f t="shared" ref="AJ5:AJ68" si="0">SUM(AA5+AC5+AH5)</f>
        <v>826725</v>
      </c>
      <c r="AK5" s="53">
        <f t="shared" ref="AK5:AK68" si="1">AA5-AL5</f>
        <v>0</v>
      </c>
      <c r="AL5" s="53">
        <f>C5+E5+G5+I5+K5+M5+O5+Q5+S5+U5+W5+Y5</f>
        <v>0</v>
      </c>
      <c r="AM5" s="53">
        <f>G5*9.4+J5*9.4+K5*9.4+M5*9.4+O5*9.4+Q5*9.4+S5*9.4+U5*9.4+W5*9.4+Y5*9.4</f>
        <v>0</v>
      </c>
      <c r="AN5" s="53" t="e">
        <f>#REF!-AM5</f>
        <v>#REF!</v>
      </c>
      <c r="AO5" s="53"/>
    </row>
    <row r="6" spans="1:42">
      <c r="A6" s="1">
        <v>5005</v>
      </c>
      <c r="B6" s="15" t="s">
        <v>68</v>
      </c>
      <c r="C6" s="136"/>
      <c r="D6" s="49" t="e">
        <f>C6/C$5</f>
        <v>#DIV/0!</v>
      </c>
      <c r="E6" s="43"/>
      <c r="F6" s="49" t="e">
        <f>E6/E$5</f>
        <v>#DIV/0!</v>
      </c>
      <c r="G6" s="80"/>
      <c r="H6" s="49" t="e">
        <f>G6/G$5</f>
        <v>#DIV/0!</v>
      </c>
      <c r="I6" s="18"/>
      <c r="J6" s="49" t="e">
        <f t="shared" ref="J6:J11" si="2">I6/J$5</f>
        <v>#DIV/0!</v>
      </c>
      <c r="K6" s="43"/>
      <c r="L6" s="49" t="e">
        <f>K6/K$5</f>
        <v>#DIV/0!</v>
      </c>
      <c r="M6" s="18">
        <v>0</v>
      </c>
      <c r="N6" s="49" t="e">
        <f>M6/M$5</f>
        <v>#DIV/0!</v>
      </c>
      <c r="O6" s="23"/>
      <c r="P6" s="49" t="e">
        <f>O6/O$5</f>
        <v>#DIV/0!</v>
      </c>
      <c r="Q6" s="23">
        <v>0</v>
      </c>
      <c r="R6" s="49" t="e">
        <f>Q6/Q$5</f>
        <v>#DIV/0!</v>
      </c>
      <c r="S6" s="18">
        <v>0</v>
      </c>
      <c r="T6" s="49" t="e">
        <f>S6/S$5</f>
        <v>#DIV/0!</v>
      </c>
      <c r="U6" s="54">
        <v>0</v>
      </c>
      <c r="V6" s="49" t="e">
        <f>U6/U$5</f>
        <v>#DIV/0!</v>
      </c>
      <c r="W6" s="32">
        <v>0</v>
      </c>
      <c r="X6" s="49" t="e">
        <f>W6/W$5</f>
        <v>#DIV/0!</v>
      </c>
      <c r="Y6" s="43">
        <v>0</v>
      </c>
      <c r="Z6" s="179" t="e">
        <f>Y6/Y$5</f>
        <v>#DIV/0!</v>
      </c>
      <c r="AA6" s="286">
        <f t="shared" ref="AA6:AA11" si="3">C6+E6+G6+I6+K6+M6+O6+Q6+S6+U6+W6+Y6</f>
        <v>0</v>
      </c>
      <c r="AB6" s="213" t="e">
        <f>AA6/AA$5</f>
        <v>#DIV/0!</v>
      </c>
      <c r="AC6" s="205">
        <f t="shared" ref="AC6:AC75" si="4">AA6/7</f>
        <v>0</v>
      </c>
      <c r="AD6" s="213" t="e">
        <f>AC6/AC$5</f>
        <v>#DIV/0!</v>
      </c>
      <c r="AE6" s="75"/>
      <c r="AF6" s="169"/>
      <c r="AG6" s="75"/>
      <c r="AH6" s="205">
        <v>0</v>
      </c>
      <c r="AI6" s="254">
        <f>AH6/AH$5</f>
        <v>0</v>
      </c>
      <c r="AJ6" s="293">
        <f t="shared" si="0"/>
        <v>0</v>
      </c>
      <c r="AK6" s="53">
        <f t="shared" si="1"/>
        <v>0</v>
      </c>
      <c r="AL6" s="53">
        <f t="shared" ref="AL6:AL75" si="5">C6+E6+G6+I6+K6+M6+O6+Q6+S6+U6+W6+Y6</f>
        <v>0</v>
      </c>
      <c r="AM6" s="53">
        <f>G6*9.4+I6*9.4+K6*9.4+M6*9.4+O6*9.4+Q6*9.4+S6*9.4+U6*9.4+W6*9.4+Y6*9.4</f>
        <v>0</v>
      </c>
      <c r="AN6" s="53" t="e">
        <f>#REF!-AM6</f>
        <v>#REF!</v>
      </c>
      <c r="AO6" s="53"/>
    </row>
    <row r="7" spans="1:42">
      <c r="A7" s="13">
        <v>5051</v>
      </c>
      <c r="B7" s="119" t="s">
        <v>106</v>
      </c>
      <c r="C7" s="137"/>
      <c r="D7" s="49" t="e">
        <f t="shared" ref="D7:D11" si="6">C7/C$5</f>
        <v>#DIV/0!</v>
      </c>
      <c r="E7" s="60"/>
      <c r="F7" s="49" t="e">
        <f t="shared" ref="F7:F11" si="7">E7/E$5</f>
        <v>#DIV/0!</v>
      </c>
      <c r="G7" s="81"/>
      <c r="H7" s="49" t="e">
        <f t="shared" ref="H7:J11" si="8">G7/G$5</f>
        <v>#DIV/0!</v>
      </c>
      <c r="I7" s="19"/>
      <c r="J7" s="49" t="e">
        <f t="shared" si="2"/>
        <v>#DIV/0!</v>
      </c>
      <c r="K7" s="54"/>
      <c r="L7" s="49" t="e">
        <f t="shared" ref="L7:L11" si="9">K7/K$5</f>
        <v>#DIV/0!</v>
      </c>
      <c r="M7" s="19"/>
      <c r="N7" s="49" t="e">
        <f t="shared" ref="N7:N11" si="10">M7/M$5</f>
        <v>#DIV/0!</v>
      </c>
      <c r="O7" s="23">
        <v>0</v>
      </c>
      <c r="P7" s="49" t="e">
        <f t="shared" ref="P7:P11" si="11">O7/O$5</f>
        <v>#DIV/0!</v>
      </c>
      <c r="Q7" s="23">
        <v>0</v>
      </c>
      <c r="R7" s="49" t="e">
        <f t="shared" ref="R7:R11" si="12">Q7/Q$5</f>
        <v>#DIV/0!</v>
      </c>
      <c r="S7" s="23">
        <v>0</v>
      </c>
      <c r="T7" s="49" t="e">
        <f t="shared" ref="T7:T11" si="13">S7/S$5</f>
        <v>#DIV/0!</v>
      </c>
      <c r="U7" s="54">
        <v>0</v>
      </c>
      <c r="V7" s="49" t="e">
        <f t="shared" ref="V7:V11" si="14">U7/U$5</f>
        <v>#DIV/0!</v>
      </c>
      <c r="W7" s="32">
        <v>0</v>
      </c>
      <c r="X7" s="49" t="e">
        <f t="shared" ref="X7:X11" si="15">W7/W$5</f>
        <v>#DIV/0!</v>
      </c>
      <c r="Y7" s="54">
        <v>0</v>
      </c>
      <c r="Z7" s="179" t="e">
        <f t="shared" ref="Z7:Z11" si="16">Y7/Y$5</f>
        <v>#DIV/0!</v>
      </c>
      <c r="AA7" s="286">
        <f t="shared" si="3"/>
        <v>0</v>
      </c>
      <c r="AB7" s="214" t="e">
        <f t="shared" ref="AB7:AB11" si="17">AA7/AA$5</f>
        <v>#DIV/0!</v>
      </c>
      <c r="AC7" s="207">
        <f t="shared" si="4"/>
        <v>0</v>
      </c>
      <c r="AD7" s="214" t="e">
        <f t="shared" ref="AD7:AD11" si="18">AC7/AC$5</f>
        <v>#DIV/0!</v>
      </c>
      <c r="AE7" s="75"/>
      <c r="AF7" s="169"/>
      <c r="AG7" s="75"/>
      <c r="AH7" s="207">
        <v>0</v>
      </c>
      <c r="AI7" s="255">
        <f t="shared" ref="AI7:AI11" si="19">AH7/AH$5</f>
        <v>0</v>
      </c>
      <c r="AJ7" s="293">
        <f t="shared" si="0"/>
        <v>0</v>
      </c>
      <c r="AK7" s="53">
        <f t="shared" si="1"/>
        <v>0</v>
      </c>
      <c r="AL7" s="53">
        <f t="shared" si="5"/>
        <v>0</v>
      </c>
      <c r="AM7" s="53">
        <f>G7*9.4+I7*9.4+K7*9.4+M7*9.4+O7*9.4+Q7*9.4+S7*9.4+U7*9.4+W7*9.4+Y7*9.4</f>
        <v>0</v>
      </c>
      <c r="AN7" s="53" t="e">
        <f>#REF!-AM7</f>
        <v>#REF!</v>
      </c>
      <c r="AO7" s="53"/>
    </row>
    <row r="8" spans="1:42">
      <c r="A8" s="1">
        <v>5052</v>
      </c>
      <c r="B8" s="1" t="s">
        <v>90</v>
      </c>
      <c r="C8" s="23"/>
      <c r="D8" s="49" t="e">
        <f t="shared" si="6"/>
        <v>#DIV/0!</v>
      </c>
      <c r="E8" s="18"/>
      <c r="F8" s="49" t="e">
        <f t="shared" si="7"/>
        <v>#DIV/0!</v>
      </c>
      <c r="G8" s="18"/>
      <c r="H8" s="49" t="e">
        <f t="shared" si="8"/>
        <v>#DIV/0!</v>
      </c>
      <c r="I8" s="18"/>
      <c r="J8" s="49" t="e">
        <f t="shared" si="8"/>
        <v>#DIV/0!</v>
      </c>
      <c r="K8" s="18"/>
      <c r="L8" s="49" t="e">
        <f t="shared" si="9"/>
        <v>#DIV/0!</v>
      </c>
      <c r="M8" s="18"/>
      <c r="N8" s="49" t="e">
        <f t="shared" si="10"/>
        <v>#DIV/0!</v>
      </c>
      <c r="O8" s="18"/>
      <c r="P8" s="49" t="e">
        <f t="shared" si="11"/>
        <v>#DIV/0!</v>
      </c>
      <c r="Q8" s="18"/>
      <c r="R8" s="49" t="e">
        <f t="shared" si="12"/>
        <v>#DIV/0!</v>
      </c>
      <c r="S8" s="18"/>
      <c r="T8" s="49" t="e">
        <f t="shared" si="13"/>
        <v>#DIV/0!</v>
      </c>
      <c r="U8" s="18"/>
      <c r="V8" s="49" t="e">
        <f t="shared" si="14"/>
        <v>#DIV/0!</v>
      </c>
      <c r="W8" s="18"/>
      <c r="X8" s="49" t="e">
        <f t="shared" si="15"/>
        <v>#DIV/0!</v>
      </c>
      <c r="Y8" s="18"/>
      <c r="Z8" s="179" t="e">
        <f t="shared" si="16"/>
        <v>#DIV/0!</v>
      </c>
      <c r="AA8" s="286">
        <f t="shared" si="3"/>
        <v>0</v>
      </c>
      <c r="AB8" s="214" t="e">
        <f t="shared" si="17"/>
        <v>#DIV/0!</v>
      </c>
      <c r="AC8" s="215">
        <f t="shared" si="4"/>
        <v>0</v>
      </c>
      <c r="AD8" s="214" t="e">
        <f t="shared" si="18"/>
        <v>#DIV/0!</v>
      </c>
      <c r="AE8" s="75"/>
      <c r="AF8" s="169"/>
      <c r="AG8" s="75"/>
      <c r="AH8" s="215">
        <v>0</v>
      </c>
      <c r="AI8" s="255">
        <f t="shared" si="19"/>
        <v>0</v>
      </c>
      <c r="AJ8" s="293">
        <f t="shared" si="0"/>
        <v>0</v>
      </c>
      <c r="AK8" s="53">
        <f t="shared" si="1"/>
        <v>0</v>
      </c>
      <c r="AL8" s="53">
        <f t="shared" si="5"/>
        <v>0</v>
      </c>
      <c r="AM8" s="53">
        <f>G8*9.4+I8*9.4+K8*9.4+M8*9.4+O8*9.4+Q8*9.4+S8*9.4+U8*9.4+W8*9.4+Y8*9.4</f>
        <v>0</v>
      </c>
      <c r="AN8" s="53" t="e">
        <f>#REF!-AM8</f>
        <v>#REF!</v>
      </c>
      <c r="AO8" s="53"/>
    </row>
    <row r="9" spans="1:42">
      <c r="A9" s="1">
        <v>5101</v>
      </c>
      <c r="B9" s="15" t="s">
        <v>47</v>
      </c>
      <c r="C9" s="136"/>
      <c r="D9" s="49" t="e">
        <f t="shared" si="6"/>
        <v>#DIV/0!</v>
      </c>
      <c r="E9" s="136"/>
      <c r="F9" s="49" t="e">
        <f t="shared" si="7"/>
        <v>#DIV/0!</v>
      </c>
      <c r="G9" s="136"/>
      <c r="H9" s="49"/>
      <c r="I9" s="136"/>
      <c r="J9" s="49"/>
      <c r="K9" s="136"/>
      <c r="L9" s="49"/>
      <c r="M9" s="136">
        <v>0</v>
      </c>
      <c r="N9" s="49"/>
      <c r="O9" s="136">
        <v>0</v>
      </c>
      <c r="P9" s="49"/>
      <c r="Q9" s="136">
        <v>0</v>
      </c>
      <c r="R9" s="49"/>
      <c r="S9" s="136">
        <v>0</v>
      </c>
      <c r="T9" s="49"/>
      <c r="U9" s="136"/>
      <c r="V9" s="49"/>
      <c r="W9" s="136">
        <v>0</v>
      </c>
      <c r="X9" s="49"/>
      <c r="Y9" s="136">
        <v>0</v>
      </c>
      <c r="Z9" s="179"/>
      <c r="AA9" s="286">
        <f t="shared" si="3"/>
        <v>0</v>
      </c>
      <c r="AB9" s="214" t="e">
        <f t="shared" si="17"/>
        <v>#DIV/0!</v>
      </c>
      <c r="AC9" s="205">
        <f t="shared" si="4"/>
        <v>0</v>
      </c>
      <c r="AD9" s="214" t="e">
        <f t="shared" si="18"/>
        <v>#DIV/0!</v>
      </c>
      <c r="AE9" s="75"/>
      <c r="AF9" s="169"/>
      <c r="AG9" s="75"/>
      <c r="AH9" s="205">
        <f>AH5*0.9%</f>
        <v>7440.5250000000005</v>
      </c>
      <c r="AI9" s="255">
        <f t="shared" si="19"/>
        <v>9.0000000000000011E-3</v>
      </c>
      <c r="AJ9" s="293">
        <f t="shared" si="0"/>
        <v>7440.5250000000005</v>
      </c>
      <c r="AK9" s="53">
        <f t="shared" si="1"/>
        <v>0</v>
      </c>
      <c r="AL9" s="53">
        <f t="shared" si="5"/>
        <v>0</v>
      </c>
      <c r="AM9" s="53">
        <f>G9*9.4+I9*9.4+K9*9.4+M9*9.4+O9*9.4+Q9*9.4+S9*9.4+U9*9.4+W9*9.4+Y9*9.4</f>
        <v>0</v>
      </c>
      <c r="AN9" s="53" t="e">
        <f>#REF!-AM9</f>
        <v>#REF!</v>
      </c>
      <c r="AO9" s="53"/>
    </row>
    <row r="10" spans="1:42">
      <c r="A10" s="1">
        <v>5102</v>
      </c>
      <c r="B10" s="1" t="s">
        <v>210</v>
      </c>
      <c r="C10" s="136"/>
      <c r="D10" s="49" t="e">
        <f t="shared" si="6"/>
        <v>#DIV/0!</v>
      </c>
      <c r="E10" s="43"/>
      <c r="F10" s="49" t="e">
        <f t="shared" si="7"/>
        <v>#DIV/0!</v>
      </c>
      <c r="G10" s="80"/>
      <c r="H10" s="49" t="e">
        <f t="shared" si="8"/>
        <v>#DIV/0!</v>
      </c>
      <c r="I10" s="18"/>
      <c r="J10" s="49" t="e">
        <f t="shared" si="2"/>
        <v>#DIV/0!</v>
      </c>
      <c r="K10" s="43"/>
      <c r="L10" s="49" t="e">
        <f t="shared" si="9"/>
        <v>#DIV/0!</v>
      </c>
      <c r="M10" s="18"/>
      <c r="N10" s="49" t="e">
        <f t="shared" si="10"/>
        <v>#DIV/0!</v>
      </c>
      <c r="O10" s="18"/>
      <c r="P10" s="49" t="e">
        <f t="shared" si="11"/>
        <v>#DIV/0!</v>
      </c>
      <c r="Q10" s="18"/>
      <c r="R10" s="49" t="e">
        <f t="shared" si="12"/>
        <v>#DIV/0!</v>
      </c>
      <c r="S10" s="18"/>
      <c r="T10" s="49" t="e">
        <f t="shared" si="13"/>
        <v>#DIV/0!</v>
      </c>
      <c r="U10" s="43"/>
      <c r="V10" s="49" t="e">
        <f t="shared" si="14"/>
        <v>#DIV/0!</v>
      </c>
      <c r="W10" s="33"/>
      <c r="X10" s="49" t="e">
        <f t="shared" si="15"/>
        <v>#DIV/0!</v>
      </c>
      <c r="Y10" s="18"/>
      <c r="Z10" s="179" t="e">
        <f t="shared" si="16"/>
        <v>#DIV/0!</v>
      </c>
      <c r="AA10" s="286">
        <f t="shared" si="3"/>
        <v>0</v>
      </c>
      <c r="AB10" s="214" t="e">
        <f t="shared" si="17"/>
        <v>#DIV/0!</v>
      </c>
      <c r="AC10" s="215">
        <f t="shared" si="4"/>
        <v>0</v>
      </c>
      <c r="AD10" s="214" t="e">
        <f t="shared" si="18"/>
        <v>#DIV/0!</v>
      </c>
      <c r="AE10" s="75"/>
      <c r="AF10" s="169"/>
      <c r="AG10" s="75"/>
      <c r="AH10" s="215">
        <f>AH5*1.7%</f>
        <v>14054.325000000001</v>
      </c>
      <c r="AI10" s="255">
        <f t="shared" si="19"/>
        <v>1.7000000000000001E-2</v>
      </c>
      <c r="AJ10" s="293">
        <f t="shared" si="0"/>
        <v>14054.325000000001</v>
      </c>
      <c r="AK10" s="53">
        <f t="shared" si="1"/>
        <v>0</v>
      </c>
      <c r="AL10" s="53">
        <f t="shared" si="5"/>
        <v>0</v>
      </c>
      <c r="AM10" s="53"/>
      <c r="AN10" s="53"/>
      <c r="AO10" s="53"/>
    </row>
    <row r="11" spans="1:42">
      <c r="A11" s="1">
        <v>5103</v>
      </c>
      <c r="B11" s="15" t="s">
        <v>64</v>
      </c>
      <c r="C11" s="136"/>
      <c r="D11" s="49" t="e">
        <f t="shared" si="6"/>
        <v>#DIV/0!</v>
      </c>
      <c r="E11" s="43"/>
      <c r="F11" s="49" t="e">
        <f t="shared" si="7"/>
        <v>#DIV/0!</v>
      </c>
      <c r="G11" s="80"/>
      <c r="H11" s="49" t="e">
        <f t="shared" si="8"/>
        <v>#DIV/0!</v>
      </c>
      <c r="I11" s="18"/>
      <c r="J11" s="49" t="e">
        <f t="shared" si="2"/>
        <v>#DIV/0!</v>
      </c>
      <c r="K11" s="43"/>
      <c r="L11" s="49" t="e">
        <f t="shared" si="9"/>
        <v>#DIV/0!</v>
      </c>
      <c r="M11" s="18"/>
      <c r="N11" s="49" t="e">
        <f t="shared" si="10"/>
        <v>#DIV/0!</v>
      </c>
      <c r="O11" s="18"/>
      <c r="P11" s="49" t="e">
        <f t="shared" si="11"/>
        <v>#DIV/0!</v>
      </c>
      <c r="Q11" s="18"/>
      <c r="R11" s="49" t="e">
        <f t="shared" si="12"/>
        <v>#DIV/0!</v>
      </c>
      <c r="S11" s="18"/>
      <c r="T11" s="49" t="e">
        <f t="shared" si="13"/>
        <v>#DIV/0!</v>
      </c>
      <c r="U11" s="43"/>
      <c r="V11" s="49" t="e">
        <f t="shared" si="14"/>
        <v>#DIV/0!</v>
      </c>
      <c r="W11" s="33"/>
      <c r="X11" s="49" t="e">
        <f t="shared" si="15"/>
        <v>#DIV/0!</v>
      </c>
      <c r="Y11" s="43"/>
      <c r="Z11" s="179" t="e">
        <f t="shared" si="16"/>
        <v>#DIV/0!</v>
      </c>
      <c r="AA11" s="286">
        <f t="shared" si="3"/>
        <v>0</v>
      </c>
      <c r="AB11" s="214" t="e">
        <f t="shared" si="17"/>
        <v>#DIV/0!</v>
      </c>
      <c r="AC11" s="215">
        <f t="shared" si="4"/>
        <v>0</v>
      </c>
      <c r="AD11" s="214" t="e">
        <f t="shared" si="18"/>
        <v>#DIV/0!</v>
      </c>
      <c r="AE11" s="75"/>
      <c r="AF11" s="169"/>
      <c r="AG11" s="75"/>
      <c r="AH11" s="215">
        <v>0</v>
      </c>
      <c r="AI11" s="255">
        <f t="shared" si="19"/>
        <v>0</v>
      </c>
      <c r="AJ11" s="293">
        <f t="shared" si="0"/>
        <v>0</v>
      </c>
      <c r="AK11" s="53">
        <f t="shared" si="1"/>
        <v>0</v>
      </c>
      <c r="AL11" s="53">
        <f t="shared" si="5"/>
        <v>0</v>
      </c>
      <c r="AM11" s="53">
        <f t="shared" ref="AM11:AM80" si="20">G11*9.4+I11*9.4+K11*9.4+M11*9.4+O11*9.4+Q11*9.4+S11*9.4+U11*9.4+W11*9.4+Y11*9.4</f>
        <v>0</v>
      </c>
      <c r="AN11" s="53" t="e">
        <f>#REF!-AM11</f>
        <v>#REF!</v>
      </c>
      <c r="AO11" s="53"/>
    </row>
    <row r="12" spans="1:42" ht="15.75" thickBot="1">
      <c r="A12" s="6">
        <v>5149</v>
      </c>
      <c r="B12" s="120" t="s">
        <v>67</v>
      </c>
      <c r="C12" s="55">
        <f>C5+C6-C7-C8-C9-C10+C11</f>
        <v>0</v>
      </c>
      <c r="D12" s="88">
        <v>1</v>
      </c>
      <c r="E12" s="55"/>
      <c r="F12" s="88">
        <v>1</v>
      </c>
      <c r="G12" s="55">
        <f>G5+G6-G7-G8-G9-G10+G11</f>
        <v>0</v>
      </c>
      <c r="H12" s="88">
        <v>1</v>
      </c>
      <c r="I12" s="55">
        <f>I5+I6-I7-I8-I9-I10+I11</f>
        <v>0</v>
      </c>
      <c r="J12" s="88">
        <v>1</v>
      </c>
      <c r="K12" s="55">
        <f>K5+K6-K7-K8-K9-K10+K11</f>
        <v>0</v>
      </c>
      <c r="L12" s="88">
        <v>1</v>
      </c>
      <c r="M12" s="55">
        <f>M5+M6-M7-M8-M9-M10+M11</f>
        <v>0</v>
      </c>
      <c r="N12" s="88">
        <v>1</v>
      </c>
      <c r="O12" s="55">
        <f>O5+O6-O7-O8-O9-O10+O11</f>
        <v>0</v>
      </c>
      <c r="P12" s="88">
        <v>1</v>
      </c>
      <c r="Q12" s="55">
        <f>Q5+Q6-Q7-Q8-Q9-Q10+Q11</f>
        <v>0</v>
      </c>
      <c r="R12" s="88">
        <v>1</v>
      </c>
      <c r="S12" s="55">
        <f>S5+S6-S7-S8-S9-S10+S11</f>
        <v>0</v>
      </c>
      <c r="T12" s="88">
        <v>1</v>
      </c>
      <c r="U12" s="55">
        <f>U5+U6-U7-U8-U9-U10+U11</f>
        <v>0</v>
      </c>
      <c r="V12" s="88">
        <v>1</v>
      </c>
      <c r="W12" s="55">
        <f>W5+W6-W7-W8-W9-W10+W11</f>
        <v>0</v>
      </c>
      <c r="X12" s="88">
        <v>1</v>
      </c>
      <c r="Y12" s="55">
        <f>Y5+Y6-Y7-Y8-Y9-Y10+Y11</f>
        <v>0</v>
      </c>
      <c r="Z12" s="220">
        <v>1</v>
      </c>
      <c r="AA12" s="211">
        <f>AA5+AA6-AA7-AA8-AA9-AA10+AA11</f>
        <v>0</v>
      </c>
      <c r="AB12" s="239">
        <v>1</v>
      </c>
      <c r="AC12" s="210">
        <f t="shared" si="4"/>
        <v>0</v>
      </c>
      <c r="AD12" s="239">
        <v>1</v>
      </c>
      <c r="AE12" s="169" t="s">
        <v>163</v>
      </c>
      <c r="AF12" s="169"/>
      <c r="AG12" s="75" t="s">
        <v>197</v>
      </c>
      <c r="AH12" s="210">
        <f>AH5+AH6-AH7-AH8-AH9-AH10+AH11</f>
        <v>805230.15</v>
      </c>
      <c r="AI12" s="256">
        <v>1</v>
      </c>
      <c r="AJ12" s="297">
        <f t="shared" si="0"/>
        <v>805230.15</v>
      </c>
      <c r="AK12" s="53">
        <f t="shared" si="1"/>
        <v>0</v>
      </c>
      <c r="AL12" s="53">
        <f t="shared" si="5"/>
        <v>0</v>
      </c>
      <c r="AM12" s="53">
        <f t="shared" si="20"/>
        <v>0</v>
      </c>
      <c r="AN12" s="53" t="e">
        <f>#REF!-AM12</f>
        <v>#REF!</v>
      </c>
      <c r="AO12" s="53"/>
    </row>
    <row r="13" spans="1:42" ht="15.75" thickTop="1">
      <c r="A13" s="1">
        <v>5151</v>
      </c>
      <c r="B13" s="15" t="s">
        <v>48</v>
      </c>
      <c r="C13" s="136"/>
      <c r="D13" s="70"/>
      <c r="E13" s="43"/>
      <c r="F13" s="70"/>
      <c r="G13" s="80"/>
      <c r="H13" s="70"/>
      <c r="I13" s="18"/>
      <c r="J13" s="70"/>
      <c r="K13" s="43"/>
      <c r="L13" s="70"/>
      <c r="M13" s="18"/>
      <c r="N13" s="70"/>
      <c r="O13" s="18"/>
      <c r="P13" s="70"/>
      <c r="Q13" s="18"/>
      <c r="R13" s="70"/>
      <c r="S13" s="18"/>
      <c r="T13" s="70"/>
      <c r="U13" s="43"/>
      <c r="V13" s="70"/>
      <c r="W13" s="33"/>
      <c r="X13" s="70"/>
      <c r="Y13" s="43"/>
      <c r="AA13" s="286">
        <f>C13+E13+G13+I13+K13+M13+O13+Q13+S13+U13+W13+Y13</f>
        <v>0</v>
      </c>
      <c r="AB13" s="213"/>
      <c r="AC13" s="205">
        <f t="shared" si="4"/>
        <v>0</v>
      </c>
      <c r="AD13" s="213"/>
      <c r="AE13" s="75"/>
      <c r="AF13" s="169"/>
      <c r="AG13" s="75"/>
      <c r="AH13" s="205">
        <v>0</v>
      </c>
      <c r="AI13" s="254"/>
      <c r="AJ13" s="293">
        <f t="shared" si="0"/>
        <v>0</v>
      </c>
      <c r="AK13" s="53">
        <f t="shared" si="1"/>
        <v>0</v>
      </c>
      <c r="AL13" s="53">
        <f t="shared" si="5"/>
        <v>0</v>
      </c>
      <c r="AM13" s="53">
        <f t="shared" si="20"/>
        <v>0</v>
      </c>
      <c r="AN13" s="53" t="e">
        <f>#REF!-AM13</f>
        <v>#REF!</v>
      </c>
      <c r="AO13" s="53"/>
    </row>
    <row r="14" spans="1:42">
      <c r="A14" s="1">
        <v>5152</v>
      </c>
      <c r="B14" s="15" t="s">
        <v>49</v>
      </c>
      <c r="C14" s="136"/>
      <c r="D14" s="70"/>
      <c r="E14" s="43"/>
      <c r="F14" s="70"/>
      <c r="G14" s="80"/>
      <c r="H14" s="70"/>
      <c r="I14" s="18"/>
      <c r="J14" s="70"/>
      <c r="K14" s="43"/>
      <c r="L14" s="70"/>
      <c r="M14" s="18"/>
      <c r="N14" s="70"/>
      <c r="O14" s="18"/>
      <c r="P14" s="70"/>
      <c r="Q14" s="18"/>
      <c r="R14" s="70"/>
      <c r="S14" s="18"/>
      <c r="T14" s="70"/>
      <c r="U14" s="43"/>
      <c r="V14" s="70"/>
      <c r="W14" s="33"/>
      <c r="X14" s="70"/>
      <c r="Y14" s="43"/>
      <c r="AA14" s="286">
        <f>C14+E14+G14+I14+K14+M14+O14+Q14+S14+U14+W14+Y14</f>
        <v>0</v>
      </c>
      <c r="AB14" s="213"/>
      <c r="AC14" s="205">
        <f t="shared" si="4"/>
        <v>0</v>
      </c>
      <c r="AD14" s="213"/>
      <c r="AE14" s="75"/>
      <c r="AF14" s="169"/>
      <c r="AG14" s="75"/>
      <c r="AH14" s="205">
        <v>0</v>
      </c>
      <c r="AI14" s="254"/>
      <c r="AJ14" s="293">
        <f t="shared" si="0"/>
        <v>0</v>
      </c>
      <c r="AK14" s="53">
        <f t="shared" si="1"/>
        <v>0</v>
      </c>
      <c r="AL14" s="53">
        <f t="shared" si="5"/>
        <v>0</v>
      </c>
      <c r="AM14" s="53">
        <f t="shared" si="20"/>
        <v>0</v>
      </c>
      <c r="AN14" s="53" t="e">
        <f>#REF!-AM14</f>
        <v>#REF!</v>
      </c>
      <c r="AO14" s="53"/>
    </row>
    <row r="15" spans="1:42" ht="15.75" thickBot="1">
      <c r="A15" s="35">
        <v>5198</v>
      </c>
      <c r="B15" s="121" t="s">
        <v>93</v>
      </c>
      <c r="C15" s="138">
        <f>C13+C14</f>
        <v>0</v>
      </c>
      <c r="D15" s="71"/>
      <c r="E15" s="56"/>
      <c r="F15" s="71"/>
      <c r="G15" s="83">
        <f>G13+G14</f>
        <v>0</v>
      </c>
      <c r="H15" s="71"/>
      <c r="I15" s="132">
        <f>I13+I14</f>
        <v>0</v>
      </c>
      <c r="J15" s="71"/>
      <c r="K15" s="56">
        <f>K13+K14</f>
        <v>0</v>
      </c>
      <c r="L15" s="71"/>
      <c r="M15" s="132">
        <f>M13+M14</f>
        <v>0</v>
      </c>
      <c r="N15" s="71"/>
      <c r="O15" s="132">
        <f>O13+O14</f>
        <v>0</v>
      </c>
      <c r="P15" s="71"/>
      <c r="Q15" s="132">
        <f>Q13+Q14</f>
        <v>0</v>
      </c>
      <c r="R15" s="71"/>
      <c r="S15" s="132">
        <f>S13+S14</f>
        <v>0</v>
      </c>
      <c r="T15" s="71"/>
      <c r="U15" s="56">
        <f>U13+U14</f>
        <v>0</v>
      </c>
      <c r="V15" s="71"/>
      <c r="W15" s="36">
        <f>W13+W14</f>
        <v>0</v>
      </c>
      <c r="X15" s="71"/>
      <c r="Y15" s="56">
        <f>Y13+Y14</f>
        <v>0</v>
      </c>
      <c r="Z15" s="221"/>
      <c r="AA15" s="287">
        <f>AA13+AA14</f>
        <v>0</v>
      </c>
      <c r="AB15" s="241"/>
      <c r="AC15" s="242">
        <f t="shared" si="4"/>
        <v>0</v>
      </c>
      <c r="AD15" s="241"/>
      <c r="AE15" s="75"/>
      <c r="AF15" s="169"/>
      <c r="AG15" s="75"/>
      <c r="AH15" s="242">
        <v>0</v>
      </c>
      <c r="AI15" s="257"/>
      <c r="AJ15" s="293">
        <f t="shared" si="0"/>
        <v>0</v>
      </c>
      <c r="AK15" s="53">
        <f t="shared" si="1"/>
        <v>0</v>
      </c>
      <c r="AL15" s="53">
        <f t="shared" si="5"/>
        <v>0</v>
      </c>
      <c r="AM15" s="53">
        <f t="shared" si="20"/>
        <v>0</v>
      </c>
      <c r="AN15" s="53" t="e">
        <f>#REF!-AM15</f>
        <v>#REF!</v>
      </c>
      <c r="AO15" s="53"/>
    </row>
    <row r="16" spans="1:42" ht="16.5" thickTop="1" thickBot="1">
      <c r="A16" s="37">
        <v>5199</v>
      </c>
      <c r="B16" s="122" t="s">
        <v>71</v>
      </c>
      <c r="C16" s="139">
        <f>C12+C15</f>
        <v>0</v>
      </c>
      <c r="D16" s="39" t="e">
        <f>C16/C12</f>
        <v>#DIV/0!</v>
      </c>
      <c r="E16" s="57"/>
      <c r="F16" s="39" t="e">
        <f>E16/E12</f>
        <v>#DIV/0!</v>
      </c>
      <c r="G16" s="84">
        <f>G12+G15</f>
        <v>0</v>
      </c>
      <c r="H16" s="39" t="e">
        <f>G16/G12</f>
        <v>#DIV/0!</v>
      </c>
      <c r="I16" s="133">
        <f>I12+I15</f>
        <v>0</v>
      </c>
      <c r="J16" s="39" t="e">
        <f>I16/I12</f>
        <v>#DIV/0!</v>
      </c>
      <c r="K16" s="57">
        <f>K12+K15</f>
        <v>0</v>
      </c>
      <c r="L16" s="39" t="e">
        <f>K16/K12</f>
        <v>#DIV/0!</v>
      </c>
      <c r="M16" s="133">
        <f>M12+M15</f>
        <v>0</v>
      </c>
      <c r="N16" s="39" t="e">
        <f>M16/M12</f>
        <v>#DIV/0!</v>
      </c>
      <c r="O16" s="133">
        <f>O12+O15</f>
        <v>0</v>
      </c>
      <c r="P16" s="39" t="e">
        <f>O16/O12</f>
        <v>#DIV/0!</v>
      </c>
      <c r="Q16" s="133">
        <f>Q12+Q15</f>
        <v>0</v>
      </c>
      <c r="R16" s="39" t="e">
        <f>Q16/Q12</f>
        <v>#DIV/0!</v>
      </c>
      <c r="S16" s="133">
        <f>S12+S15</f>
        <v>0</v>
      </c>
      <c r="T16" s="39" t="e">
        <f>S16/S12</f>
        <v>#DIV/0!</v>
      </c>
      <c r="U16" s="57">
        <f>U12+U15</f>
        <v>0</v>
      </c>
      <c r="V16" s="39" t="e">
        <f>U16/U12</f>
        <v>#DIV/0!</v>
      </c>
      <c r="W16" s="38">
        <f>W12+W15</f>
        <v>0</v>
      </c>
      <c r="X16" s="39" t="e">
        <f>W16/W12</f>
        <v>#DIV/0!</v>
      </c>
      <c r="Y16" s="57">
        <f>Y12+Y15</f>
        <v>0</v>
      </c>
      <c r="Z16" s="222" t="e">
        <f>Y16/Y12</f>
        <v>#DIV/0!</v>
      </c>
      <c r="AA16" s="288">
        <f>AA12+AA15</f>
        <v>0</v>
      </c>
      <c r="AB16" s="244" t="e">
        <f>AA16/AA12</f>
        <v>#DIV/0!</v>
      </c>
      <c r="AC16" s="243">
        <f t="shared" si="4"/>
        <v>0</v>
      </c>
      <c r="AD16" s="244" t="e">
        <f>AC16/AC12</f>
        <v>#DIV/0!</v>
      </c>
      <c r="AE16" s="75"/>
      <c r="AF16" s="169"/>
      <c r="AG16" s="75"/>
      <c r="AH16" s="243">
        <f>AH12+AH15</f>
        <v>805230.15</v>
      </c>
      <c r="AI16" s="258">
        <f>AH16/AH12</f>
        <v>1</v>
      </c>
      <c r="AJ16" s="298">
        <f t="shared" si="0"/>
        <v>805230.15</v>
      </c>
      <c r="AK16" s="53">
        <f t="shared" si="1"/>
        <v>0</v>
      </c>
      <c r="AL16" s="53">
        <f t="shared" si="5"/>
        <v>0</v>
      </c>
      <c r="AM16" s="53">
        <f t="shared" si="20"/>
        <v>0</v>
      </c>
      <c r="AN16" s="53" t="e">
        <f>#REF!-AM16</f>
        <v>#REF!</v>
      </c>
      <c r="AO16" s="53"/>
    </row>
    <row r="17" spans="1:43" ht="15.75" thickTop="1">
      <c r="A17" s="12">
        <v>5502</v>
      </c>
      <c r="B17" s="14" t="s">
        <v>50</v>
      </c>
      <c r="C17" s="136">
        <f>C12*60%</f>
        <v>0</v>
      </c>
      <c r="D17" s="49" t="e">
        <f>C17/C12</f>
        <v>#DIV/0!</v>
      </c>
      <c r="E17" s="80">
        <f>E12*52.46%</f>
        <v>0</v>
      </c>
      <c r="F17" s="49" t="e">
        <f>E17/E12</f>
        <v>#DIV/0!</v>
      </c>
      <c r="G17" s="80">
        <f>G12*54.62%</f>
        <v>0</v>
      </c>
      <c r="H17" s="49" t="e">
        <f>G17/G12</f>
        <v>#DIV/0!</v>
      </c>
      <c r="I17" s="24">
        <f>I12*46.22%</f>
        <v>0</v>
      </c>
      <c r="J17" s="49" t="e">
        <f>I17/I12</f>
        <v>#DIV/0!</v>
      </c>
      <c r="K17" s="61">
        <f>K12*49.11%</f>
        <v>0</v>
      </c>
      <c r="L17" s="49" t="e">
        <f>K17/K12</f>
        <v>#DIV/0!</v>
      </c>
      <c r="M17" s="24">
        <f>M12*47%</f>
        <v>0</v>
      </c>
      <c r="N17" s="49" t="e">
        <f>M17/M12</f>
        <v>#DIV/0!</v>
      </c>
      <c r="O17" s="24">
        <f>O12*48.05%</f>
        <v>0</v>
      </c>
      <c r="P17" s="49" t="e">
        <f>O17/O12</f>
        <v>#DIV/0!</v>
      </c>
      <c r="Q17" s="24">
        <f>Q12*55.61%</f>
        <v>0</v>
      </c>
      <c r="R17" s="49" t="e">
        <f>Q17/Q12</f>
        <v>#DIV/0!</v>
      </c>
      <c r="S17" s="24">
        <f>S12*48.05%</f>
        <v>0</v>
      </c>
      <c r="T17" s="49" t="e">
        <f>S17/S12</f>
        <v>#DIV/0!</v>
      </c>
      <c r="U17" s="80">
        <f>U12*47.06%</f>
        <v>0</v>
      </c>
      <c r="V17" s="49" t="e">
        <f>U17/U12</f>
        <v>#DIV/0!</v>
      </c>
      <c r="W17" s="61">
        <f>W12*45.02%</f>
        <v>0</v>
      </c>
      <c r="X17" s="49" t="e">
        <f>W17/W12</f>
        <v>#DIV/0!</v>
      </c>
      <c r="Y17" s="61">
        <f>Y12*45.54%</f>
        <v>0</v>
      </c>
      <c r="Z17" s="49" t="e">
        <f>Y17/Y12</f>
        <v>#DIV/0!</v>
      </c>
      <c r="AA17" s="286">
        <f>C17+E17+G17+I17+K17+M17+O17+Q17+S17+U17+W17+Y17</f>
        <v>0</v>
      </c>
      <c r="AB17" s="214" t="e">
        <f>AA17/AA12</f>
        <v>#DIV/0!</v>
      </c>
      <c r="AC17" s="216">
        <f t="shared" si="4"/>
        <v>0</v>
      </c>
      <c r="AD17" s="214" t="e">
        <f>AC17/AC12</f>
        <v>#DIV/0!</v>
      </c>
      <c r="AE17" s="75" t="s">
        <v>164</v>
      </c>
      <c r="AF17" s="171">
        <v>0.50339999999999996</v>
      </c>
      <c r="AG17" s="75" t="s">
        <v>197</v>
      </c>
      <c r="AH17" s="216">
        <f>AH12*50%</f>
        <v>402615.07500000001</v>
      </c>
      <c r="AI17" s="255">
        <f>AH17/AH12</f>
        <v>0.5</v>
      </c>
      <c r="AJ17" s="293">
        <f t="shared" si="0"/>
        <v>402615.07500000001</v>
      </c>
      <c r="AK17" s="53">
        <f t="shared" si="1"/>
        <v>0</v>
      </c>
      <c r="AL17" s="53">
        <f t="shared" si="5"/>
        <v>0</v>
      </c>
      <c r="AM17" s="53">
        <f t="shared" si="20"/>
        <v>0</v>
      </c>
      <c r="AN17" s="53" t="e">
        <f>#REF!-AM17</f>
        <v>#REF!</v>
      </c>
      <c r="AO17" s="53"/>
    </row>
    <row r="18" spans="1:43">
      <c r="A18" s="3">
        <v>5503</v>
      </c>
      <c r="B18" s="116" t="s">
        <v>51</v>
      </c>
      <c r="C18" s="136"/>
      <c r="D18" s="70"/>
      <c r="E18" s="43"/>
      <c r="F18" s="70"/>
      <c r="G18" s="80"/>
      <c r="H18" s="70"/>
      <c r="I18" s="18"/>
      <c r="J18" s="70"/>
      <c r="K18" s="43"/>
      <c r="L18" s="70"/>
      <c r="M18" s="18"/>
      <c r="N18" s="70"/>
      <c r="O18" s="18"/>
      <c r="P18" s="70"/>
      <c r="Q18" s="18"/>
      <c r="R18" s="70"/>
      <c r="S18" s="18"/>
      <c r="T18" s="70"/>
      <c r="U18" s="43"/>
      <c r="V18" s="70"/>
      <c r="W18" s="33"/>
      <c r="X18" s="70"/>
      <c r="Y18" s="43"/>
      <c r="AA18" s="286">
        <f>C18+E18+G18+I18+K18+M18+O18+Q18+S18+U18+W18+Y18</f>
        <v>0</v>
      </c>
      <c r="AB18" s="213"/>
      <c r="AC18" s="205">
        <f t="shared" si="4"/>
        <v>0</v>
      </c>
      <c r="AD18" s="213"/>
      <c r="AE18" s="75"/>
      <c r="AF18" s="169"/>
      <c r="AG18" s="75"/>
      <c r="AH18" s="205">
        <v>0</v>
      </c>
      <c r="AI18" s="254"/>
      <c r="AJ18" s="293">
        <f t="shared" si="0"/>
        <v>0</v>
      </c>
      <c r="AK18" s="53">
        <f t="shared" si="1"/>
        <v>0</v>
      </c>
      <c r="AL18" s="53">
        <f t="shared" si="5"/>
        <v>0</v>
      </c>
      <c r="AM18" s="53">
        <f t="shared" si="20"/>
        <v>0</v>
      </c>
      <c r="AN18" s="53" t="e">
        <f>#REF!-AM18</f>
        <v>#REF!</v>
      </c>
      <c r="AO18" s="53"/>
    </row>
    <row r="19" spans="1:43">
      <c r="A19" s="3">
        <v>5504</v>
      </c>
      <c r="B19" s="116" t="s">
        <v>52</v>
      </c>
      <c r="C19" s="136"/>
      <c r="D19" s="49" t="e">
        <f>C19/C12</f>
        <v>#DIV/0!</v>
      </c>
      <c r="E19" s="43"/>
      <c r="F19" s="49" t="e">
        <f>E19/E12</f>
        <v>#DIV/0!</v>
      </c>
      <c r="G19" s="80"/>
      <c r="H19" s="49" t="e">
        <f>G19/G12</f>
        <v>#DIV/0!</v>
      </c>
      <c r="I19" s="18"/>
      <c r="J19" s="49" t="e">
        <f>I19/I12</f>
        <v>#DIV/0!</v>
      </c>
      <c r="K19" s="43"/>
      <c r="L19" s="49" t="e">
        <f>K19/K12</f>
        <v>#DIV/0!</v>
      </c>
      <c r="M19" s="18"/>
      <c r="N19" s="49" t="e">
        <f>M19/M12</f>
        <v>#DIV/0!</v>
      </c>
      <c r="O19" s="18"/>
      <c r="P19" s="49" t="e">
        <f>O19/O12</f>
        <v>#DIV/0!</v>
      </c>
      <c r="Q19" s="314"/>
      <c r="R19" s="49" t="e">
        <f>Q19/Q12</f>
        <v>#DIV/0!</v>
      </c>
      <c r="S19" s="18"/>
      <c r="T19" s="49" t="e">
        <f>S19/S12</f>
        <v>#DIV/0!</v>
      </c>
      <c r="U19" s="43"/>
      <c r="V19" s="49" t="e">
        <f>U19/U12</f>
        <v>#DIV/0!</v>
      </c>
      <c r="W19" s="33"/>
      <c r="X19" s="49" t="e">
        <f>W19/W12</f>
        <v>#DIV/0!</v>
      </c>
      <c r="Y19" s="43"/>
      <c r="Z19" s="179" t="e">
        <f>Y19/Y12</f>
        <v>#DIV/0!</v>
      </c>
      <c r="AA19" s="286">
        <f>C19+E19+G19+I19+K19+M19+O19+Q19+S19+U19+W19+Y19</f>
        <v>0</v>
      </c>
      <c r="AB19" s="214" t="e">
        <f>AA19/AA12</f>
        <v>#DIV/0!</v>
      </c>
      <c r="AC19" s="205">
        <f t="shared" si="4"/>
        <v>0</v>
      </c>
      <c r="AD19" s="214" t="e">
        <f>AC19/AC12</f>
        <v>#DIV/0!</v>
      </c>
      <c r="AE19" s="75"/>
      <c r="AF19" s="169"/>
      <c r="AG19" s="75"/>
      <c r="AH19" s="205">
        <v>0</v>
      </c>
      <c r="AI19" s="255">
        <f>AH19/AH12</f>
        <v>0</v>
      </c>
      <c r="AJ19" s="293">
        <f t="shared" si="0"/>
        <v>0</v>
      </c>
      <c r="AK19" s="53">
        <f t="shared" si="1"/>
        <v>0</v>
      </c>
      <c r="AL19" s="53">
        <f t="shared" si="5"/>
        <v>0</v>
      </c>
      <c r="AM19" s="53">
        <f t="shared" si="20"/>
        <v>0</v>
      </c>
      <c r="AN19" s="53" t="e">
        <f>#REF!-AM19</f>
        <v>#REF!</v>
      </c>
      <c r="AO19" s="53"/>
    </row>
    <row r="20" spans="1:43">
      <c r="A20" s="3">
        <v>5505</v>
      </c>
      <c r="B20" s="116" t="s">
        <v>53</v>
      </c>
      <c r="C20" s="136"/>
      <c r="D20" s="70"/>
      <c r="E20" s="43"/>
      <c r="F20" s="70"/>
      <c r="G20" s="80"/>
      <c r="H20" s="70"/>
      <c r="I20" s="18"/>
      <c r="J20" s="70"/>
      <c r="K20" s="43"/>
      <c r="L20" s="70"/>
      <c r="M20" s="18"/>
      <c r="N20" s="70"/>
      <c r="O20" s="18"/>
      <c r="P20" s="70"/>
      <c r="Q20" s="18"/>
      <c r="R20" s="70"/>
      <c r="S20" s="18"/>
      <c r="T20" s="70"/>
      <c r="U20" s="43"/>
      <c r="V20" s="70"/>
      <c r="W20" s="33"/>
      <c r="X20" s="70"/>
      <c r="Y20" s="43"/>
      <c r="AA20" s="286">
        <f>C20+E20+G20+I20+K20+M20+O20+Q20+S20+U20+W20+Y20</f>
        <v>0</v>
      </c>
      <c r="AB20" s="213"/>
      <c r="AC20" s="205">
        <f t="shared" si="4"/>
        <v>0</v>
      </c>
      <c r="AD20" s="213"/>
      <c r="AE20" s="75"/>
      <c r="AF20" s="169"/>
      <c r="AG20" s="75"/>
      <c r="AH20" s="205">
        <v>0</v>
      </c>
      <c r="AI20" s="254"/>
      <c r="AJ20" s="293">
        <f t="shared" si="0"/>
        <v>0</v>
      </c>
      <c r="AK20" s="53">
        <f t="shared" si="1"/>
        <v>0</v>
      </c>
      <c r="AL20" s="53">
        <f t="shared" si="5"/>
        <v>0</v>
      </c>
      <c r="AM20" s="53">
        <f t="shared" si="20"/>
        <v>0</v>
      </c>
      <c r="AN20" s="53" t="e">
        <f>#REF!-AM20</f>
        <v>#REF!</v>
      </c>
      <c r="AO20" s="53"/>
    </row>
    <row r="21" spans="1:43" ht="15.75" thickBot="1">
      <c r="A21" s="7">
        <v>5599</v>
      </c>
      <c r="B21" s="123" t="s">
        <v>94</v>
      </c>
      <c r="C21" s="27">
        <f>SUM(C17:C20)</f>
        <v>0</v>
      </c>
      <c r="D21" s="68" t="e">
        <f>C21/C12</f>
        <v>#DIV/0!</v>
      </c>
      <c r="E21" s="55"/>
      <c r="F21" s="68" t="e">
        <f>E21/E12</f>
        <v>#DIV/0!</v>
      </c>
      <c r="G21" s="82">
        <f>SUM(G17:G20)</f>
        <v>0</v>
      </c>
      <c r="H21" s="68" t="e">
        <f>G21/G12</f>
        <v>#DIV/0!</v>
      </c>
      <c r="I21" s="20">
        <f>SUM(I17:I20)</f>
        <v>0</v>
      </c>
      <c r="J21" s="68" t="e">
        <f>I21/I12</f>
        <v>#DIV/0!</v>
      </c>
      <c r="K21" s="55">
        <f>SUM(K17:K20)</f>
        <v>0</v>
      </c>
      <c r="L21" s="68" t="e">
        <f>K21/K12</f>
        <v>#DIV/0!</v>
      </c>
      <c r="M21" s="20">
        <f>SUM(M17:M20)</f>
        <v>0</v>
      </c>
      <c r="N21" s="68" t="e">
        <f>M21/M12</f>
        <v>#DIV/0!</v>
      </c>
      <c r="O21" s="20">
        <f>SUM(O17:O20)</f>
        <v>0</v>
      </c>
      <c r="P21" s="68" t="e">
        <f>O21/O12</f>
        <v>#DIV/0!</v>
      </c>
      <c r="Q21" s="20">
        <f>SUM(Q17:Q20)</f>
        <v>0</v>
      </c>
      <c r="R21" s="68" t="e">
        <f>Q21/Q12</f>
        <v>#DIV/0!</v>
      </c>
      <c r="S21" s="20">
        <f>SUM(S17:S20)</f>
        <v>0</v>
      </c>
      <c r="T21" s="68" t="e">
        <f>S21/S12</f>
        <v>#DIV/0!</v>
      </c>
      <c r="U21" s="55">
        <f>SUM(U17:U20)</f>
        <v>0</v>
      </c>
      <c r="V21" s="68" t="e">
        <f>U21/U12</f>
        <v>#DIV/0!</v>
      </c>
      <c r="W21" s="34">
        <f>SUM(W17:W20)</f>
        <v>0</v>
      </c>
      <c r="X21" s="68" t="e">
        <f>W21/W12</f>
        <v>#DIV/0!</v>
      </c>
      <c r="Y21" s="55">
        <f>SUM(Y17:Y20)</f>
        <v>0</v>
      </c>
      <c r="Z21" s="223" t="e">
        <f>Y21/Y12</f>
        <v>#DIV/0!</v>
      </c>
      <c r="AA21" s="211">
        <f>SUM(AA17:AA20)</f>
        <v>0</v>
      </c>
      <c r="AB21" s="245" t="e">
        <f>AA21/AA12</f>
        <v>#DIV/0!</v>
      </c>
      <c r="AC21" s="210">
        <f t="shared" si="4"/>
        <v>0</v>
      </c>
      <c r="AD21" s="245" t="e">
        <f>AC21/AC12</f>
        <v>#DIV/0!</v>
      </c>
      <c r="AE21" s="75"/>
      <c r="AF21" s="169"/>
      <c r="AG21" s="75"/>
      <c r="AH21" s="210">
        <f>SUM(AH17:AH20)</f>
        <v>402615.07500000001</v>
      </c>
      <c r="AI21" s="259">
        <f>AH21/AH12</f>
        <v>0.5</v>
      </c>
      <c r="AJ21" s="297">
        <f t="shared" si="0"/>
        <v>402615.07500000001</v>
      </c>
      <c r="AK21" s="53">
        <f t="shared" si="1"/>
        <v>0</v>
      </c>
      <c r="AL21" s="53">
        <f t="shared" si="5"/>
        <v>0</v>
      </c>
      <c r="AM21" s="53">
        <f t="shared" si="20"/>
        <v>0</v>
      </c>
      <c r="AN21" s="53" t="e">
        <f>#REF!-AM21</f>
        <v>#REF!</v>
      </c>
      <c r="AO21" s="53"/>
    </row>
    <row r="22" spans="1:43" ht="15.75" thickTop="1">
      <c r="A22" s="98">
        <v>5601</v>
      </c>
      <c r="B22" s="3" t="s">
        <v>54</v>
      </c>
      <c r="C22" s="18"/>
      <c r="D22" s="49" t="e">
        <f>C22/C12</f>
        <v>#DIV/0!</v>
      </c>
      <c r="E22" s="18"/>
      <c r="F22" s="49" t="e">
        <f>E22/E12</f>
        <v>#DIV/0!</v>
      </c>
      <c r="G22" s="18"/>
      <c r="H22" s="49" t="e">
        <f>G22/G12</f>
        <v>#DIV/0!</v>
      </c>
      <c r="I22" s="18"/>
      <c r="J22" s="49" t="e">
        <f>I22/I12</f>
        <v>#DIV/0!</v>
      </c>
      <c r="K22" s="18"/>
      <c r="L22" s="49" t="e">
        <f>K22/K12</f>
        <v>#DIV/0!</v>
      </c>
      <c r="M22" s="18"/>
      <c r="N22" s="49" t="e">
        <f>M22/M12</f>
        <v>#DIV/0!</v>
      </c>
      <c r="O22" s="18"/>
      <c r="P22" s="49" t="e">
        <f>O22/O12</f>
        <v>#DIV/0!</v>
      </c>
      <c r="Q22" s="18"/>
      <c r="R22" s="49" t="e">
        <f>Q22/Q12</f>
        <v>#DIV/0!</v>
      </c>
      <c r="S22" s="18"/>
      <c r="T22" s="49" t="e">
        <f>S22/S12</f>
        <v>#DIV/0!</v>
      </c>
      <c r="U22" s="18"/>
      <c r="V22" s="49" t="e">
        <f>U22/U12</f>
        <v>#DIV/0!</v>
      </c>
      <c r="W22" s="18"/>
      <c r="X22" s="49" t="e">
        <f>W22/W12</f>
        <v>#DIV/0!</v>
      </c>
      <c r="Y22" s="18"/>
      <c r="Z22" s="179" t="e">
        <f>Y22/Y12</f>
        <v>#DIV/0!</v>
      </c>
      <c r="AA22" s="286">
        <f t="shared" ref="AA22:AA34" si="21">C22+E22+G22+I22+K22+M22+O22+Q22+S22+U22+W22+Y22</f>
        <v>0</v>
      </c>
      <c r="AB22" s="214" t="e">
        <f>AA22/AA12</f>
        <v>#DIV/0!</v>
      </c>
      <c r="AC22" s="215">
        <f t="shared" si="4"/>
        <v>0</v>
      </c>
      <c r="AD22" s="214" t="e">
        <f>AC22/AC12</f>
        <v>#DIV/0!</v>
      </c>
      <c r="AE22" s="75"/>
      <c r="AF22" s="169"/>
      <c r="AG22" s="75"/>
      <c r="AH22" s="215">
        <v>0</v>
      </c>
      <c r="AI22" s="255">
        <f>AH22/AH12</f>
        <v>0</v>
      </c>
      <c r="AJ22" s="293">
        <f t="shared" si="0"/>
        <v>0</v>
      </c>
      <c r="AK22" s="53">
        <f t="shared" si="1"/>
        <v>0</v>
      </c>
      <c r="AL22" s="53">
        <f t="shared" si="5"/>
        <v>0</v>
      </c>
      <c r="AM22" s="53">
        <f t="shared" si="20"/>
        <v>0</v>
      </c>
      <c r="AN22" s="53" t="e">
        <f>#REF!-AM22</f>
        <v>#REF!</v>
      </c>
      <c r="AO22" s="53"/>
    </row>
    <row r="23" spans="1:43">
      <c r="A23" s="3">
        <v>5602</v>
      </c>
      <c r="B23" s="3" t="s">
        <v>55</v>
      </c>
      <c r="C23" s="18"/>
      <c r="D23" s="49" t="e">
        <f>C23/C12</f>
        <v>#DIV/0!</v>
      </c>
      <c r="E23" s="18"/>
      <c r="F23" s="49" t="e">
        <f>E23/E12</f>
        <v>#DIV/0!</v>
      </c>
      <c r="G23" s="18"/>
      <c r="H23" s="49" t="e">
        <f>G23/G12</f>
        <v>#DIV/0!</v>
      </c>
      <c r="I23" s="18"/>
      <c r="J23" s="49" t="e">
        <f>I23/I12</f>
        <v>#DIV/0!</v>
      </c>
      <c r="K23" s="18"/>
      <c r="L23" s="49" t="e">
        <f>K23/K12</f>
        <v>#DIV/0!</v>
      </c>
      <c r="M23" s="18"/>
      <c r="N23" s="49" t="e">
        <f>M23/M12</f>
        <v>#DIV/0!</v>
      </c>
      <c r="O23" s="18"/>
      <c r="P23" s="49" t="e">
        <f>O23/O12</f>
        <v>#DIV/0!</v>
      </c>
      <c r="Q23" s="18"/>
      <c r="R23" s="49" t="e">
        <f>Q23/Q12</f>
        <v>#DIV/0!</v>
      </c>
      <c r="S23" s="18"/>
      <c r="T23" s="49" t="e">
        <f>S23/S12</f>
        <v>#DIV/0!</v>
      </c>
      <c r="U23" s="18"/>
      <c r="V23" s="49" t="e">
        <f>U23/U12</f>
        <v>#DIV/0!</v>
      </c>
      <c r="W23" s="18"/>
      <c r="X23" s="49" t="e">
        <f>W23/W12</f>
        <v>#DIV/0!</v>
      </c>
      <c r="Y23" s="18"/>
      <c r="Z23" s="179" t="e">
        <f>Y23/Y12</f>
        <v>#DIV/0!</v>
      </c>
      <c r="AA23" s="286">
        <f t="shared" si="21"/>
        <v>0</v>
      </c>
      <c r="AB23" s="214" t="e">
        <f>AA23/AA12</f>
        <v>#DIV/0!</v>
      </c>
      <c r="AC23" s="215">
        <f t="shared" si="4"/>
        <v>0</v>
      </c>
      <c r="AD23" s="214" t="e">
        <f>AC23/AC12</f>
        <v>#DIV/0!</v>
      </c>
      <c r="AE23" s="75"/>
      <c r="AF23" s="169"/>
      <c r="AG23" s="75"/>
      <c r="AH23" s="215">
        <v>0</v>
      </c>
      <c r="AI23" s="255">
        <f>AH23/AH12</f>
        <v>0</v>
      </c>
      <c r="AJ23" s="293">
        <f t="shared" si="0"/>
        <v>0</v>
      </c>
      <c r="AK23" s="53">
        <f t="shared" si="1"/>
        <v>0</v>
      </c>
      <c r="AL23" s="53">
        <f t="shared" si="5"/>
        <v>0</v>
      </c>
      <c r="AM23" s="53">
        <f t="shared" si="20"/>
        <v>0</v>
      </c>
      <c r="AN23" s="53" t="e">
        <f>#REF!-AM23</f>
        <v>#REF!</v>
      </c>
      <c r="AO23" s="53"/>
    </row>
    <row r="24" spans="1:43">
      <c r="A24" s="3">
        <v>5603</v>
      </c>
      <c r="B24" s="3" t="s">
        <v>56</v>
      </c>
      <c r="C24" s="18"/>
      <c r="D24" s="49" t="e">
        <f>C24/C12</f>
        <v>#DIV/0!</v>
      </c>
      <c r="E24" s="18"/>
      <c r="F24" s="49" t="e">
        <f>E24/E12</f>
        <v>#DIV/0!</v>
      </c>
      <c r="G24" s="18"/>
      <c r="H24" s="49" t="e">
        <f>G24/G12</f>
        <v>#DIV/0!</v>
      </c>
      <c r="I24" s="18"/>
      <c r="J24" s="49" t="e">
        <f>I24/I12</f>
        <v>#DIV/0!</v>
      </c>
      <c r="K24" s="18"/>
      <c r="L24" s="49" t="e">
        <f>K24/K12</f>
        <v>#DIV/0!</v>
      </c>
      <c r="M24" s="18"/>
      <c r="N24" s="49" t="e">
        <f>M24/M12</f>
        <v>#DIV/0!</v>
      </c>
      <c r="O24" s="18"/>
      <c r="P24" s="49" t="e">
        <f>O24/O12</f>
        <v>#DIV/0!</v>
      </c>
      <c r="Q24" s="18"/>
      <c r="R24" s="49" t="e">
        <f>Q24/Q12</f>
        <v>#DIV/0!</v>
      </c>
      <c r="S24" s="18"/>
      <c r="T24" s="49" t="e">
        <f>S24/S12</f>
        <v>#DIV/0!</v>
      </c>
      <c r="U24" s="18"/>
      <c r="V24" s="49" t="e">
        <f>U24/U12</f>
        <v>#DIV/0!</v>
      </c>
      <c r="W24" s="18"/>
      <c r="X24" s="49" t="e">
        <f>W24/W12</f>
        <v>#DIV/0!</v>
      </c>
      <c r="Y24" s="18"/>
      <c r="Z24" s="179" t="e">
        <f>Y24/Y12</f>
        <v>#DIV/0!</v>
      </c>
      <c r="AA24" s="286">
        <f t="shared" si="21"/>
        <v>0</v>
      </c>
      <c r="AB24" s="214" t="e">
        <f>AA24/AA12</f>
        <v>#DIV/0!</v>
      </c>
      <c r="AC24" s="215">
        <f t="shared" si="4"/>
        <v>0</v>
      </c>
      <c r="AD24" s="214" t="e">
        <f>AC24/AC12</f>
        <v>#DIV/0!</v>
      </c>
      <c r="AE24" s="75"/>
      <c r="AF24" s="169"/>
      <c r="AG24" s="75"/>
      <c r="AH24" s="215">
        <v>0</v>
      </c>
      <c r="AI24" s="255">
        <f>AH24/AH12</f>
        <v>0</v>
      </c>
      <c r="AJ24" s="293">
        <f t="shared" si="0"/>
        <v>0</v>
      </c>
      <c r="AK24" s="53">
        <f t="shared" si="1"/>
        <v>0</v>
      </c>
      <c r="AL24" s="53">
        <f t="shared" si="5"/>
        <v>0</v>
      </c>
      <c r="AM24" s="53">
        <f t="shared" si="20"/>
        <v>0</v>
      </c>
      <c r="AN24" s="53" t="e">
        <f>#REF!-AM24</f>
        <v>#REF!</v>
      </c>
      <c r="AO24" s="53"/>
    </row>
    <row r="25" spans="1:43">
      <c r="A25" s="3">
        <v>5604</v>
      </c>
      <c r="B25" s="3" t="s">
        <v>57</v>
      </c>
      <c r="C25" s="18"/>
      <c r="D25" s="49" t="e">
        <f>C25/C12</f>
        <v>#DIV/0!</v>
      </c>
      <c r="E25" s="18"/>
      <c r="F25" s="49" t="e">
        <f>E25/E12</f>
        <v>#DIV/0!</v>
      </c>
      <c r="G25" s="18"/>
      <c r="H25" s="49" t="e">
        <f>G25/G12</f>
        <v>#DIV/0!</v>
      </c>
      <c r="I25" s="18"/>
      <c r="J25" s="49" t="e">
        <f>I25/I12</f>
        <v>#DIV/0!</v>
      </c>
      <c r="K25" s="18"/>
      <c r="L25" s="49" t="e">
        <f>K25/K12</f>
        <v>#DIV/0!</v>
      </c>
      <c r="M25" s="18">
        <v>0</v>
      </c>
      <c r="N25" s="49" t="e">
        <f>M25/M12</f>
        <v>#DIV/0!</v>
      </c>
      <c r="O25" s="18">
        <v>0</v>
      </c>
      <c r="P25" s="49" t="e">
        <f>O25/O12</f>
        <v>#DIV/0!</v>
      </c>
      <c r="Q25" s="18">
        <v>0</v>
      </c>
      <c r="R25" s="49" t="e">
        <f>Q25/Q12</f>
        <v>#DIV/0!</v>
      </c>
      <c r="S25" s="18">
        <v>0</v>
      </c>
      <c r="T25" s="49" t="e">
        <f>S25/S12</f>
        <v>#DIV/0!</v>
      </c>
      <c r="U25" s="18">
        <v>0</v>
      </c>
      <c r="V25" s="49" t="e">
        <f>U25/U12</f>
        <v>#DIV/0!</v>
      </c>
      <c r="W25" s="18">
        <v>0</v>
      </c>
      <c r="X25" s="49" t="e">
        <f>W25/W12</f>
        <v>#DIV/0!</v>
      </c>
      <c r="Y25" s="18">
        <v>0</v>
      </c>
      <c r="Z25" s="179" t="e">
        <f>Y25/Y12</f>
        <v>#DIV/0!</v>
      </c>
      <c r="AA25" s="286">
        <f t="shared" si="21"/>
        <v>0</v>
      </c>
      <c r="AB25" s="214" t="e">
        <f>AA25/AA12</f>
        <v>#DIV/0!</v>
      </c>
      <c r="AC25" s="215">
        <f t="shared" si="4"/>
        <v>0</v>
      </c>
      <c r="AD25" s="214" t="e">
        <f>AC25/AC12</f>
        <v>#DIV/0!</v>
      </c>
      <c r="AE25" s="75"/>
      <c r="AF25" s="169"/>
      <c r="AG25" s="75"/>
      <c r="AH25" s="215">
        <v>600</v>
      </c>
      <c r="AI25" s="255">
        <f>AH25/AH12</f>
        <v>7.4512858218237356E-4</v>
      </c>
      <c r="AJ25" s="293">
        <f t="shared" si="0"/>
        <v>600</v>
      </c>
      <c r="AK25" s="53">
        <f t="shared" si="1"/>
        <v>0</v>
      </c>
      <c r="AL25" s="53">
        <f t="shared" si="5"/>
        <v>0</v>
      </c>
      <c r="AM25" s="53">
        <f t="shared" si="20"/>
        <v>0</v>
      </c>
      <c r="AN25" s="53" t="e">
        <f>#REF!-AM25</f>
        <v>#REF!</v>
      </c>
      <c r="AO25" s="53" t="s">
        <v>228</v>
      </c>
    </row>
    <row r="26" spans="1:43">
      <c r="A26" s="3">
        <v>5605</v>
      </c>
      <c r="B26" s="3" t="s">
        <v>15</v>
      </c>
      <c r="C26" s="18"/>
      <c r="D26" s="49" t="e">
        <f>C26/C12</f>
        <v>#DIV/0!</v>
      </c>
      <c r="E26" s="18"/>
      <c r="F26" s="49" t="e">
        <f>E26/E12</f>
        <v>#DIV/0!</v>
      </c>
      <c r="G26" s="18"/>
      <c r="H26" s="49" t="e">
        <f>G26/G12</f>
        <v>#DIV/0!</v>
      </c>
      <c r="I26" s="18"/>
      <c r="J26" s="49" t="e">
        <f>I26/I12</f>
        <v>#DIV/0!</v>
      </c>
      <c r="K26" s="18"/>
      <c r="L26" s="49" t="e">
        <f>K26/K12</f>
        <v>#DIV/0!</v>
      </c>
      <c r="M26" s="18"/>
      <c r="N26" s="49" t="e">
        <f>M26/M12</f>
        <v>#DIV/0!</v>
      </c>
      <c r="O26" s="18"/>
      <c r="P26" s="49" t="e">
        <f>O26/O12</f>
        <v>#DIV/0!</v>
      </c>
      <c r="Q26" s="18"/>
      <c r="R26" s="49" t="e">
        <f>Q26/Q12</f>
        <v>#DIV/0!</v>
      </c>
      <c r="S26" s="18"/>
      <c r="T26" s="49" t="e">
        <f>S26/S12</f>
        <v>#DIV/0!</v>
      </c>
      <c r="U26" s="18"/>
      <c r="V26" s="49" t="e">
        <f>U26/U12</f>
        <v>#DIV/0!</v>
      </c>
      <c r="W26" s="18"/>
      <c r="X26" s="49" t="e">
        <f>W26/W12</f>
        <v>#DIV/0!</v>
      </c>
      <c r="Y26" s="18"/>
      <c r="Z26" s="179" t="e">
        <f>Y26/Y12</f>
        <v>#DIV/0!</v>
      </c>
      <c r="AA26" s="286">
        <f t="shared" si="21"/>
        <v>0</v>
      </c>
      <c r="AB26" s="214" t="e">
        <f>AA26/AA12</f>
        <v>#DIV/0!</v>
      </c>
      <c r="AC26" s="215">
        <f t="shared" si="4"/>
        <v>0</v>
      </c>
      <c r="AD26" s="214" t="e">
        <f>AC26/AC12</f>
        <v>#DIV/0!</v>
      </c>
      <c r="AE26" s="75"/>
      <c r="AF26" s="169"/>
      <c r="AG26" s="75"/>
      <c r="AH26" s="215">
        <v>0</v>
      </c>
      <c r="AI26" s="255">
        <f>AH26/AH12</f>
        <v>0</v>
      </c>
      <c r="AJ26" s="293">
        <f t="shared" si="0"/>
        <v>0</v>
      </c>
      <c r="AK26" s="53">
        <f t="shared" si="1"/>
        <v>0</v>
      </c>
      <c r="AL26" s="53">
        <f t="shared" si="5"/>
        <v>0</v>
      </c>
      <c r="AM26" s="53">
        <f t="shared" si="20"/>
        <v>0</v>
      </c>
      <c r="AN26" s="53" t="e">
        <f>#REF!-AM26</f>
        <v>#REF!</v>
      </c>
      <c r="AO26" s="53"/>
    </row>
    <row r="27" spans="1:43">
      <c r="A27" s="3">
        <v>5606</v>
      </c>
      <c r="B27" s="3" t="s">
        <v>77</v>
      </c>
      <c r="C27" s="18">
        <f>C16*0.05%</f>
        <v>0</v>
      </c>
      <c r="D27" s="49" t="e">
        <f>C27/C12</f>
        <v>#DIV/0!</v>
      </c>
      <c r="E27" s="18"/>
      <c r="F27" s="49" t="e">
        <f>E27/E12</f>
        <v>#DIV/0!</v>
      </c>
      <c r="G27" s="18">
        <f>G16*0.05%</f>
        <v>0</v>
      </c>
      <c r="H27" s="49" t="e">
        <f>G27/G12</f>
        <v>#DIV/0!</v>
      </c>
      <c r="I27" s="18">
        <f>I16*0.05%</f>
        <v>0</v>
      </c>
      <c r="J27" s="49" t="e">
        <f>I27/I12</f>
        <v>#DIV/0!</v>
      </c>
      <c r="K27" s="18">
        <f>K16*0.05%</f>
        <v>0</v>
      </c>
      <c r="L27" s="49" t="e">
        <f>K27/K12</f>
        <v>#DIV/0!</v>
      </c>
      <c r="M27" s="18">
        <f>M16*0.05%</f>
        <v>0</v>
      </c>
      <c r="N27" s="49" t="e">
        <f>M27/M12</f>
        <v>#DIV/0!</v>
      </c>
      <c r="O27" s="18">
        <f>O16*0.05%</f>
        <v>0</v>
      </c>
      <c r="P27" s="49" t="e">
        <f>O27/O12</f>
        <v>#DIV/0!</v>
      </c>
      <c r="Q27" s="18">
        <f>Q16*0.05%</f>
        <v>0</v>
      </c>
      <c r="R27" s="49" t="e">
        <f>Q27/Q12</f>
        <v>#DIV/0!</v>
      </c>
      <c r="S27" s="18">
        <f>S16*0.05%</f>
        <v>0</v>
      </c>
      <c r="T27" s="49" t="e">
        <f>S27/S12</f>
        <v>#DIV/0!</v>
      </c>
      <c r="U27" s="18">
        <f>U16*0.05%</f>
        <v>0</v>
      </c>
      <c r="V27" s="49" t="e">
        <f>U27/U12</f>
        <v>#DIV/0!</v>
      </c>
      <c r="W27" s="18">
        <f>W16*0.05%</f>
        <v>0</v>
      </c>
      <c r="X27" s="49" t="e">
        <f>W27/W12</f>
        <v>#DIV/0!</v>
      </c>
      <c r="Y27" s="18">
        <f>Y16*0.05%</f>
        <v>0</v>
      </c>
      <c r="Z27" s="179" t="e">
        <f>Y27/Y12</f>
        <v>#DIV/0!</v>
      </c>
      <c r="AA27" s="286">
        <f t="shared" si="21"/>
        <v>0</v>
      </c>
      <c r="AB27" s="214" t="e">
        <f>AA27/AA12</f>
        <v>#DIV/0!</v>
      </c>
      <c r="AC27" s="215">
        <f t="shared" si="4"/>
        <v>0</v>
      </c>
      <c r="AD27" s="214" t="e">
        <f>AC27/AC12</f>
        <v>#DIV/0!</v>
      </c>
      <c r="AE27" s="75" t="s">
        <v>161</v>
      </c>
      <c r="AF27" s="169">
        <v>-1689</v>
      </c>
      <c r="AG27" s="75" t="s">
        <v>162</v>
      </c>
      <c r="AH27" s="215">
        <f>AA27</f>
        <v>0</v>
      </c>
      <c r="AI27" s="255">
        <f>AH27/AH12</f>
        <v>0</v>
      </c>
      <c r="AJ27" s="293">
        <f t="shared" si="0"/>
        <v>0</v>
      </c>
      <c r="AK27" s="53">
        <f t="shared" si="1"/>
        <v>0</v>
      </c>
      <c r="AL27" s="53">
        <f t="shared" si="5"/>
        <v>0</v>
      </c>
      <c r="AM27" s="53">
        <f t="shared" si="20"/>
        <v>0</v>
      </c>
      <c r="AN27" s="53" t="e">
        <f>#REF!-AM27</f>
        <v>#REF!</v>
      </c>
      <c r="AO27" s="53" t="s">
        <v>229</v>
      </c>
      <c r="AQ27" s="1">
        <v>1005.56</v>
      </c>
    </row>
    <row r="28" spans="1:43">
      <c r="A28" s="3">
        <v>5607</v>
      </c>
      <c r="B28" s="116" t="s">
        <v>58</v>
      </c>
      <c r="C28" s="136"/>
      <c r="D28" s="49" t="e">
        <f>C28/C12</f>
        <v>#DIV/0!</v>
      </c>
      <c r="E28" s="43"/>
      <c r="F28" s="49" t="e">
        <f>E28/E12</f>
        <v>#DIV/0!</v>
      </c>
      <c r="G28" s="80"/>
      <c r="H28" s="49" t="e">
        <f>G28/G12</f>
        <v>#DIV/0!</v>
      </c>
      <c r="I28" s="18"/>
      <c r="J28" s="49" t="e">
        <f>I28/I12</f>
        <v>#DIV/0!</v>
      </c>
      <c r="K28" s="43"/>
      <c r="L28" s="49" t="e">
        <f>K28/K12</f>
        <v>#DIV/0!</v>
      </c>
      <c r="M28" s="18"/>
      <c r="N28" s="49" t="e">
        <f>M28/M12</f>
        <v>#DIV/0!</v>
      </c>
      <c r="O28" s="18"/>
      <c r="P28" s="49" t="e">
        <f>O28/O12</f>
        <v>#DIV/0!</v>
      </c>
      <c r="Q28" s="18"/>
      <c r="R28" s="49" t="e">
        <f>Q28/Q12</f>
        <v>#DIV/0!</v>
      </c>
      <c r="S28" s="18"/>
      <c r="T28" s="49" t="e">
        <f>S28/S12</f>
        <v>#DIV/0!</v>
      </c>
      <c r="U28" s="43"/>
      <c r="V28" s="49" t="e">
        <f>U28/U12</f>
        <v>#DIV/0!</v>
      </c>
      <c r="W28" s="33"/>
      <c r="X28" s="49" t="e">
        <f>W28/W12</f>
        <v>#DIV/0!</v>
      </c>
      <c r="Y28" s="43"/>
      <c r="Z28" s="179" t="e">
        <f>Y28/Y12</f>
        <v>#DIV/0!</v>
      </c>
      <c r="AA28" s="286">
        <f t="shared" si="21"/>
        <v>0</v>
      </c>
      <c r="AB28" s="214" t="e">
        <f>AA28/AA12</f>
        <v>#DIV/0!</v>
      </c>
      <c r="AC28" s="205">
        <f t="shared" si="4"/>
        <v>0</v>
      </c>
      <c r="AD28" s="214" t="e">
        <f>AC28/AC12</f>
        <v>#DIV/0!</v>
      </c>
      <c r="AE28" s="75"/>
      <c r="AF28" s="169"/>
      <c r="AG28" s="75"/>
      <c r="AH28" s="205">
        <v>0</v>
      </c>
      <c r="AI28" s="255">
        <f>AH28/AH12</f>
        <v>0</v>
      </c>
      <c r="AJ28" s="293">
        <f t="shared" si="0"/>
        <v>0</v>
      </c>
      <c r="AK28" s="53">
        <f t="shared" si="1"/>
        <v>0</v>
      </c>
      <c r="AL28" s="53">
        <f t="shared" si="5"/>
        <v>0</v>
      </c>
      <c r="AM28" s="53">
        <f t="shared" si="20"/>
        <v>0</v>
      </c>
      <c r="AN28" s="53" t="e">
        <f>#REF!-AM28</f>
        <v>#REF!</v>
      </c>
      <c r="AO28" s="53"/>
    </row>
    <row r="29" spans="1:43">
      <c r="A29" s="3">
        <v>5608</v>
      </c>
      <c r="B29" s="116" t="s">
        <v>59</v>
      </c>
      <c r="C29" s="136"/>
      <c r="D29" s="49" t="e">
        <f>C29/C12</f>
        <v>#DIV/0!</v>
      </c>
      <c r="E29" s="43"/>
      <c r="F29" s="49" t="e">
        <f>E29/E12</f>
        <v>#DIV/0!</v>
      </c>
      <c r="G29" s="80"/>
      <c r="H29" s="49" t="e">
        <f>G29/G12</f>
        <v>#DIV/0!</v>
      </c>
      <c r="I29" s="18"/>
      <c r="J29" s="49" t="e">
        <f>I29/I12</f>
        <v>#DIV/0!</v>
      </c>
      <c r="K29" s="43"/>
      <c r="L29" s="49" t="e">
        <f>K29/K12</f>
        <v>#DIV/0!</v>
      </c>
      <c r="M29" s="18"/>
      <c r="N29" s="49" t="e">
        <f>M29/M12</f>
        <v>#DIV/0!</v>
      </c>
      <c r="O29" s="18"/>
      <c r="P29" s="49" t="e">
        <f>O29/O12</f>
        <v>#DIV/0!</v>
      </c>
      <c r="Q29" s="18"/>
      <c r="R29" s="49" t="e">
        <f>Q29/Q12</f>
        <v>#DIV/0!</v>
      </c>
      <c r="S29" s="18"/>
      <c r="T29" s="49" t="e">
        <f>S29/S12</f>
        <v>#DIV/0!</v>
      </c>
      <c r="U29" s="43"/>
      <c r="V29" s="49" t="e">
        <f>U29/U12</f>
        <v>#DIV/0!</v>
      </c>
      <c r="W29" s="33"/>
      <c r="X29" s="49" t="e">
        <f>W29/W12</f>
        <v>#DIV/0!</v>
      </c>
      <c r="Y29" s="43"/>
      <c r="Z29" s="179" t="e">
        <f>Y29/Y12</f>
        <v>#DIV/0!</v>
      </c>
      <c r="AA29" s="286">
        <f t="shared" si="21"/>
        <v>0</v>
      </c>
      <c r="AB29" s="214" t="e">
        <f>AA29/AA12</f>
        <v>#DIV/0!</v>
      </c>
      <c r="AC29" s="205">
        <f t="shared" si="4"/>
        <v>0</v>
      </c>
      <c r="AD29" s="214" t="e">
        <f>AC29/AC12</f>
        <v>#DIV/0!</v>
      </c>
      <c r="AE29" s="75"/>
      <c r="AF29" s="169"/>
      <c r="AG29" s="75"/>
      <c r="AH29" s="205">
        <v>0</v>
      </c>
      <c r="AI29" s="255">
        <f>AH29/AH12</f>
        <v>0</v>
      </c>
      <c r="AJ29" s="293">
        <f t="shared" si="0"/>
        <v>0</v>
      </c>
      <c r="AK29" s="53">
        <f t="shared" si="1"/>
        <v>0</v>
      </c>
      <c r="AL29" s="53">
        <f t="shared" si="5"/>
        <v>0</v>
      </c>
      <c r="AM29" s="53">
        <f t="shared" si="20"/>
        <v>0</v>
      </c>
      <c r="AN29" s="53" t="e">
        <f>#REF!-AM29</f>
        <v>#REF!</v>
      </c>
      <c r="AO29" s="53"/>
    </row>
    <row r="30" spans="1:43">
      <c r="A30" s="3">
        <v>5609</v>
      </c>
      <c r="B30" s="116" t="s">
        <v>60</v>
      </c>
      <c r="C30" s="136"/>
      <c r="D30" s="49" t="e">
        <f>C30/C12</f>
        <v>#DIV/0!</v>
      </c>
      <c r="E30" s="43"/>
      <c r="F30" s="49" t="e">
        <f>E30/E12</f>
        <v>#DIV/0!</v>
      </c>
      <c r="G30" s="80"/>
      <c r="H30" s="49" t="e">
        <f>G30/G12</f>
        <v>#DIV/0!</v>
      </c>
      <c r="I30" s="18"/>
      <c r="J30" s="49" t="e">
        <f>I30/I12</f>
        <v>#DIV/0!</v>
      </c>
      <c r="K30" s="43"/>
      <c r="L30" s="49" t="e">
        <f>K30/K12</f>
        <v>#DIV/0!</v>
      </c>
      <c r="M30" s="18"/>
      <c r="N30" s="49" t="e">
        <f>M30/M12</f>
        <v>#DIV/0!</v>
      </c>
      <c r="O30" s="18"/>
      <c r="P30" s="49" t="e">
        <f>O30/O12</f>
        <v>#DIV/0!</v>
      </c>
      <c r="Q30" s="18"/>
      <c r="R30" s="49" t="e">
        <f>Q30/Q12</f>
        <v>#DIV/0!</v>
      </c>
      <c r="S30" s="18"/>
      <c r="T30" s="49" t="e">
        <f>S30/S12</f>
        <v>#DIV/0!</v>
      </c>
      <c r="U30" s="43"/>
      <c r="V30" s="49" t="e">
        <f>U30/U12</f>
        <v>#DIV/0!</v>
      </c>
      <c r="W30" s="33"/>
      <c r="X30" s="49" t="e">
        <f>W30/W12</f>
        <v>#DIV/0!</v>
      </c>
      <c r="Y30" s="43"/>
      <c r="Z30" s="179" t="e">
        <f>Y30/Y12</f>
        <v>#DIV/0!</v>
      </c>
      <c r="AA30" s="286">
        <f t="shared" si="21"/>
        <v>0</v>
      </c>
      <c r="AB30" s="214" t="e">
        <f>AA30/AA12</f>
        <v>#DIV/0!</v>
      </c>
      <c r="AC30" s="205">
        <f t="shared" si="4"/>
        <v>0</v>
      </c>
      <c r="AD30" s="214" t="e">
        <f>AC30/AC12</f>
        <v>#DIV/0!</v>
      </c>
      <c r="AE30" s="75"/>
      <c r="AF30" s="169"/>
      <c r="AG30" s="75"/>
      <c r="AH30" s="205">
        <v>0</v>
      </c>
      <c r="AI30" s="255">
        <f>AH30/AH12</f>
        <v>0</v>
      </c>
      <c r="AJ30" s="293">
        <f t="shared" si="0"/>
        <v>0</v>
      </c>
      <c r="AK30" s="53">
        <f t="shared" si="1"/>
        <v>0</v>
      </c>
      <c r="AL30" s="53">
        <f t="shared" si="5"/>
        <v>0</v>
      </c>
      <c r="AM30" s="53">
        <f t="shared" si="20"/>
        <v>0</v>
      </c>
      <c r="AN30" s="53" t="e">
        <f>#REF!-AM30</f>
        <v>#REF!</v>
      </c>
      <c r="AO30" s="53"/>
    </row>
    <row r="31" spans="1:43">
      <c r="A31" s="3">
        <v>5610</v>
      </c>
      <c r="B31" s="116" t="s">
        <v>61</v>
      </c>
      <c r="C31" s="136"/>
      <c r="D31" s="49" t="e">
        <f>C31/C12</f>
        <v>#DIV/0!</v>
      </c>
      <c r="E31" s="43"/>
      <c r="F31" s="49" t="e">
        <f>E31/E12</f>
        <v>#DIV/0!</v>
      </c>
      <c r="G31" s="80"/>
      <c r="H31" s="49" t="e">
        <f>G31/G12</f>
        <v>#DIV/0!</v>
      </c>
      <c r="I31" s="18"/>
      <c r="J31" s="49" t="e">
        <f>I31/I12</f>
        <v>#DIV/0!</v>
      </c>
      <c r="K31" s="43"/>
      <c r="L31" s="49" t="e">
        <f>K31/K12</f>
        <v>#DIV/0!</v>
      </c>
      <c r="M31" s="18"/>
      <c r="N31" s="49" t="e">
        <f>M31/M12</f>
        <v>#DIV/0!</v>
      </c>
      <c r="O31" s="18"/>
      <c r="P31" s="49" t="e">
        <f>O31/O12</f>
        <v>#DIV/0!</v>
      </c>
      <c r="Q31" s="18"/>
      <c r="R31" s="49" t="e">
        <f>Q31/Q12</f>
        <v>#DIV/0!</v>
      </c>
      <c r="S31" s="18"/>
      <c r="T31" s="49" t="e">
        <f>S31/S12</f>
        <v>#DIV/0!</v>
      </c>
      <c r="U31" s="43"/>
      <c r="V31" s="49" t="e">
        <f>U31/U12</f>
        <v>#DIV/0!</v>
      </c>
      <c r="W31" s="33"/>
      <c r="X31" s="49" t="e">
        <f>W31/W12</f>
        <v>#DIV/0!</v>
      </c>
      <c r="Y31" s="43"/>
      <c r="Z31" s="179" t="e">
        <f>Y31/Y12</f>
        <v>#DIV/0!</v>
      </c>
      <c r="AA31" s="286">
        <f t="shared" si="21"/>
        <v>0</v>
      </c>
      <c r="AB31" s="214" t="e">
        <f>AA31/AA12</f>
        <v>#DIV/0!</v>
      </c>
      <c r="AC31" s="205">
        <f t="shared" si="4"/>
        <v>0</v>
      </c>
      <c r="AD31" s="214" t="e">
        <f>AC31/AC12</f>
        <v>#DIV/0!</v>
      </c>
      <c r="AE31" s="75"/>
      <c r="AF31" s="169"/>
      <c r="AG31" s="75"/>
      <c r="AH31" s="205">
        <v>0</v>
      </c>
      <c r="AI31" s="255">
        <f>AH31/AH12</f>
        <v>0</v>
      </c>
      <c r="AJ31" s="293">
        <f t="shared" si="0"/>
        <v>0</v>
      </c>
      <c r="AK31" s="53">
        <f t="shared" si="1"/>
        <v>0</v>
      </c>
      <c r="AL31" s="53">
        <f t="shared" si="5"/>
        <v>0</v>
      </c>
      <c r="AM31" s="53">
        <f t="shared" si="20"/>
        <v>0</v>
      </c>
      <c r="AN31" s="53" t="e">
        <f>#REF!-AM31</f>
        <v>#REF!</v>
      </c>
      <c r="AO31" s="53"/>
    </row>
    <row r="32" spans="1:43">
      <c r="A32" s="3">
        <v>5611</v>
      </c>
      <c r="B32" s="116" t="s">
        <v>95</v>
      </c>
      <c r="C32" s="136"/>
      <c r="D32" s="49" t="e">
        <f>C32/C12</f>
        <v>#DIV/0!</v>
      </c>
      <c r="E32" s="43"/>
      <c r="F32" s="49" t="e">
        <f>E32/E12</f>
        <v>#DIV/0!</v>
      </c>
      <c r="G32" s="80"/>
      <c r="H32" s="49" t="e">
        <f>G32/G12</f>
        <v>#DIV/0!</v>
      </c>
      <c r="I32" s="18"/>
      <c r="J32" s="49" t="e">
        <f>I32/I12</f>
        <v>#DIV/0!</v>
      </c>
      <c r="K32" s="43"/>
      <c r="L32" s="49" t="e">
        <f>K32/K12</f>
        <v>#DIV/0!</v>
      </c>
      <c r="M32" s="18"/>
      <c r="N32" s="49" t="e">
        <f>M32/M12</f>
        <v>#DIV/0!</v>
      </c>
      <c r="O32" s="18"/>
      <c r="P32" s="49" t="e">
        <f>O32/O12</f>
        <v>#DIV/0!</v>
      </c>
      <c r="Q32" s="18"/>
      <c r="R32" s="49" t="e">
        <f>Q32/Q12</f>
        <v>#DIV/0!</v>
      </c>
      <c r="S32" s="18"/>
      <c r="T32" s="49" t="e">
        <f>S32/S12</f>
        <v>#DIV/0!</v>
      </c>
      <c r="U32" s="43"/>
      <c r="V32" s="49" t="e">
        <f>U32/U12</f>
        <v>#DIV/0!</v>
      </c>
      <c r="W32" s="33"/>
      <c r="X32" s="49" t="e">
        <f>W32/W12</f>
        <v>#DIV/0!</v>
      </c>
      <c r="Y32" s="43"/>
      <c r="Z32" s="179" t="e">
        <f>Y32/Y12</f>
        <v>#DIV/0!</v>
      </c>
      <c r="AA32" s="286">
        <f t="shared" si="21"/>
        <v>0</v>
      </c>
      <c r="AB32" s="214" t="e">
        <f>AA32/AA12</f>
        <v>#DIV/0!</v>
      </c>
      <c r="AC32" s="205">
        <f t="shared" si="4"/>
        <v>0</v>
      </c>
      <c r="AD32" s="214" t="e">
        <f>AC32/AC12</f>
        <v>#DIV/0!</v>
      </c>
      <c r="AE32" s="75"/>
      <c r="AF32" s="169"/>
      <c r="AG32" s="75"/>
      <c r="AH32" s="205">
        <v>0</v>
      </c>
      <c r="AI32" s="255">
        <f>AH32/AH12</f>
        <v>0</v>
      </c>
      <c r="AJ32" s="293">
        <f t="shared" si="0"/>
        <v>0</v>
      </c>
      <c r="AK32" s="53">
        <f t="shared" si="1"/>
        <v>0</v>
      </c>
      <c r="AL32" s="53">
        <f t="shared" si="5"/>
        <v>0</v>
      </c>
      <c r="AM32" s="53">
        <f t="shared" si="20"/>
        <v>0</v>
      </c>
      <c r="AN32" s="53" t="e">
        <f>#REF!-AM32</f>
        <v>#REF!</v>
      </c>
      <c r="AO32" s="53"/>
    </row>
    <row r="33" spans="1:41">
      <c r="A33" s="3">
        <v>5612</v>
      </c>
      <c r="B33" s="116" t="s">
        <v>62</v>
      </c>
      <c r="C33" s="136"/>
      <c r="D33" s="49" t="e">
        <f>C33/C12</f>
        <v>#DIV/0!</v>
      </c>
      <c r="E33" s="43"/>
      <c r="F33" s="49" t="e">
        <f>E33/E12</f>
        <v>#DIV/0!</v>
      </c>
      <c r="G33" s="80"/>
      <c r="H33" s="49" t="e">
        <f>G33/G12</f>
        <v>#DIV/0!</v>
      </c>
      <c r="I33" s="18"/>
      <c r="J33" s="49" t="e">
        <f>I33/I12</f>
        <v>#DIV/0!</v>
      </c>
      <c r="K33" s="43"/>
      <c r="L33" s="49" t="e">
        <f>K33/K12</f>
        <v>#DIV/0!</v>
      </c>
      <c r="M33" s="18"/>
      <c r="N33" s="49" t="e">
        <f>M33/M12</f>
        <v>#DIV/0!</v>
      </c>
      <c r="O33" s="18"/>
      <c r="P33" s="49" t="e">
        <f>O33/O12</f>
        <v>#DIV/0!</v>
      </c>
      <c r="Q33" s="18"/>
      <c r="R33" s="49" t="e">
        <f>Q33/Q12</f>
        <v>#DIV/0!</v>
      </c>
      <c r="S33" s="18"/>
      <c r="T33" s="49" t="e">
        <f>S33/S12</f>
        <v>#DIV/0!</v>
      </c>
      <c r="U33" s="43"/>
      <c r="V33" s="49" t="e">
        <f>U33/U12</f>
        <v>#DIV/0!</v>
      </c>
      <c r="W33" s="33"/>
      <c r="X33" s="49" t="e">
        <f>W33/W12</f>
        <v>#DIV/0!</v>
      </c>
      <c r="Y33" s="43"/>
      <c r="Z33" s="179" t="e">
        <f>Y33/Y12</f>
        <v>#DIV/0!</v>
      </c>
      <c r="AA33" s="286">
        <f t="shared" si="21"/>
        <v>0</v>
      </c>
      <c r="AB33" s="214" t="e">
        <f>AA33/AA12</f>
        <v>#DIV/0!</v>
      </c>
      <c r="AC33" s="205">
        <f t="shared" si="4"/>
        <v>0</v>
      </c>
      <c r="AD33" s="214" t="e">
        <f>AC33/AC12</f>
        <v>#DIV/0!</v>
      </c>
      <c r="AE33" s="75"/>
      <c r="AF33" s="169"/>
      <c r="AG33" s="75"/>
      <c r="AH33" s="205">
        <v>0</v>
      </c>
      <c r="AI33" s="255">
        <f>AH33/AH12</f>
        <v>0</v>
      </c>
      <c r="AJ33" s="293">
        <f t="shared" si="0"/>
        <v>0</v>
      </c>
      <c r="AK33" s="53">
        <f t="shared" si="1"/>
        <v>0</v>
      </c>
      <c r="AL33" s="53">
        <f t="shared" si="5"/>
        <v>0</v>
      </c>
      <c r="AM33" s="53">
        <f t="shared" si="20"/>
        <v>0</v>
      </c>
      <c r="AN33" s="53" t="e">
        <f>#REF!-AM33</f>
        <v>#REF!</v>
      </c>
      <c r="AO33" s="53"/>
    </row>
    <row r="34" spans="1:41">
      <c r="A34" s="3">
        <v>5613</v>
      </c>
      <c r="B34" s="116" t="s">
        <v>63</v>
      </c>
      <c r="C34" s="136"/>
      <c r="D34" s="49" t="e">
        <f>C34/C12</f>
        <v>#DIV/0!</v>
      </c>
      <c r="E34" s="43"/>
      <c r="F34" s="49" t="e">
        <f>E34/E12</f>
        <v>#DIV/0!</v>
      </c>
      <c r="G34" s="80"/>
      <c r="H34" s="49" t="e">
        <f>G34/G12</f>
        <v>#DIV/0!</v>
      </c>
      <c r="I34" s="18"/>
      <c r="J34" s="49" t="e">
        <f>I34/I12</f>
        <v>#DIV/0!</v>
      </c>
      <c r="K34" s="43"/>
      <c r="L34" s="49" t="e">
        <f>K34/K12</f>
        <v>#DIV/0!</v>
      </c>
      <c r="M34" s="18"/>
      <c r="N34" s="49" t="e">
        <f>M34/M12</f>
        <v>#DIV/0!</v>
      </c>
      <c r="O34" s="18"/>
      <c r="P34" s="49" t="e">
        <f>O34/O12</f>
        <v>#DIV/0!</v>
      </c>
      <c r="Q34" s="18"/>
      <c r="R34" s="49" t="e">
        <f>Q34/Q12</f>
        <v>#DIV/0!</v>
      </c>
      <c r="S34" s="18"/>
      <c r="T34" s="49" t="e">
        <f>S34/S12</f>
        <v>#DIV/0!</v>
      </c>
      <c r="U34" s="43"/>
      <c r="V34" s="49" t="e">
        <f>U34/U12</f>
        <v>#DIV/0!</v>
      </c>
      <c r="W34" s="33"/>
      <c r="X34" s="49" t="e">
        <f>W34/W12</f>
        <v>#DIV/0!</v>
      </c>
      <c r="Y34" s="43"/>
      <c r="Z34" s="179" t="e">
        <f>Y34/Y12</f>
        <v>#DIV/0!</v>
      </c>
      <c r="AA34" s="286">
        <f t="shared" si="21"/>
        <v>0</v>
      </c>
      <c r="AB34" s="214" t="e">
        <f>AA34/AA12</f>
        <v>#DIV/0!</v>
      </c>
      <c r="AC34" s="205">
        <f t="shared" si="4"/>
        <v>0</v>
      </c>
      <c r="AD34" s="214" t="e">
        <f>AC34/AC12</f>
        <v>#DIV/0!</v>
      </c>
      <c r="AE34" s="75"/>
      <c r="AF34" s="169"/>
      <c r="AG34" s="75"/>
      <c r="AH34" s="205">
        <v>0</v>
      </c>
      <c r="AI34" s="255">
        <f>AH34/AH12</f>
        <v>0</v>
      </c>
      <c r="AJ34" s="293">
        <f t="shared" si="0"/>
        <v>0</v>
      </c>
      <c r="AK34" s="53">
        <f t="shared" si="1"/>
        <v>0</v>
      </c>
      <c r="AL34" s="53">
        <f t="shared" si="5"/>
        <v>0</v>
      </c>
      <c r="AM34" s="53">
        <f t="shared" si="20"/>
        <v>0</v>
      </c>
      <c r="AN34" s="53" t="e">
        <f>#REF!-AM34</f>
        <v>#REF!</v>
      </c>
      <c r="AO34" s="53"/>
    </row>
    <row r="35" spans="1:41">
      <c r="A35" s="8">
        <v>5699</v>
      </c>
      <c r="B35" s="117" t="s">
        <v>96</v>
      </c>
      <c r="C35" s="29">
        <f>SUM(C22:C34)</f>
        <v>0</v>
      </c>
      <c r="D35" s="66" t="e">
        <f>C35/C12</f>
        <v>#DIV/0!</v>
      </c>
      <c r="E35" s="58"/>
      <c r="F35" s="66" t="e">
        <f>E35/E12</f>
        <v>#DIV/0!</v>
      </c>
      <c r="G35" s="85">
        <f>SUM(G22:G34)</f>
        <v>0</v>
      </c>
      <c r="H35" s="66" t="e">
        <f>G35/G12</f>
        <v>#DIV/0!</v>
      </c>
      <c r="I35" s="21">
        <f>SUM(I22:I34)</f>
        <v>0</v>
      </c>
      <c r="J35" s="66" t="e">
        <f>I35/I12</f>
        <v>#DIV/0!</v>
      </c>
      <c r="K35" s="58">
        <f>SUM(K22:K34)</f>
        <v>0</v>
      </c>
      <c r="L35" s="66" t="e">
        <f>K35/K12</f>
        <v>#DIV/0!</v>
      </c>
      <c r="M35" s="21">
        <f>SUM(M22:M34)</f>
        <v>0</v>
      </c>
      <c r="N35" s="66" t="e">
        <f>M35/M12</f>
        <v>#DIV/0!</v>
      </c>
      <c r="O35" s="21">
        <f>SUM(O22:O34)</f>
        <v>0</v>
      </c>
      <c r="P35" s="66" t="e">
        <f>O35/O12</f>
        <v>#DIV/0!</v>
      </c>
      <c r="Q35" s="21">
        <f>SUM(Q22:Q34)</f>
        <v>0</v>
      </c>
      <c r="R35" s="66" t="e">
        <f>Q35/Q12</f>
        <v>#DIV/0!</v>
      </c>
      <c r="S35" s="21">
        <f>SUM(S22:S34)</f>
        <v>0</v>
      </c>
      <c r="T35" s="66" t="e">
        <f>S35/S12</f>
        <v>#DIV/0!</v>
      </c>
      <c r="U35" s="58">
        <f>SUM(U22:U34)</f>
        <v>0</v>
      </c>
      <c r="V35" s="66" t="e">
        <f>U35/U12</f>
        <v>#DIV/0!</v>
      </c>
      <c r="W35" s="40">
        <f>SUM(W22:W34)</f>
        <v>0</v>
      </c>
      <c r="X35" s="66" t="e">
        <f>W35/W12</f>
        <v>#DIV/0!</v>
      </c>
      <c r="Y35" s="58">
        <f>SUM(Y22:Y34)</f>
        <v>0</v>
      </c>
      <c r="Z35" s="224" t="e">
        <f>Y35/Y12</f>
        <v>#DIV/0!</v>
      </c>
      <c r="AA35" s="211">
        <f>SUM(AA22:AA34)</f>
        <v>0</v>
      </c>
      <c r="AB35" s="245" t="e">
        <f>AA35/AA12</f>
        <v>#DIV/0!</v>
      </c>
      <c r="AC35" s="246">
        <f t="shared" si="4"/>
        <v>0</v>
      </c>
      <c r="AD35" s="245" t="e">
        <f>AC35/AC12</f>
        <v>#DIV/0!</v>
      </c>
      <c r="AE35" s="75"/>
      <c r="AF35" s="169"/>
      <c r="AG35" s="75"/>
      <c r="AH35" s="246">
        <f>SUM(AH22:AH34)</f>
        <v>600</v>
      </c>
      <c r="AI35" s="259">
        <f>AH35/AH12</f>
        <v>7.4512858218237356E-4</v>
      </c>
      <c r="AJ35" s="297">
        <f t="shared" si="0"/>
        <v>600</v>
      </c>
      <c r="AK35" s="53">
        <f t="shared" si="1"/>
        <v>0</v>
      </c>
      <c r="AL35" s="53">
        <f t="shared" si="5"/>
        <v>0</v>
      </c>
      <c r="AM35" s="53">
        <f t="shared" si="20"/>
        <v>0</v>
      </c>
      <c r="AN35" s="53" t="e">
        <f>#REF!-AM35</f>
        <v>#REF!</v>
      </c>
      <c r="AO35" s="53"/>
    </row>
    <row r="36" spans="1:41">
      <c r="A36" s="8">
        <v>5999</v>
      </c>
      <c r="B36" s="117" t="s">
        <v>97</v>
      </c>
      <c r="C36" s="29">
        <f>C21+C35</f>
        <v>0</v>
      </c>
      <c r="D36" s="66" t="e">
        <f>C36/C12</f>
        <v>#DIV/0!</v>
      </c>
      <c r="E36" s="58"/>
      <c r="F36" s="66" t="e">
        <f>E36/E12</f>
        <v>#DIV/0!</v>
      </c>
      <c r="G36" s="85">
        <f>G21+G35</f>
        <v>0</v>
      </c>
      <c r="H36" s="66" t="e">
        <f>G36/G12</f>
        <v>#DIV/0!</v>
      </c>
      <c r="I36" s="21">
        <f>I21+I35</f>
        <v>0</v>
      </c>
      <c r="J36" s="66" t="e">
        <f>I36/I12</f>
        <v>#DIV/0!</v>
      </c>
      <c r="K36" s="58">
        <f>K21+K35</f>
        <v>0</v>
      </c>
      <c r="L36" s="66" t="e">
        <f>K36/K12</f>
        <v>#DIV/0!</v>
      </c>
      <c r="M36" s="21">
        <f>M21+M35</f>
        <v>0</v>
      </c>
      <c r="N36" s="66" t="e">
        <f>M36/M12</f>
        <v>#DIV/0!</v>
      </c>
      <c r="O36" s="21">
        <f>O21+O35</f>
        <v>0</v>
      </c>
      <c r="P36" s="66" t="e">
        <f>O36/O12</f>
        <v>#DIV/0!</v>
      </c>
      <c r="Q36" s="21">
        <f>Q21+Q35</f>
        <v>0</v>
      </c>
      <c r="R36" s="66" t="e">
        <f>Q36/Q12</f>
        <v>#DIV/0!</v>
      </c>
      <c r="S36" s="21">
        <f>S21+S35</f>
        <v>0</v>
      </c>
      <c r="T36" s="66" t="e">
        <f>S36/S12</f>
        <v>#DIV/0!</v>
      </c>
      <c r="U36" s="58">
        <f>U21+U35</f>
        <v>0</v>
      </c>
      <c r="V36" s="66" t="e">
        <f>U36/U12</f>
        <v>#DIV/0!</v>
      </c>
      <c r="W36" s="40">
        <f>W21+W35</f>
        <v>0</v>
      </c>
      <c r="X36" s="66" t="e">
        <f>W36/W12</f>
        <v>#DIV/0!</v>
      </c>
      <c r="Y36" s="58">
        <f>Y21+Y35</f>
        <v>0</v>
      </c>
      <c r="Z36" s="224" t="e">
        <f>Y36/Y12</f>
        <v>#DIV/0!</v>
      </c>
      <c r="AA36" s="211">
        <f>AA21+AA35</f>
        <v>0</v>
      </c>
      <c r="AB36" s="245" t="e">
        <f>AA36/AA12</f>
        <v>#DIV/0!</v>
      </c>
      <c r="AC36" s="246">
        <f t="shared" si="4"/>
        <v>0</v>
      </c>
      <c r="AD36" s="245" t="e">
        <f>AC36/AC12</f>
        <v>#DIV/0!</v>
      </c>
      <c r="AE36" s="75"/>
      <c r="AF36" s="169"/>
      <c r="AG36" s="75"/>
      <c r="AH36" s="246">
        <f>AH35+AH21</f>
        <v>403215.07500000001</v>
      </c>
      <c r="AI36" s="259">
        <f>AH36/AH12</f>
        <v>0.50074512858218234</v>
      </c>
      <c r="AJ36" s="297">
        <f t="shared" si="0"/>
        <v>403215.07500000001</v>
      </c>
      <c r="AK36" s="53">
        <f t="shared" si="1"/>
        <v>0</v>
      </c>
      <c r="AL36" s="53">
        <f t="shared" si="5"/>
        <v>0</v>
      </c>
      <c r="AM36" s="53">
        <f t="shared" si="20"/>
        <v>0</v>
      </c>
      <c r="AN36" s="53" t="e">
        <f>#REF!-AM36</f>
        <v>#REF!</v>
      </c>
      <c r="AO36" s="53"/>
    </row>
    <row r="37" spans="1:41" ht="15.75" thickBot="1">
      <c r="A37" s="9"/>
      <c r="B37" s="118" t="s">
        <v>69</v>
      </c>
      <c r="C37" s="28">
        <f>(C16-C36)</f>
        <v>0</v>
      </c>
      <c r="D37" s="67" t="e">
        <f>C37/C12</f>
        <v>#DIV/0!</v>
      </c>
      <c r="E37" s="59"/>
      <c r="F37" s="67" t="e">
        <f>E37/E12</f>
        <v>#DIV/0!</v>
      </c>
      <c r="G37" s="86">
        <f>(G16-G36)</f>
        <v>0</v>
      </c>
      <c r="H37" s="67" t="e">
        <f>G37/G12</f>
        <v>#DIV/0!</v>
      </c>
      <c r="I37" s="22">
        <f>(I16-I36)</f>
        <v>0</v>
      </c>
      <c r="J37" s="67" t="e">
        <f>I37/I12</f>
        <v>#DIV/0!</v>
      </c>
      <c r="K37" s="59">
        <f>(K16-K36)</f>
        <v>0</v>
      </c>
      <c r="L37" s="67" t="e">
        <f>K37/K12</f>
        <v>#DIV/0!</v>
      </c>
      <c r="M37" s="22">
        <f>(M16-M36)</f>
        <v>0</v>
      </c>
      <c r="N37" s="67" t="e">
        <f>M37/M12</f>
        <v>#DIV/0!</v>
      </c>
      <c r="O37" s="22">
        <f>(O16-O36)</f>
        <v>0</v>
      </c>
      <c r="P37" s="67" t="e">
        <f>O37/O12</f>
        <v>#DIV/0!</v>
      </c>
      <c r="Q37" s="22">
        <f>(Q16-Q36)</f>
        <v>0</v>
      </c>
      <c r="R37" s="67" t="e">
        <f>Q37/Q12</f>
        <v>#DIV/0!</v>
      </c>
      <c r="S37" s="22">
        <f>(S16-S36)</f>
        <v>0</v>
      </c>
      <c r="T37" s="67" t="e">
        <f>S37/S12</f>
        <v>#DIV/0!</v>
      </c>
      <c r="U37" s="59">
        <f>(U16-U36)</f>
        <v>0</v>
      </c>
      <c r="V37" s="67" t="e">
        <f>U37/U12</f>
        <v>#DIV/0!</v>
      </c>
      <c r="W37" s="41">
        <f>(W16-W36)</f>
        <v>0</v>
      </c>
      <c r="X37" s="67" t="e">
        <f>W37/W12</f>
        <v>#DIV/0!</v>
      </c>
      <c r="Y37" s="59">
        <f>(Y16-Y36)</f>
        <v>0</v>
      </c>
      <c r="Z37" s="225" t="e">
        <f>Y37/Y12</f>
        <v>#DIV/0!</v>
      </c>
      <c r="AA37" s="288">
        <f>(AA16-AA36)</f>
        <v>0</v>
      </c>
      <c r="AB37" s="247" t="e">
        <f>AA37/AA12</f>
        <v>#DIV/0!</v>
      </c>
      <c r="AC37" s="243">
        <f t="shared" si="4"/>
        <v>0</v>
      </c>
      <c r="AD37" s="247" t="e">
        <f>AC37/AC12</f>
        <v>#DIV/0!</v>
      </c>
      <c r="AE37" s="75"/>
      <c r="AF37" s="169"/>
      <c r="AG37" s="75"/>
      <c r="AH37" s="243">
        <f>(AH16-AH36)</f>
        <v>402015.07500000001</v>
      </c>
      <c r="AI37" s="260">
        <f>AH37/AH12</f>
        <v>0.4992548714178176</v>
      </c>
      <c r="AJ37" s="298">
        <f t="shared" si="0"/>
        <v>402015.07500000001</v>
      </c>
      <c r="AK37" s="53">
        <f t="shared" si="1"/>
        <v>0</v>
      </c>
      <c r="AL37" s="53">
        <f t="shared" si="5"/>
        <v>0</v>
      </c>
      <c r="AM37" s="53">
        <f t="shared" si="20"/>
        <v>0</v>
      </c>
      <c r="AN37" s="53" t="e">
        <f>#REF!-AM37</f>
        <v>#REF!</v>
      </c>
      <c r="AO37" s="53"/>
    </row>
    <row r="38" spans="1:41" ht="15.75" thickTop="1">
      <c r="A38" s="2">
        <v>6002</v>
      </c>
      <c r="B38" s="112" t="s">
        <v>46</v>
      </c>
      <c r="C38" s="136"/>
      <c r="D38" s="49" t="e">
        <f>C38/C12</f>
        <v>#DIV/0!</v>
      </c>
      <c r="E38" s="43"/>
      <c r="F38" s="49" t="e">
        <f>E38/E12</f>
        <v>#DIV/0!</v>
      </c>
      <c r="G38" s="80"/>
      <c r="H38" s="49" t="e">
        <f>G38/G12</f>
        <v>#DIV/0!</v>
      </c>
      <c r="I38" s="18"/>
      <c r="J38" s="49" t="e">
        <f>I38/I12</f>
        <v>#DIV/0!</v>
      </c>
      <c r="K38" s="43"/>
      <c r="L38" s="49" t="e">
        <f>K38/K12</f>
        <v>#DIV/0!</v>
      </c>
      <c r="M38" s="18"/>
      <c r="N38" s="49" t="e">
        <f>M38/M12</f>
        <v>#DIV/0!</v>
      </c>
      <c r="O38" s="18"/>
      <c r="P38" s="49" t="e">
        <f>O38/O12</f>
        <v>#DIV/0!</v>
      </c>
      <c r="Q38" s="18"/>
      <c r="R38" s="49" t="e">
        <f>Q38/Q12</f>
        <v>#DIV/0!</v>
      </c>
      <c r="S38" s="18"/>
      <c r="T38" s="49" t="e">
        <f>S38/S12</f>
        <v>#DIV/0!</v>
      </c>
      <c r="U38" s="43"/>
      <c r="V38" s="49" t="e">
        <f>U38/U12</f>
        <v>#DIV/0!</v>
      </c>
      <c r="W38" s="33"/>
      <c r="X38" s="49" t="e">
        <f>W38/W12</f>
        <v>#DIV/0!</v>
      </c>
      <c r="Y38" s="43"/>
      <c r="Z38" s="179" t="e">
        <f>Y38/Y12</f>
        <v>#DIV/0!</v>
      </c>
      <c r="AA38" s="286">
        <f>C38+E38+G38+I38+K38+M38+O38+Q38+S38+U38+W38+Y38</f>
        <v>0</v>
      </c>
      <c r="AB38" s="214" t="e">
        <f>AA38/AA12</f>
        <v>#DIV/0!</v>
      </c>
      <c r="AC38" s="205">
        <f t="shared" si="4"/>
        <v>0</v>
      </c>
      <c r="AD38" s="214" t="e">
        <f>AC38/AC12</f>
        <v>#DIV/0!</v>
      </c>
      <c r="AE38" s="75"/>
      <c r="AF38" s="169"/>
      <c r="AG38" s="75"/>
      <c r="AH38" s="205">
        <v>0</v>
      </c>
      <c r="AI38" s="255">
        <f>AH38/AH12</f>
        <v>0</v>
      </c>
      <c r="AJ38" s="293">
        <f t="shared" si="0"/>
        <v>0</v>
      </c>
      <c r="AK38" s="53">
        <f t="shared" si="1"/>
        <v>0</v>
      </c>
      <c r="AL38" s="53">
        <f t="shared" si="5"/>
        <v>0</v>
      </c>
      <c r="AM38" s="53">
        <f t="shared" si="20"/>
        <v>0</v>
      </c>
      <c r="AN38" s="53" t="e">
        <f>#REF!-AM38</f>
        <v>#REF!</v>
      </c>
      <c r="AO38" s="53"/>
    </row>
    <row r="39" spans="1:41">
      <c r="A39" s="2">
        <v>6003</v>
      </c>
      <c r="B39" s="2" t="s">
        <v>0</v>
      </c>
      <c r="C39" s="18"/>
      <c r="D39" s="49" t="e">
        <f>C39/C12</f>
        <v>#DIV/0!</v>
      </c>
      <c r="E39" s="18"/>
      <c r="F39" s="49" t="e">
        <f>E39/E12</f>
        <v>#DIV/0!</v>
      </c>
      <c r="G39" s="18">
        <v>0</v>
      </c>
      <c r="H39" s="49" t="e">
        <f>G39/G12</f>
        <v>#DIV/0!</v>
      </c>
      <c r="I39" s="18"/>
      <c r="J39" s="49" t="e">
        <f>I39/I12</f>
        <v>#DIV/0!</v>
      </c>
      <c r="K39" s="18">
        <v>0</v>
      </c>
      <c r="L39" s="49" t="e">
        <f>K39/K12</f>
        <v>#DIV/0!</v>
      </c>
      <c r="M39" s="18"/>
      <c r="N39" s="49" t="e">
        <f>M39/M12</f>
        <v>#DIV/0!</v>
      </c>
      <c r="O39" s="18"/>
      <c r="P39" s="49" t="e">
        <f>O39/O12</f>
        <v>#DIV/0!</v>
      </c>
      <c r="Q39" s="18"/>
      <c r="R39" s="49" t="e">
        <f>Q39/Q12</f>
        <v>#DIV/0!</v>
      </c>
      <c r="S39" s="18">
        <v>0</v>
      </c>
      <c r="T39" s="49" t="e">
        <f>S39/S12</f>
        <v>#DIV/0!</v>
      </c>
      <c r="U39" s="18"/>
      <c r="V39" s="49" t="e">
        <f>U39/U12</f>
        <v>#DIV/0!</v>
      </c>
      <c r="W39" s="18">
        <v>0</v>
      </c>
      <c r="X39" s="49" t="e">
        <f>W39/W12</f>
        <v>#DIV/0!</v>
      </c>
      <c r="Y39" s="18">
        <v>0</v>
      </c>
      <c r="Z39" s="179" t="e">
        <f>Y39/Y12</f>
        <v>#DIV/0!</v>
      </c>
      <c r="AA39" s="286">
        <f>C39+E39+G39+I39+K39+M39+O39+Q39+S39+U39+W39+Y39</f>
        <v>0</v>
      </c>
      <c r="AB39" s="214" t="e">
        <f>AA39/AA12</f>
        <v>#DIV/0!</v>
      </c>
      <c r="AC39" s="205">
        <f t="shared" si="4"/>
        <v>0</v>
      </c>
      <c r="AD39" s="214" t="e">
        <f>AC39/AC12</f>
        <v>#DIV/0!</v>
      </c>
      <c r="AE39" s="75"/>
      <c r="AF39" s="169"/>
      <c r="AG39" s="75"/>
      <c r="AH39" s="205">
        <v>0</v>
      </c>
      <c r="AI39" s="255">
        <f>AH39/AH12</f>
        <v>0</v>
      </c>
      <c r="AJ39" s="293">
        <f t="shared" si="0"/>
        <v>0</v>
      </c>
      <c r="AK39" s="53">
        <f t="shared" si="1"/>
        <v>0</v>
      </c>
      <c r="AL39" s="53">
        <f t="shared" si="5"/>
        <v>0</v>
      </c>
      <c r="AM39" s="53">
        <f t="shared" si="20"/>
        <v>0</v>
      </c>
      <c r="AN39" s="53" t="e">
        <f>#REF!-AM39</f>
        <v>#REF!</v>
      </c>
      <c r="AO39" s="53"/>
    </row>
    <row r="40" spans="1:41">
      <c r="A40" s="2">
        <v>6004</v>
      </c>
      <c r="B40" s="112" t="s">
        <v>1</v>
      </c>
      <c r="C40" s="136"/>
      <c r="D40" s="49" t="e">
        <f>C40/C12</f>
        <v>#DIV/0!</v>
      </c>
      <c r="E40" s="43"/>
      <c r="F40" s="49" t="e">
        <f>E40/E12</f>
        <v>#DIV/0!</v>
      </c>
      <c r="G40" s="80"/>
      <c r="H40" s="49" t="e">
        <f>G40/G12</f>
        <v>#DIV/0!</v>
      </c>
      <c r="I40" s="18"/>
      <c r="J40" s="49" t="e">
        <f>I40/I12</f>
        <v>#DIV/0!</v>
      </c>
      <c r="K40" s="43"/>
      <c r="L40" s="49" t="e">
        <f>K40/K12</f>
        <v>#DIV/0!</v>
      </c>
      <c r="M40" s="18"/>
      <c r="N40" s="49" t="e">
        <f>M40/M12</f>
        <v>#DIV/0!</v>
      </c>
      <c r="O40" s="18"/>
      <c r="P40" s="49" t="e">
        <f>O40/O12</f>
        <v>#DIV/0!</v>
      </c>
      <c r="Q40" s="18"/>
      <c r="R40" s="49" t="e">
        <f>Q40/Q12</f>
        <v>#DIV/0!</v>
      </c>
      <c r="S40" s="18"/>
      <c r="T40" s="49" t="e">
        <f>S40/S12</f>
        <v>#DIV/0!</v>
      </c>
      <c r="U40" s="43"/>
      <c r="V40" s="49" t="e">
        <f>U40/U12</f>
        <v>#DIV/0!</v>
      </c>
      <c r="W40" s="33"/>
      <c r="X40" s="49" t="e">
        <f>W40/W12</f>
        <v>#DIV/0!</v>
      </c>
      <c r="Y40" s="43"/>
      <c r="Z40" s="179" t="e">
        <f>Y40/Y12</f>
        <v>#DIV/0!</v>
      </c>
      <c r="AA40" s="286">
        <f>C40+E40+G40+I40+K40+M40+O40+Q40+S40+U40+W40+Y40</f>
        <v>0</v>
      </c>
      <c r="AB40" s="214" t="e">
        <f>AA40/AA12</f>
        <v>#DIV/0!</v>
      </c>
      <c r="AC40" s="205">
        <f t="shared" si="4"/>
        <v>0</v>
      </c>
      <c r="AD40" s="214" t="e">
        <f>AC40/AC12</f>
        <v>#DIV/0!</v>
      </c>
      <c r="AE40" s="75"/>
      <c r="AF40" s="169"/>
      <c r="AG40" s="75"/>
      <c r="AH40" s="205">
        <v>0</v>
      </c>
      <c r="AI40" s="255">
        <f>AH40/AH12</f>
        <v>0</v>
      </c>
      <c r="AJ40" s="293">
        <f t="shared" si="0"/>
        <v>0</v>
      </c>
      <c r="AK40" s="53">
        <f t="shared" si="1"/>
        <v>0</v>
      </c>
      <c r="AL40" s="53">
        <f t="shared" si="5"/>
        <v>0</v>
      </c>
      <c r="AM40" s="53">
        <f t="shared" si="20"/>
        <v>0</v>
      </c>
      <c r="AN40" s="53" t="e">
        <f>#REF!-AM40</f>
        <v>#REF!</v>
      </c>
      <c r="AO40" s="53"/>
    </row>
    <row r="41" spans="1:41" ht="15.75" thickBot="1">
      <c r="A41" s="4">
        <v>6099</v>
      </c>
      <c r="B41" s="113" t="s">
        <v>98</v>
      </c>
      <c r="C41" s="27">
        <f>SUM(C38:C40)</f>
        <v>0</v>
      </c>
      <c r="D41" s="68" t="e">
        <f>C41/C12</f>
        <v>#DIV/0!</v>
      </c>
      <c r="E41" s="55"/>
      <c r="F41" s="68" t="e">
        <f>E41/E12</f>
        <v>#DIV/0!</v>
      </c>
      <c r="G41" s="82">
        <f>SUM(G38:G40)</f>
        <v>0</v>
      </c>
      <c r="H41" s="68" t="e">
        <f>G41/G12</f>
        <v>#DIV/0!</v>
      </c>
      <c r="I41" s="20">
        <f>SUM(I38:I40)</f>
        <v>0</v>
      </c>
      <c r="J41" s="68" t="e">
        <f>I41/I12</f>
        <v>#DIV/0!</v>
      </c>
      <c r="K41" s="55">
        <f>SUM(K38:K40)</f>
        <v>0</v>
      </c>
      <c r="L41" s="68" t="e">
        <f>K41/K12</f>
        <v>#DIV/0!</v>
      </c>
      <c r="M41" s="20">
        <f>SUM(M38:M40)</f>
        <v>0</v>
      </c>
      <c r="N41" s="68" t="e">
        <f>M41/M12</f>
        <v>#DIV/0!</v>
      </c>
      <c r="O41" s="20">
        <f>SUM(O38:O40)</f>
        <v>0</v>
      </c>
      <c r="P41" s="68" t="e">
        <f>O41/O12</f>
        <v>#DIV/0!</v>
      </c>
      <c r="Q41" s="20">
        <f>SUM(Q38:Q40)</f>
        <v>0</v>
      </c>
      <c r="R41" s="68" t="e">
        <f>Q41/Q12</f>
        <v>#DIV/0!</v>
      </c>
      <c r="S41" s="20">
        <f>SUM(S38:S40)</f>
        <v>0</v>
      </c>
      <c r="T41" s="68" t="e">
        <f>S41/S12</f>
        <v>#DIV/0!</v>
      </c>
      <c r="U41" s="55">
        <f>SUM(U38:U40)</f>
        <v>0</v>
      </c>
      <c r="V41" s="68" t="e">
        <f>U41/U12</f>
        <v>#DIV/0!</v>
      </c>
      <c r="W41" s="34">
        <f>SUM(W38:W40)</f>
        <v>0</v>
      </c>
      <c r="X41" s="68" t="e">
        <f>W41/W12</f>
        <v>#DIV/0!</v>
      </c>
      <c r="Y41" s="55">
        <f>SUM(Y38:Y40)</f>
        <v>0</v>
      </c>
      <c r="Z41" s="223" t="e">
        <f>Y41/Y12</f>
        <v>#DIV/0!</v>
      </c>
      <c r="AA41" s="287">
        <f>SUM(AA38:AA40)</f>
        <v>0</v>
      </c>
      <c r="AB41" s="245" t="e">
        <f>AA41/AA12</f>
        <v>#DIV/0!</v>
      </c>
      <c r="AC41" s="210">
        <f t="shared" si="4"/>
        <v>0</v>
      </c>
      <c r="AD41" s="245" t="e">
        <f>AC41/AC12</f>
        <v>#DIV/0!</v>
      </c>
      <c r="AE41" s="75"/>
      <c r="AF41" s="169"/>
      <c r="AG41" s="75"/>
      <c r="AH41" s="210">
        <v>0</v>
      </c>
      <c r="AI41" s="259">
        <f>AH41/AH12</f>
        <v>0</v>
      </c>
      <c r="AJ41" s="293">
        <f t="shared" si="0"/>
        <v>0</v>
      </c>
      <c r="AK41" s="53">
        <f t="shared" si="1"/>
        <v>0</v>
      </c>
      <c r="AL41" s="53">
        <f t="shared" si="5"/>
        <v>0</v>
      </c>
      <c r="AM41" s="53">
        <f t="shared" si="20"/>
        <v>0</v>
      </c>
      <c r="AN41" s="53" t="e">
        <f>#REF!-AM41</f>
        <v>#REF!</v>
      </c>
      <c r="AO41" s="53"/>
    </row>
    <row r="42" spans="1:41" ht="15.75" thickTop="1">
      <c r="A42" s="99">
        <v>6101</v>
      </c>
      <c r="B42" s="111" t="s">
        <v>2</v>
      </c>
      <c r="C42" s="18"/>
      <c r="D42" s="49" t="e">
        <f>C42/C12</f>
        <v>#DIV/0!</v>
      </c>
      <c r="E42" s="18"/>
      <c r="F42" s="49" t="e">
        <f>E42/E12</f>
        <v>#DIV/0!</v>
      </c>
      <c r="G42" s="18"/>
      <c r="H42" s="49" t="e">
        <f>G42/G12</f>
        <v>#DIV/0!</v>
      </c>
      <c r="I42" s="18"/>
      <c r="J42" s="49" t="e">
        <f>I42/I12</f>
        <v>#DIV/0!</v>
      </c>
      <c r="K42" s="18">
        <f>K16*5%</f>
        <v>0</v>
      </c>
      <c r="L42" s="49" t="e">
        <f>K42/K12</f>
        <v>#DIV/0!</v>
      </c>
      <c r="M42" s="18">
        <f>M16*5%</f>
        <v>0</v>
      </c>
      <c r="N42" s="49" t="e">
        <f>M42/M12</f>
        <v>#DIV/0!</v>
      </c>
      <c r="O42" s="18">
        <f>O16*5%</f>
        <v>0</v>
      </c>
      <c r="P42" s="49" t="e">
        <f>O42/O12</f>
        <v>#DIV/0!</v>
      </c>
      <c r="Q42" s="18">
        <f>Q16*5%</f>
        <v>0</v>
      </c>
      <c r="R42" s="49" t="e">
        <f>Q42/Q12</f>
        <v>#DIV/0!</v>
      </c>
      <c r="S42" s="18">
        <f>S16*5%</f>
        <v>0</v>
      </c>
      <c r="T42" s="49" t="e">
        <f>S42/S12</f>
        <v>#DIV/0!</v>
      </c>
      <c r="U42" s="18">
        <f>U16*5%</f>
        <v>0</v>
      </c>
      <c r="V42" s="49" t="e">
        <f>U42/U12</f>
        <v>#DIV/0!</v>
      </c>
      <c r="W42" s="18">
        <f>W16*5%</f>
        <v>0</v>
      </c>
      <c r="X42" s="49" t="e">
        <f>W42/W12</f>
        <v>#DIV/0!</v>
      </c>
      <c r="Y42" s="18">
        <f>Y16*5%</f>
        <v>0</v>
      </c>
      <c r="Z42" s="179" t="e">
        <f>Y42/Y12</f>
        <v>#DIV/0!</v>
      </c>
      <c r="AA42" s="286">
        <f t="shared" ref="AA42:AA75" si="22">C42+E42+G42+I42+K42+M42+O42+Q42+S42+U42+W42+Y42</f>
        <v>0</v>
      </c>
      <c r="AB42" s="214" t="e">
        <f>AA42/AA12</f>
        <v>#DIV/0!</v>
      </c>
      <c r="AC42" s="205">
        <f t="shared" si="4"/>
        <v>0</v>
      </c>
      <c r="AD42" s="214" t="e">
        <f>AC42/AC12</f>
        <v>#DIV/0!</v>
      </c>
      <c r="AE42" s="75"/>
      <c r="AF42" s="169"/>
      <c r="AG42" s="75"/>
      <c r="AH42" s="205">
        <v>90000</v>
      </c>
      <c r="AI42" s="255">
        <f>AH42/AH12</f>
        <v>0.11176928732735603</v>
      </c>
      <c r="AJ42" s="293">
        <f t="shared" si="0"/>
        <v>90000</v>
      </c>
      <c r="AK42" s="53">
        <f t="shared" si="1"/>
        <v>0</v>
      </c>
      <c r="AL42" s="53">
        <f t="shared" si="5"/>
        <v>0</v>
      </c>
      <c r="AM42" s="53">
        <f t="shared" si="20"/>
        <v>0</v>
      </c>
      <c r="AN42" s="53" t="e">
        <f>#REF!-AM42</f>
        <v>#REF!</v>
      </c>
      <c r="AO42" s="53" t="s">
        <v>236</v>
      </c>
    </row>
    <row r="43" spans="1:41">
      <c r="A43" s="99">
        <v>6102</v>
      </c>
      <c r="B43" s="111" t="s">
        <v>3</v>
      </c>
      <c r="C43" s="54"/>
      <c r="D43" s="49" t="e">
        <f>C43/C12</f>
        <v>#DIV/0!</v>
      </c>
      <c r="E43" s="54"/>
      <c r="F43" s="49" t="e">
        <f>E43/E12</f>
        <v>#DIV/0!</v>
      </c>
      <c r="G43" s="54"/>
      <c r="H43" s="49" t="e">
        <f>G43/G12</f>
        <v>#DIV/0!</v>
      </c>
      <c r="I43" s="54"/>
      <c r="J43" s="49" t="e">
        <f>I43/I12</f>
        <v>#DIV/0!</v>
      </c>
      <c r="K43" s="54"/>
      <c r="L43" s="49" t="e">
        <f>K43/K12</f>
        <v>#DIV/0!</v>
      </c>
      <c r="M43" s="54">
        <v>0</v>
      </c>
      <c r="N43" s="49" t="e">
        <f>M43/M12</f>
        <v>#DIV/0!</v>
      </c>
      <c r="O43" s="54">
        <v>0</v>
      </c>
      <c r="P43" s="49" t="e">
        <f>O43/O12</f>
        <v>#DIV/0!</v>
      </c>
      <c r="Q43" s="54">
        <v>0</v>
      </c>
      <c r="R43" s="49" t="e">
        <f>Q43/Q12</f>
        <v>#DIV/0!</v>
      </c>
      <c r="S43" s="54">
        <v>0</v>
      </c>
      <c r="T43" s="49" t="e">
        <f>S43/S12</f>
        <v>#DIV/0!</v>
      </c>
      <c r="U43" s="54">
        <v>0</v>
      </c>
      <c r="V43" s="49" t="e">
        <f>U43/U12</f>
        <v>#DIV/0!</v>
      </c>
      <c r="W43" s="54">
        <v>0</v>
      </c>
      <c r="X43" s="49" t="e">
        <f>W43/W12</f>
        <v>#DIV/0!</v>
      </c>
      <c r="Y43" s="54">
        <v>0</v>
      </c>
      <c r="Z43" s="179" t="e">
        <f>Y43/Y12</f>
        <v>#DIV/0!</v>
      </c>
      <c r="AA43" s="286">
        <f t="shared" si="22"/>
        <v>0</v>
      </c>
      <c r="AB43" s="214" t="e">
        <f>AA43/AA12</f>
        <v>#DIV/0!</v>
      </c>
      <c r="AC43" s="206">
        <f t="shared" si="4"/>
        <v>0</v>
      </c>
      <c r="AD43" s="214" t="e">
        <f>AC43/AC12</f>
        <v>#DIV/0!</v>
      </c>
      <c r="AE43" s="75"/>
      <c r="AF43" s="169"/>
      <c r="AG43" s="75"/>
      <c r="AH43" s="206">
        <v>23000</v>
      </c>
      <c r="AI43" s="255">
        <f>AH43/AH12</f>
        <v>2.8563262316990985E-2</v>
      </c>
      <c r="AJ43" s="293">
        <f t="shared" si="0"/>
        <v>23000</v>
      </c>
      <c r="AK43" s="53">
        <f t="shared" si="1"/>
        <v>0</v>
      </c>
      <c r="AL43" s="53">
        <f t="shared" si="5"/>
        <v>0</v>
      </c>
      <c r="AM43" s="53">
        <f t="shared" si="20"/>
        <v>0</v>
      </c>
      <c r="AN43" s="53" t="e">
        <f>#REF!-AM43</f>
        <v>#REF!</v>
      </c>
      <c r="AO43" s="53" t="s">
        <v>233</v>
      </c>
    </row>
    <row r="44" spans="1:41">
      <c r="A44" s="99">
        <v>6103</v>
      </c>
      <c r="B44" s="111" t="s">
        <v>4</v>
      </c>
      <c r="C44" s="33"/>
      <c r="D44" s="49" t="e">
        <f>C44/C12</f>
        <v>#DIV/0!</v>
      </c>
      <c r="E44" s="299"/>
      <c r="F44" s="49" t="e">
        <f>E44/E12</f>
        <v>#DIV/0!</v>
      </c>
      <c r="G44" s="80"/>
      <c r="H44" s="49" t="e">
        <f>G44/G12</f>
        <v>#DIV/0!</v>
      </c>
      <c r="I44" s="136"/>
      <c r="J44" s="49" t="e">
        <f>I44/I12</f>
        <v>#DIV/0!</v>
      </c>
      <c r="K44" s="80"/>
      <c r="L44" s="49" t="e">
        <f>K44/K12</f>
        <v>#DIV/0!</v>
      </c>
      <c r="M44" s="136"/>
      <c r="N44" s="49" t="e">
        <f>M44/M12</f>
        <v>#DIV/0!</v>
      </c>
      <c r="O44" s="136"/>
      <c r="P44" s="49" t="e">
        <f>O44/O12</f>
        <v>#DIV/0!</v>
      </c>
      <c r="Q44" s="136">
        <v>0</v>
      </c>
      <c r="R44" s="49" t="e">
        <f>Q44/Q12</f>
        <v>#DIV/0!</v>
      </c>
      <c r="S44" s="136"/>
      <c r="T44" s="49" t="e">
        <f>S44/S12</f>
        <v>#DIV/0!</v>
      </c>
      <c r="U44" s="80">
        <v>0</v>
      </c>
      <c r="V44" s="49" t="e">
        <f>U44/U12</f>
        <v>#DIV/0!</v>
      </c>
      <c r="W44" s="80"/>
      <c r="X44" s="49" t="e">
        <f>W44/W12</f>
        <v>#DIV/0!</v>
      </c>
      <c r="Y44" s="80"/>
      <c r="Z44" s="179" t="e">
        <f>Y44/Y12</f>
        <v>#DIV/0!</v>
      </c>
      <c r="AA44" s="286">
        <f t="shared" si="22"/>
        <v>0</v>
      </c>
      <c r="AB44" s="214" t="e">
        <f>AA44/AA12</f>
        <v>#DIV/0!</v>
      </c>
      <c r="AC44" s="205">
        <f t="shared" si="4"/>
        <v>0</v>
      </c>
      <c r="AD44" s="214" t="e">
        <f>AC44/AC12</f>
        <v>#DIV/0!</v>
      </c>
      <c r="AE44" s="75"/>
      <c r="AF44" s="169"/>
      <c r="AG44" s="75"/>
      <c r="AH44" s="205">
        <v>0</v>
      </c>
      <c r="AI44" s="255">
        <f>AH44/AH12</f>
        <v>0</v>
      </c>
      <c r="AJ44" s="293">
        <f t="shared" si="0"/>
        <v>0</v>
      </c>
      <c r="AK44" s="53">
        <f t="shared" si="1"/>
        <v>0</v>
      </c>
      <c r="AL44" s="53">
        <f t="shared" si="5"/>
        <v>0</v>
      </c>
      <c r="AM44" s="53">
        <f t="shared" si="20"/>
        <v>0</v>
      </c>
      <c r="AN44" s="53" t="e">
        <f>#REF!-AM44</f>
        <v>#REF!</v>
      </c>
      <c r="AO44" s="53"/>
    </row>
    <row r="45" spans="1:41">
      <c r="A45" s="99">
        <v>6104</v>
      </c>
      <c r="B45" s="111" t="s">
        <v>5</v>
      </c>
      <c r="C45" s="54"/>
      <c r="D45" s="49" t="e">
        <f>C45/C12</f>
        <v>#DIV/0!</v>
      </c>
      <c r="E45" s="54"/>
      <c r="F45" s="49" t="e">
        <f>E45/E12</f>
        <v>#DIV/0!</v>
      </c>
      <c r="G45" s="54"/>
      <c r="H45" s="49" t="e">
        <f>G45/G12</f>
        <v>#DIV/0!</v>
      </c>
      <c r="I45" s="54"/>
      <c r="J45" s="49" t="e">
        <f>I45/I12</f>
        <v>#DIV/0!</v>
      </c>
      <c r="K45" s="54"/>
      <c r="L45" s="49" t="e">
        <f>K45/K12</f>
        <v>#DIV/0!</v>
      </c>
      <c r="M45" s="54">
        <v>0</v>
      </c>
      <c r="N45" s="49" t="e">
        <f>M45/M12</f>
        <v>#DIV/0!</v>
      </c>
      <c r="O45" s="54">
        <v>0</v>
      </c>
      <c r="P45" s="49" t="e">
        <f>O45/O12</f>
        <v>#DIV/0!</v>
      </c>
      <c r="Q45" s="54">
        <v>0</v>
      </c>
      <c r="R45" s="49" t="e">
        <f>Q45/Q12</f>
        <v>#DIV/0!</v>
      </c>
      <c r="S45" s="54">
        <v>0</v>
      </c>
      <c r="T45" s="49" t="e">
        <f>S45/S12</f>
        <v>#DIV/0!</v>
      </c>
      <c r="U45" s="54">
        <v>0</v>
      </c>
      <c r="V45" s="49" t="e">
        <f>U45/U12</f>
        <v>#DIV/0!</v>
      </c>
      <c r="W45" s="54">
        <v>0</v>
      </c>
      <c r="X45" s="49" t="e">
        <f>W45/W12</f>
        <v>#DIV/0!</v>
      </c>
      <c r="Y45" s="54">
        <v>0</v>
      </c>
      <c r="Z45" s="179" t="e">
        <f>Y45/Y12</f>
        <v>#DIV/0!</v>
      </c>
      <c r="AA45" s="286">
        <f t="shared" si="22"/>
        <v>0</v>
      </c>
      <c r="AB45" s="214" t="e">
        <f>AA45/AA12</f>
        <v>#DIV/0!</v>
      </c>
      <c r="AC45" s="207">
        <f t="shared" si="4"/>
        <v>0</v>
      </c>
      <c r="AD45" s="214" t="e">
        <f>AC45/AC12</f>
        <v>#DIV/0!</v>
      </c>
      <c r="AE45" s="75"/>
      <c r="AF45" s="169"/>
      <c r="AG45" s="75"/>
      <c r="AH45" s="207">
        <v>2359.6289999999999</v>
      </c>
      <c r="AI45" s="255">
        <f>AH45/AH12</f>
        <v>2.9303783520773529E-3</v>
      </c>
      <c r="AJ45" s="293">
        <f t="shared" si="0"/>
        <v>2359.6289999999999</v>
      </c>
      <c r="AK45" s="53">
        <f t="shared" si="1"/>
        <v>0</v>
      </c>
      <c r="AL45" s="53">
        <f t="shared" si="5"/>
        <v>0</v>
      </c>
      <c r="AM45" s="53">
        <f t="shared" si="20"/>
        <v>0</v>
      </c>
      <c r="AN45" s="53" t="e">
        <f>#REF!-AM45</f>
        <v>#REF!</v>
      </c>
      <c r="AO45" s="53" t="s">
        <v>233</v>
      </c>
    </row>
    <row r="46" spans="1:41">
      <c r="A46" s="99">
        <v>6105</v>
      </c>
      <c r="B46" s="111" t="s">
        <v>40</v>
      </c>
      <c r="C46" s="54"/>
      <c r="D46" s="49" t="e">
        <f>C46/C12</f>
        <v>#DIV/0!</v>
      </c>
      <c r="E46" s="54"/>
      <c r="F46" s="49" t="e">
        <f>E46/E12</f>
        <v>#DIV/0!</v>
      </c>
      <c r="G46" s="79"/>
      <c r="H46" s="49" t="e">
        <f>G46/G12</f>
        <v>#DIV/0!</v>
      </c>
      <c r="I46" s="23"/>
      <c r="J46" s="49" t="e">
        <f>I46/I12</f>
        <v>#DIV/0!</v>
      </c>
      <c r="K46" s="54"/>
      <c r="L46" s="49" t="e">
        <f>K46/K12</f>
        <v>#DIV/0!</v>
      </c>
      <c r="M46" s="18">
        <v>0</v>
      </c>
      <c r="N46" s="49"/>
      <c r="O46" s="18"/>
      <c r="P46" s="49"/>
      <c r="Q46" s="18">
        <v>0</v>
      </c>
      <c r="R46" s="49"/>
      <c r="S46" s="18">
        <v>0</v>
      </c>
      <c r="T46" s="49"/>
      <c r="U46" s="43">
        <v>0</v>
      </c>
      <c r="V46" s="49"/>
      <c r="W46" s="33">
        <v>0</v>
      </c>
      <c r="X46" s="49"/>
      <c r="Y46" s="43">
        <v>0</v>
      </c>
      <c r="Z46" s="179"/>
      <c r="AA46" s="286">
        <f t="shared" si="22"/>
        <v>0</v>
      </c>
      <c r="AB46" s="214" t="e">
        <f>AA46/AA12</f>
        <v>#DIV/0!</v>
      </c>
      <c r="AC46" s="207">
        <f t="shared" si="4"/>
        <v>0</v>
      </c>
      <c r="AD46" s="214" t="e">
        <f>AC46/AC12</f>
        <v>#DIV/0!</v>
      </c>
      <c r="AE46" s="75"/>
      <c r="AF46" s="169"/>
      <c r="AG46" s="75"/>
      <c r="AH46" s="207">
        <v>0</v>
      </c>
      <c r="AI46" s="255">
        <f>AH46/AH12</f>
        <v>0</v>
      </c>
      <c r="AJ46" s="293">
        <f t="shared" si="0"/>
        <v>0</v>
      </c>
      <c r="AK46" s="53">
        <f t="shared" si="1"/>
        <v>0</v>
      </c>
      <c r="AL46" s="53">
        <f t="shared" si="5"/>
        <v>0</v>
      </c>
      <c r="AM46" s="53">
        <f t="shared" si="20"/>
        <v>0</v>
      </c>
      <c r="AN46" s="53" t="e">
        <f>#REF!-AM46</f>
        <v>#REF!</v>
      </c>
      <c r="AO46" s="53"/>
    </row>
    <row r="47" spans="1:41">
      <c r="A47" s="99">
        <v>6106</v>
      </c>
      <c r="B47" s="111" t="s">
        <v>7</v>
      </c>
      <c r="C47" s="54"/>
      <c r="D47" s="49" t="e">
        <f>C47/C12</f>
        <v>#DIV/0!</v>
      </c>
      <c r="E47" s="23"/>
      <c r="F47" s="49" t="e">
        <f>E47/E12</f>
        <v>#DIV/0!</v>
      </c>
      <c r="G47" s="23"/>
      <c r="H47" s="49" t="e">
        <f>G47/G12</f>
        <v>#DIV/0!</v>
      </c>
      <c r="I47" s="23"/>
      <c r="J47" s="49" t="e">
        <f>I47/I12</f>
        <v>#DIV/0!</v>
      </c>
      <c r="K47" s="23"/>
      <c r="L47" s="49" t="e">
        <f>K47/K12</f>
        <v>#DIV/0!</v>
      </c>
      <c r="M47" s="23">
        <v>0</v>
      </c>
      <c r="N47" s="49" t="e">
        <f>M47/M12</f>
        <v>#DIV/0!</v>
      </c>
      <c r="O47" s="23">
        <v>0</v>
      </c>
      <c r="P47" s="49" t="e">
        <f>O47/O12</f>
        <v>#DIV/0!</v>
      </c>
      <c r="Q47" s="23">
        <v>0</v>
      </c>
      <c r="R47" s="49" t="e">
        <f>Q47/Q12</f>
        <v>#DIV/0!</v>
      </c>
      <c r="S47" s="23">
        <v>0</v>
      </c>
      <c r="T47" s="49" t="e">
        <f>S47/S12</f>
        <v>#DIV/0!</v>
      </c>
      <c r="U47" s="23">
        <v>0</v>
      </c>
      <c r="V47" s="49" t="e">
        <f>U47/U12</f>
        <v>#DIV/0!</v>
      </c>
      <c r="W47" s="23"/>
      <c r="X47" s="49" t="e">
        <f>W47/W12</f>
        <v>#DIV/0!</v>
      </c>
      <c r="Y47" s="23"/>
      <c r="Z47" s="179" t="e">
        <f>Y47/Y12</f>
        <v>#DIV/0!</v>
      </c>
      <c r="AA47" s="286">
        <f t="shared" si="22"/>
        <v>0</v>
      </c>
      <c r="AB47" s="214" t="e">
        <f>AA47/AA12</f>
        <v>#DIV/0!</v>
      </c>
      <c r="AC47" s="207">
        <f t="shared" si="4"/>
        <v>0</v>
      </c>
      <c r="AD47" s="214" t="e">
        <f>AC47/AC12</f>
        <v>#DIV/0!</v>
      </c>
      <c r="AE47" s="75"/>
      <c r="AF47" s="169"/>
      <c r="AG47" s="75"/>
      <c r="AH47" s="207">
        <v>0</v>
      </c>
      <c r="AI47" s="255">
        <f>AH47/AH12</f>
        <v>0</v>
      </c>
      <c r="AJ47" s="293">
        <f t="shared" si="0"/>
        <v>0</v>
      </c>
      <c r="AK47" s="53">
        <f t="shared" si="1"/>
        <v>0</v>
      </c>
      <c r="AL47" s="53">
        <f t="shared" si="5"/>
        <v>0</v>
      </c>
      <c r="AM47" s="53">
        <f t="shared" si="20"/>
        <v>0</v>
      </c>
      <c r="AN47" s="53" t="e">
        <f>#REF!-AM47</f>
        <v>#REF!</v>
      </c>
      <c r="AO47" s="53"/>
    </row>
    <row r="48" spans="1:41">
      <c r="A48" s="99">
        <v>6107</v>
      </c>
      <c r="B48" s="111" t="s">
        <v>8</v>
      </c>
      <c r="C48" s="23"/>
      <c r="D48" s="49" t="e">
        <f>C48/C12</f>
        <v>#DIV/0!</v>
      </c>
      <c r="E48" s="23"/>
      <c r="F48" s="49" t="e">
        <f>E48/E12</f>
        <v>#DIV/0!</v>
      </c>
      <c r="G48" s="23"/>
      <c r="H48" s="49" t="e">
        <f>G48/G12</f>
        <v>#DIV/0!</v>
      </c>
      <c r="I48" s="23"/>
      <c r="J48" s="49" t="e">
        <f>I48/I12</f>
        <v>#DIV/0!</v>
      </c>
      <c r="K48" s="23"/>
      <c r="L48" s="49" t="e">
        <f>K48/K12</f>
        <v>#DIV/0!</v>
      </c>
      <c r="M48" s="23">
        <v>0</v>
      </c>
      <c r="N48" s="49" t="e">
        <f>M48/M12</f>
        <v>#DIV/0!</v>
      </c>
      <c r="O48" s="23">
        <v>0</v>
      </c>
      <c r="P48" s="49" t="e">
        <f>O48/O12</f>
        <v>#DIV/0!</v>
      </c>
      <c r="Q48" s="23"/>
      <c r="R48" s="49" t="e">
        <f>Q48/Q12</f>
        <v>#DIV/0!</v>
      </c>
      <c r="S48" s="23"/>
      <c r="T48" s="49" t="e">
        <f>S48/S12</f>
        <v>#DIV/0!</v>
      </c>
      <c r="U48" s="23"/>
      <c r="V48" s="49" t="e">
        <f>U48/U12</f>
        <v>#DIV/0!</v>
      </c>
      <c r="W48" s="23"/>
      <c r="X48" s="49" t="e">
        <f>W48/W12</f>
        <v>#DIV/0!</v>
      </c>
      <c r="Y48" s="23"/>
      <c r="Z48" s="179" t="e">
        <f>Y48/Y12</f>
        <v>#DIV/0!</v>
      </c>
      <c r="AA48" s="286">
        <f t="shared" si="22"/>
        <v>0</v>
      </c>
      <c r="AB48" s="214" t="e">
        <f>AA48/AA12</f>
        <v>#DIV/0!</v>
      </c>
      <c r="AC48" s="207">
        <f t="shared" si="4"/>
        <v>0</v>
      </c>
      <c r="AD48" s="214" t="e">
        <f>AC48/AC12</f>
        <v>#DIV/0!</v>
      </c>
      <c r="AE48" s="75"/>
      <c r="AF48" s="169"/>
      <c r="AG48" s="75"/>
      <c r="AH48" s="207">
        <v>0</v>
      </c>
      <c r="AI48" s="255">
        <f>AH48/AH12</f>
        <v>0</v>
      </c>
      <c r="AJ48" s="293">
        <f t="shared" si="0"/>
        <v>0</v>
      </c>
      <c r="AK48" s="53">
        <f t="shared" si="1"/>
        <v>0</v>
      </c>
      <c r="AL48" s="53">
        <f t="shared" si="5"/>
        <v>0</v>
      </c>
      <c r="AM48" s="53">
        <f t="shared" si="20"/>
        <v>0</v>
      </c>
      <c r="AN48" s="53" t="e">
        <f>#REF!-AM48</f>
        <v>#REF!</v>
      </c>
      <c r="AO48" s="53"/>
    </row>
    <row r="49" spans="1:43">
      <c r="A49" s="99">
        <v>6108</v>
      </c>
      <c r="B49" s="111" t="s">
        <v>9</v>
      </c>
      <c r="C49" s="23"/>
      <c r="D49" s="49" t="e">
        <f>C49/C12</f>
        <v>#DIV/0!</v>
      </c>
      <c r="E49" s="23"/>
      <c r="F49" s="49" t="e">
        <f>E49/E12</f>
        <v>#DIV/0!</v>
      </c>
      <c r="G49" s="23"/>
      <c r="H49" s="49" t="e">
        <f>G49/G12</f>
        <v>#DIV/0!</v>
      </c>
      <c r="I49" s="23"/>
      <c r="J49" s="49" t="e">
        <f>I49/I12</f>
        <v>#DIV/0!</v>
      </c>
      <c r="K49" s="23"/>
      <c r="L49" s="49" t="e">
        <f>K49/K12</f>
        <v>#DIV/0!</v>
      </c>
      <c r="M49" s="23"/>
      <c r="N49" s="49" t="e">
        <f>M49/M12</f>
        <v>#DIV/0!</v>
      </c>
      <c r="O49" s="23"/>
      <c r="P49" s="49" t="e">
        <f>O49/O12</f>
        <v>#DIV/0!</v>
      </c>
      <c r="Q49" s="23"/>
      <c r="R49" s="49" t="e">
        <f>Q49/Q12</f>
        <v>#DIV/0!</v>
      </c>
      <c r="S49" s="23"/>
      <c r="T49" s="49" t="e">
        <f>S49/S12</f>
        <v>#DIV/0!</v>
      </c>
      <c r="U49" s="23"/>
      <c r="V49" s="49" t="e">
        <f>U49/U12</f>
        <v>#DIV/0!</v>
      </c>
      <c r="W49" s="23"/>
      <c r="X49" s="49" t="e">
        <f>W49/W12</f>
        <v>#DIV/0!</v>
      </c>
      <c r="Y49" s="23"/>
      <c r="Z49" s="179" t="e">
        <f>Y49/Y12</f>
        <v>#DIV/0!</v>
      </c>
      <c r="AA49" s="286">
        <f t="shared" si="22"/>
        <v>0</v>
      </c>
      <c r="AB49" s="214" t="e">
        <f>AA49/AA12</f>
        <v>#DIV/0!</v>
      </c>
      <c r="AC49" s="207">
        <f t="shared" si="4"/>
        <v>0</v>
      </c>
      <c r="AD49" s="214" t="e">
        <f>AC49/AC12</f>
        <v>#DIV/0!</v>
      </c>
      <c r="AE49" s="75"/>
      <c r="AF49" s="169"/>
      <c r="AG49" s="75"/>
      <c r="AH49" s="207">
        <v>0</v>
      </c>
      <c r="AI49" s="255">
        <f>AH49/AH12</f>
        <v>0</v>
      </c>
      <c r="AJ49" s="293">
        <f t="shared" si="0"/>
        <v>0</v>
      </c>
      <c r="AK49" s="53">
        <f t="shared" si="1"/>
        <v>0</v>
      </c>
      <c r="AL49" s="53">
        <f t="shared" si="5"/>
        <v>0</v>
      </c>
      <c r="AM49" s="53">
        <f t="shared" si="20"/>
        <v>0</v>
      </c>
      <c r="AN49" s="53" t="e">
        <f>#REF!-AM49</f>
        <v>#REF!</v>
      </c>
      <c r="AO49" s="53"/>
    </row>
    <row r="50" spans="1:43">
      <c r="A50" s="99">
        <v>6109</v>
      </c>
      <c r="B50" s="111" t="s">
        <v>79</v>
      </c>
      <c r="C50" s="79"/>
      <c r="D50" s="49" t="e">
        <f>C50/C12</f>
        <v>#DIV/0!</v>
      </c>
      <c r="E50" s="140"/>
      <c r="F50" s="49" t="e">
        <f>E50/E12</f>
        <v>#DIV/0!</v>
      </c>
      <c r="G50" s="140"/>
      <c r="H50" s="49" t="e">
        <f>G50/G12</f>
        <v>#DIV/0!</v>
      </c>
      <c r="I50" s="140"/>
      <c r="J50" s="49" t="e">
        <f>I50/I12</f>
        <v>#DIV/0!</v>
      </c>
      <c r="K50" s="140"/>
      <c r="L50" s="49" t="e">
        <f>K50/K12</f>
        <v>#DIV/0!</v>
      </c>
      <c r="M50" s="140"/>
      <c r="N50" s="49" t="e">
        <f>M50/M12</f>
        <v>#DIV/0!</v>
      </c>
      <c r="O50" s="140"/>
      <c r="P50" s="49" t="e">
        <f>O50/O12</f>
        <v>#DIV/0!</v>
      </c>
      <c r="Q50" s="140"/>
      <c r="R50" s="49" t="e">
        <f>Q50/Q12</f>
        <v>#DIV/0!</v>
      </c>
      <c r="S50" s="140"/>
      <c r="T50" s="49" t="e">
        <f>S50/S12</f>
        <v>#DIV/0!</v>
      </c>
      <c r="U50" s="140"/>
      <c r="V50" s="49" t="e">
        <f>U50/U12</f>
        <v>#DIV/0!</v>
      </c>
      <c r="W50" s="140"/>
      <c r="X50" s="49" t="e">
        <f>W50/W12</f>
        <v>#DIV/0!</v>
      </c>
      <c r="Y50" s="140"/>
      <c r="Z50" s="179" t="e">
        <f>Y50/Y12</f>
        <v>#DIV/0!</v>
      </c>
      <c r="AA50" s="286">
        <f t="shared" si="22"/>
        <v>0</v>
      </c>
      <c r="AB50" s="214" t="e">
        <f>AA50/AA12</f>
        <v>#DIV/0!</v>
      </c>
      <c r="AC50" s="207">
        <f t="shared" si="4"/>
        <v>0</v>
      </c>
      <c r="AD50" s="214" t="e">
        <f>AC50/AC12</f>
        <v>#DIV/0!</v>
      </c>
      <c r="AE50" s="75"/>
      <c r="AF50" s="169"/>
      <c r="AG50" s="75"/>
      <c r="AH50" s="207">
        <v>0</v>
      </c>
      <c r="AI50" s="255">
        <f>AH50/AH12</f>
        <v>0</v>
      </c>
      <c r="AJ50" s="293">
        <f t="shared" si="0"/>
        <v>0</v>
      </c>
      <c r="AK50" s="53">
        <f t="shared" si="1"/>
        <v>0</v>
      </c>
      <c r="AL50" s="53">
        <f t="shared" si="5"/>
        <v>0</v>
      </c>
      <c r="AM50" s="53">
        <f t="shared" si="20"/>
        <v>0</v>
      </c>
      <c r="AN50" s="53" t="e">
        <f>#REF!-AM50</f>
        <v>#REF!</v>
      </c>
      <c r="AO50" s="53"/>
    </row>
    <row r="51" spans="1:43">
      <c r="A51" s="99">
        <v>6110</v>
      </c>
      <c r="B51" s="111" t="s">
        <v>10</v>
      </c>
      <c r="C51" s="79"/>
      <c r="D51" s="49" t="e">
        <f>C126/C12</f>
        <v>#DIV/0!</v>
      </c>
      <c r="E51" s="79"/>
      <c r="F51" s="49" t="e">
        <f>E126/E12</f>
        <v>#DIV/0!</v>
      </c>
      <c r="G51" s="79"/>
      <c r="H51" s="49" t="e">
        <f>G126/G12</f>
        <v>#DIV/0!</v>
      </c>
      <c r="I51" s="79"/>
      <c r="J51" s="49" t="e">
        <f>I126/I12</f>
        <v>#DIV/0!</v>
      </c>
      <c r="K51" s="79"/>
      <c r="L51" s="49" t="e">
        <f>K126/K12</f>
        <v>#DIV/0!</v>
      </c>
      <c r="M51" s="79">
        <v>0</v>
      </c>
      <c r="N51" s="49" t="e">
        <f>M126/M12</f>
        <v>#DIV/0!</v>
      </c>
      <c r="O51" s="79">
        <v>0</v>
      </c>
      <c r="P51" s="49" t="e">
        <f>O126/O12</f>
        <v>#DIV/0!</v>
      </c>
      <c r="Q51" s="79">
        <v>0</v>
      </c>
      <c r="R51" s="49" t="e">
        <f>Q126/Q12</f>
        <v>#DIV/0!</v>
      </c>
      <c r="S51" s="79">
        <v>0</v>
      </c>
      <c r="T51" s="49" t="e">
        <f>S126/S12</f>
        <v>#DIV/0!</v>
      </c>
      <c r="U51" s="79">
        <v>0</v>
      </c>
      <c r="V51" s="49" t="e">
        <f>U126/U12</f>
        <v>#DIV/0!</v>
      </c>
      <c r="W51" s="79">
        <v>0</v>
      </c>
      <c r="X51" s="49" t="e">
        <f>W126/W12</f>
        <v>#DIV/0!</v>
      </c>
      <c r="Y51" s="79">
        <v>0</v>
      </c>
      <c r="Z51" s="179" t="e">
        <f t="shared" ref="Z51" si="23">Y51/Y$12</f>
        <v>#DIV/0!</v>
      </c>
      <c r="AA51" s="286">
        <f t="shared" si="22"/>
        <v>0</v>
      </c>
      <c r="AB51" s="214" t="e">
        <f>AA51/AA12</f>
        <v>#DIV/0!</v>
      </c>
      <c r="AC51" s="207">
        <f t="shared" si="4"/>
        <v>0</v>
      </c>
      <c r="AD51" s="214" t="e">
        <f>AC51/AC12</f>
        <v>#DIV/0!</v>
      </c>
      <c r="AE51" s="75"/>
      <c r="AF51" s="169"/>
      <c r="AG51" s="75"/>
      <c r="AH51" s="207">
        <v>600</v>
      </c>
      <c r="AI51" s="255">
        <f>AH51/AH12</f>
        <v>7.4512858218237356E-4</v>
      </c>
      <c r="AJ51" s="293">
        <f t="shared" si="0"/>
        <v>600</v>
      </c>
      <c r="AK51" s="53">
        <f t="shared" si="1"/>
        <v>0</v>
      </c>
      <c r="AL51" s="53">
        <f t="shared" si="5"/>
        <v>0</v>
      </c>
      <c r="AM51" s="53">
        <f t="shared" si="20"/>
        <v>0</v>
      </c>
      <c r="AN51" s="53" t="e">
        <f>#REF!-AM51</f>
        <v>#REF!</v>
      </c>
      <c r="AO51" s="53" t="s">
        <v>233</v>
      </c>
    </row>
    <row r="52" spans="1:43">
      <c r="A52" s="99">
        <v>6111</v>
      </c>
      <c r="B52" s="111" t="s">
        <v>11</v>
      </c>
      <c r="C52" s="43"/>
      <c r="D52" s="49" t="e">
        <f>C52/C12</f>
        <v>#DIV/0!</v>
      </c>
      <c r="E52" s="43"/>
      <c r="F52" s="49" t="e">
        <f>E52/E12</f>
        <v>#DIV/0!</v>
      </c>
      <c r="G52" s="43"/>
      <c r="H52" s="49" t="e">
        <f>G52/G12</f>
        <v>#DIV/0!</v>
      </c>
      <c r="I52" s="43"/>
      <c r="J52" s="49" t="e">
        <f>I52/I12</f>
        <v>#DIV/0!</v>
      </c>
      <c r="K52" s="43"/>
      <c r="L52" s="49" t="e">
        <f>K52/K12</f>
        <v>#DIV/0!</v>
      </c>
      <c r="M52" s="43">
        <v>0</v>
      </c>
      <c r="N52" s="49" t="e">
        <f>M52/M12</f>
        <v>#DIV/0!</v>
      </c>
      <c r="O52" s="43">
        <v>0</v>
      </c>
      <c r="P52" s="49" t="e">
        <f>O52/O12</f>
        <v>#DIV/0!</v>
      </c>
      <c r="Q52" s="43">
        <v>0</v>
      </c>
      <c r="R52" s="49" t="e">
        <f>Q52/Q12</f>
        <v>#DIV/0!</v>
      </c>
      <c r="S52" s="43">
        <v>0</v>
      </c>
      <c r="T52" s="49" t="e">
        <f>S52/S12</f>
        <v>#DIV/0!</v>
      </c>
      <c r="U52" s="43">
        <v>0</v>
      </c>
      <c r="V52" s="49" t="e">
        <f>U52/U12</f>
        <v>#DIV/0!</v>
      </c>
      <c r="W52" s="43">
        <v>0</v>
      </c>
      <c r="X52" s="49" t="e">
        <f>W52/W12</f>
        <v>#DIV/0!</v>
      </c>
      <c r="Y52" s="43">
        <v>0</v>
      </c>
      <c r="Z52" s="179" t="e">
        <f>Y52/Y12</f>
        <v>#DIV/0!</v>
      </c>
      <c r="AA52" s="286">
        <f t="shared" si="22"/>
        <v>0</v>
      </c>
      <c r="AB52" s="214" t="e">
        <f>AA52/AA12</f>
        <v>#DIV/0!</v>
      </c>
      <c r="AC52" s="205">
        <f t="shared" si="4"/>
        <v>0</v>
      </c>
      <c r="AD52" s="214" t="e">
        <f>AC52/AC12</f>
        <v>#DIV/0!</v>
      </c>
      <c r="AE52" s="75"/>
      <c r="AF52" s="169"/>
      <c r="AG52" s="75"/>
      <c r="AH52" s="205">
        <v>0</v>
      </c>
      <c r="AI52" s="255">
        <f>AH52/AH12</f>
        <v>0</v>
      </c>
      <c r="AJ52" s="293">
        <f t="shared" si="0"/>
        <v>0</v>
      </c>
      <c r="AK52" s="53">
        <f t="shared" si="1"/>
        <v>0</v>
      </c>
      <c r="AL52" s="53">
        <f t="shared" si="5"/>
        <v>0</v>
      </c>
      <c r="AM52" s="53">
        <f t="shared" si="20"/>
        <v>0</v>
      </c>
      <c r="AN52" s="53" t="e">
        <f>#REF!-AM52</f>
        <v>#REF!</v>
      </c>
      <c r="AO52" s="53"/>
    </row>
    <row r="53" spans="1:43">
      <c r="A53" s="99">
        <v>6112</v>
      </c>
      <c r="B53" s="111" t="s">
        <v>12</v>
      </c>
      <c r="C53" s="43"/>
      <c r="D53" s="49" t="e">
        <f>C53/C12</f>
        <v>#DIV/0!</v>
      </c>
      <c r="E53" s="43"/>
      <c r="F53" s="49" t="e">
        <f>E53/E12</f>
        <v>#DIV/0!</v>
      </c>
      <c r="G53" s="43"/>
      <c r="H53" s="49" t="e">
        <f>G53/G12</f>
        <v>#DIV/0!</v>
      </c>
      <c r="I53" s="43"/>
      <c r="J53" s="49" t="e">
        <f>I53/I12</f>
        <v>#DIV/0!</v>
      </c>
      <c r="K53" s="43"/>
      <c r="L53" s="49" t="e">
        <f>K53/K12</f>
        <v>#DIV/0!</v>
      </c>
      <c r="M53" s="43">
        <v>0</v>
      </c>
      <c r="N53" s="49" t="e">
        <f>M53/M12</f>
        <v>#DIV/0!</v>
      </c>
      <c r="O53" s="43">
        <v>0</v>
      </c>
      <c r="P53" s="49" t="e">
        <f>O53/O12</f>
        <v>#DIV/0!</v>
      </c>
      <c r="Q53" s="43">
        <v>0</v>
      </c>
      <c r="R53" s="49" t="e">
        <f>Q53/Q12</f>
        <v>#DIV/0!</v>
      </c>
      <c r="S53" s="43">
        <v>0</v>
      </c>
      <c r="T53" s="49" t="e">
        <f>S53/S12</f>
        <v>#DIV/0!</v>
      </c>
      <c r="U53" s="43">
        <v>0</v>
      </c>
      <c r="V53" s="49" t="e">
        <f>U53/U12</f>
        <v>#DIV/0!</v>
      </c>
      <c r="W53" s="43">
        <v>0</v>
      </c>
      <c r="X53" s="49" t="e">
        <f>W53/W12</f>
        <v>#DIV/0!</v>
      </c>
      <c r="Y53" s="43">
        <v>0</v>
      </c>
      <c r="Z53" s="179" t="e">
        <f>Y53/Y12</f>
        <v>#DIV/0!</v>
      </c>
      <c r="AA53" s="286">
        <f t="shared" si="22"/>
        <v>0</v>
      </c>
      <c r="AB53" s="214" t="e">
        <f>AA53/AA12</f>
        <v>#DIV/0!</v>
      </c>
      <c r="AC53" s="205">
        <f t="shared" si="4"/>
        <v>0</v>
      </c>
      <c r="AD53" s="214" t="e">
        <f>AC53/AC12</f>
        <v>#DIV/0!</v>
      </c>
      <c r="AE53" s="75"/>
      <c r="AF53" s="169"/>
      <c r="AG53" s="75"/>
      <c r="AH53" s="205">
        <v>5160</v>
      </c>
      <c r="AI53" s="255">
        <f>AH53/AH12</f>
        <v>6.4081058067684124E-3</v>
      </c>
      <c r="AJ53" s="293">
        <f t="shared" si="0"/>
        <v>5160</v>
      </c>
      <c r="AK53" s="53">
        <f t="shared" si="1"/>
        <v>0</v>
      </c>
      <c r="AL53" s="53">
        <f t="shared" si="5"/>
        <v>0</v>
      </c>
      <c r="AM53" s="53">
        <f t="shared" si="20"/>
        <v>0</v>
      </c>
      <c r="AN53" s="53" t="e">
        <f>#REF!-AM53</f>
        <v>#REF!</v>
      </c>
      <c r="AO53" s="53" t="s">
        <v>241</v>
      </c>
    </row>
    <row r="54" spans="1:43">
      <c r="A54" s="99">
        <v>6113</v>
      </c>
      <c r="B54" s="111" t="s">
        <v>13</v>
      </c>
      <c r="C54" s="43"/>
      <c r="D54" s="49" t="e">
        <f>C54/C12</f>
        <v>#DIV/0!</v>
      </c>
      <c r="E54" s="43"/>
      <c r="F54" s="49" t="e">
        <f>E54/E12</f>
        <v>#DIV/0!</v>
      </c>
      <c r="G54" s="43"/>
      <c r="H54" s="49" t="e">
        <f>G54/G12</f>
        <v>#DIV/0!</v>
      </c>
      <c r="I54" s="43"/>
      <c r="J54" s="49" t="e">
        <f>I54/I12</f>
        <v>#DIV/0!</v>
      </c>
      <c r="K54" s="43"/>
      <c r="L54" s="49" t="e">
        <f>K54/K12</f>
        <v>#DIV/0!</v>
      </c>
      <c r="M54" s="43">
        <v>0</v>
      </c>
      <c r="N54" s="49" t="e">
        <f>M54/M12</f>
        <v>#DIV/0!</v>
      </c>
      <c r="O54" s="43">
        <v>0</v>
      </c>
      <c r="P54" s="49" t="e">
        <f>O54/O12</f>
        <v>#DIV/0!</v>
      </c>
      <c r="Q54" s="43">
        <v>0</v>
      </c>
      <c r="R54" s="49" t="e">
        <f>Q54/Q12</f>
        <v>#DIV/0!</v>
      </c>
      <c r="S54" s="43">
        <v>0</v>
      </c>
      <c r="T54" s="49" t="e">
        <f>S54/S12</f>
        <v>#DIV/0!</v>
      </c>
      <c r="U54" s="43">
        <v>0</v>
      </c>
      <c r="V54" s="49" t="e">
        <f>U54/U12</f>
        <v>#DIV/0!</v>
      </c>
      <c r="W54" s="43">
        <v>0</v>
      </c>
      <c r="X54" s="49" t="e">
        <f>W54/W12</f>
        <v>#DIV/0!</v>
      </c>
      <c r="Y54" s="43">
        <v>0</v>
      </c>
      <c r="Z54" s="179" t="e">
        <f>Y54/Y12</f>
        <v>#DIV/0!</v>
      </c>
      <c r="AA54" s="286">
        <f t="shared" si="22"/>
        <v>0</v>
      </c>
      <c r="AB54" s="214" t="e">
        <f>AA54/AA12</f>
        <v>#DIV/0!</v>
      </c>
      <c r="AC54" s="205">
        <f t="shared" si="4"/>
        <v>0</v>
      </c>
      <c r="AD54" s="214" t="e">
        <f>AC54/AC12</f>
        <v>#DIV/0!</v>
      </c>
      <c r="AE54" s="75"/>
      <c r="AF54" s="169"/>
      <c r="AG54" s="75"/>
      <c r="AH54" s="205">
        <v>0</v>
      </c>
      <c r="AI54" s="255">
        <f>AH54/AH12</f>
        <v>0</v>
      </c>
      <c r="AJ54" s="293">
        <f t="shared" si="0"/>
        <v>0</v>
      </c>
      <c r="AK54" s="53">
        <f t="shared" si="1"/>
        <v>0</v>
      </c>
      <c r="AL54" s="53">
        <f t="shared" si="5"/>
        <v>0</v>
      </c>
      <c r="AM54" s="53">
        <f t="shared" si="20"/>
        <v>0</v>
      </c>
      <c r="AN54" s="53" t="e">
        <f>#REF!-AM54</f>
        <v>#REF!</v>
      </c>
      <c r="AO54" s="53" t="s">
        <v>241</v>
      </c>
    </row>
    <row r="55" spans="1:43">
      <c r="A55" s="99">
        <v>6114</v>
      </c>
      <c r="B55" s="111" t="s">
        <v>88</v>
      </c>
      <c r="C55" s="23"/>
      <c r="D55" s="49" t="e">
        <f>C55/C12</f>
        <v>#DIV/0!</v>
      </c>
      <c r="E55" s="23"/>
      <c r="F55" s="49" t="e">
        <f>E55/E12</f>
        <v>#DIV/0!</v>
      </c>
      <c r="G55" s="23"/>
      <c r="H55" s="49" t="e">
        <f>G55/G12</f>
        <v>#DIV/0!</v>
      </c>
      <c r="I55" s="23"/>
      <c r="J55" s="49" t="e">
        <f>I55/I12</f>
        <v>#DIV/0!</v>
      </c>
      <c r="K55" s="23"/>
      <c r="L55" s="49" t="e">
        <f>K55/K12</f>
        <v>#DIV/0!</v>
      </c>
      <c r="M55" s="23">
        <v>0</v>
      </c>
      <c r="N55" s="49" t="e">
        <f>M55/M12</f>
        <v>#DIV/0!</v>
      </c>
      <c r="O55" s="23">
        <v>0</v>
      </c>
      <c r="P55" s="49" t="e">
        <f>O55/O12</f>
        <v>#DIV/0!</v>
      </c>
      <c r="Q55" s="23">
        <v>0</v>
      </c>
      <c r="R55" s="49" t="e">
        <f>Q55/Q12</f>
        <v>#DIV/0!</v>
      </c>
      <c r="S55" s="23">
        <v>0</v>
      </c>
      <c r="T55" s="49" t="e">
        <f>S55/S12</f>
        <v>#DIV/0!</v>
      </c>
      <c r="U55" s="23">
        <v>0</v>
      </c>
      <c r="V55" s="49" t="e">
        <f>U55/U12</f>
        <v>#DIV/0!</v>
      </c>
      <c r="W55" s="23">
        <v>0</v>
      </c>
      <c r="X55" s="49" t="e">
        <f>W55/W12</f>
        <v>#DIV/0!</v>
      </c>
      <c r="Y55" s="23">
        <v>0</v>
      </c>
      <c r="Z55" s="179" t="e">
        <f>Y55/Y12</f>
        <v>#DIV/0!</v>
      </c>
      <c r="AA55" s="286">
        <f t="shared" si="22"/>
        <v>0</v>
      </c>
      <c r="AB55" s="214" t="e">
        <f>AA55/AA12</f>
        <v>#DIV/0!</v>
      </c>
      <c r="AC55" s="207">
        <f t="shared" si="4"/>
        <v>0</v>
      </c>
      <c r="AD55" s="214" t="e">
        <f>AC55/AC12</f>
        <v>#DIV/0!</v>
      </c>
      <c r="AE55" s="75"/>
      <c r="AF55" s="169"/>
      <c r="AG55" s="75"/>
      <c r="AH55" s="207">
        <v>2750</v>
      </c>
      <c r="AI55" s="255">
        <f>AH55/AH12</f>
        <v>3.4151726683358786E-3</v>
      </c>
      <c r="AJ55" s="293">
        <f t="shared" si="0"/>
        <v>2750</v>
      </c>
      <c r="AK55" s="53">
        <f t="shared" si="1"/>
        <v>0</v>
      </c>
      <c r="AL55" s="53">
        <f t="shared" si="5"/>
        <v>0</v>
      </c>
      <c r="AM55" s="53">
        <f t="shared" si="20"/>
        <v>0</v>
      </c>
      <c r="AN55" s="53" t="e">
        <f>#REF!-AM55</f>
        <v>#REF!</v>
      </c>
      <c r="AO55" s="53" t="s">
        <v>233</v>
      </c>
    </row>
    <row r="56" spans="1:43">
      <c r="A56" s="99">
        <v>6115</v>
      </c>
      <c r="B56" s="111" t="s">
        <v>14</v>
      </c>
      <c r="C56" s="54"/>
      <c r="D56" s="17" t="e">
        <f>C56/C12</f>
        <v>#DIV/0!</v>
      </c>
      <c r="E56" s="54"/>
      <c r="F56" s="17" t="e">
        <f>E56/E12</f>
        <v>#DIV/0!</v>
      </c>
      <c r="G56" s="54"/>
      <c r="H56" s="17" t="e">
        <f>G56/G12</f>
        <v>#DIV/0!</v>
      </c>
      <c r="I56" s="54"/>
      <c r="J56" s="17" t="e">
        <f>I56/I12</f>
        <v>#DIV/0!</v>
      </c>
      <c r="K56" s="54"/>
      <c r="L56" s="17" t="e">
        <f>K56/K12</f>
        <v>#DIV/0!</v>
      </c>
      <c r="M56" s="54">
        <v>0</v>
      </c>
      <c r="N56" s="17" t="e">
        <f>M56/M12</f>
        <v>#DIV/0!</v>
      </c>
      <c r="O56" s="54">
        <v>0</v>
      </c>
      <c r="P56" s="17" t="e">
        <f>O56/O12</f>
        <v>#DIV/0!</v>
      </c>
      <c r="Q56" s="54">
        <v>0</v>
      </c>
      <c r="R56" s="17" t="e">
        <f>Q56/Q12</f>
        <v>#DIV/0!</v>
      </c>
      <c r="S56" s="54">
        <v>0</v>
      </c>
      <c r="T56" s="17" t="e">
        <f>S56/S12</f>
        <v>#DIV/0!</v>
      </c>
      <c r="U56" s="54">
        <v>0</v>
      </c>
      <c r="V56" s="17" t="e">
        <f>U56/U12</f>
        <v>#DIV/0!</v>
      </c>
      <c r="W56" s="54">
        <v>0</v>
      </c>
      <c r="X56" s="17" t="e">
        <f>W56/W12</f>
        <v>#DIV/0!</v>
      </c>
      <c r="Y56" s="54">
        <v>0</v>
      </c>
      <c r="Z56" s="226" t="e">
        <f>Y56/Y12</f>
        <v>#DIV/0!</v>
      </c>
      <c r="AA56" s="286">
        <f t="shared" si="22"/>
        <v>0</v>
      </c>
      <c r="AB56" s="214" t="e">
        <f>AA56/AA12</f>
        <v>#DIV/0!</v>
      </c>
      <c r="AC56" s="207">
        <f t="shared" si="4"/>
        <v>0</v>
      </c>
      <c r="AD56" s="214" t="e">
        <f>AC56/AC12</f>
        <v>#DIV/0!</v>
      </c>
      <c r="AE56" s="75"/>
      <c r="AF56" s="169"/>
      <c r="AG56" s="75"/>
      <c r="AH56" s="207">
        <v>900</v>
      </c>
      <c r="AI56" s="255">
        <f>AH56/AH12</f>
        <v>1.1176928732735602E-3</v>
      </c>
      <c r="AJ56" s="293">
        <f t="shared" si="0"/>
        <v>900</v>
      </c>
      <c r="AK56" s="53">
        <f t="shared" si="1"/>
        <v>0</v>
      </c>
      <c r="AL56" s="53">
        <f t="shared" si="5"/>
        <v>0</v>
      </c>
      <c r="AM56" s="53">
        <f t="shared" si="20"/>
        <v>0</v>
      </c>
      <c r="AN56" s="53" t="e">
        <f>#REF!-AM56</f>
        <v>#REF!</v>
      </c>
      <c r="AO56" s="53"/>
    </row>
    <row r="57" spans="1:43">
      <c r="A57" s="99">
        <v>6116</v>
      </c>
      <c r="B57" s="111" t="s">
        <v>15</v>
      </c>
      <c r="C57" s="23"/>
      <c r="D57" s="49" t="e">
        <f>C57/C12</f>
        <v>#DIV/0!</v>
      </c>
      <c r="E57" s="23"/>
      <c r="F57" s="49" t="e">
        <f>E57/E12</f>
        <v>#DIV/0!</v>
      </c>
      <c r="G57" s="23"/>
      <c r="H57" s="49" t="e">
        <f>G57/G12</f>
        <v>#DIV/0!</v>
      </c>
      <c r="I57" s="23"/>
      <c r="J57" s="49" t="e">
        <f>I57/I12</f>
        <v>#DIV/0!</v>
      </c>
      <c r="K57" s="23"/>
      <c r="L57" s="49" t="e">
        <f>K57/K12</f>
        <v>#DIV/0!</v>
      </c>
      <c r="M57" s="23">
        <v>0</v>
      </c>
      <c r="N57" s="49" t="e">
        <f>M57/M12</f>
        <v>#DIV/0!</v>
      </c>
      <c r="O57" s="23">
        <v>0</v>
      </c>
      <c r="P57" s="49" t="e">
        <f>O57/O12</f>
        <v>#DIV/0!</v>
      </c>
      <c r="Q57" s="23">
        <v>0</v>
      </c>
      <c r="R57" s="49" t="e">
        <f>Q57/Q12</f>
        <v>#DIV/0!</v>
      </c>
      <c r="S57" s="23">
        <v>0</v>
      </c>
      <c r="T57" s="49" t="e">
        <f>S57/S12</f>
        <v>#DIV/0!</v>
      </c>
      <c r="U57" s="23">
        <v>0</v>
      </c>
      <c r="V57" s="49" t="e">
        <f>U57/U12</f>
        <v>#DIV/0!</v>
      </c>
      <c r="W57" s="23">
        <v>0</v>
      </c>
      <c r="X57" s="49" t="e">
        <f>W57/W12</f>
        <v>#DIV/0!</v>
      </c>
      <c r="Y57" s="23">
        <v>0</v>
      </c>
      <c r="Z57" s="179" t="e">
        <f>Y57/Y12</f>
        <v>#DIV/0!</v>
      </c>
      <c r="AA57" s="286">
        <f t="shared" si="22"/>
        <v>0</v>
      </c>
      <c r="AB57" s="214" t="e">
        <f>AA57/AA12</f>
        <v>#DIV/0!</v>
      </c>
      <c r="AC57" s="207">
        <f t="shared" si="4"/>
        <v>0</v>
      </c>
      <c r="AD57" s="214" t="e">
        <f>AC57/AC12</f>
        <v>#DIV/0!</v>
      </c>
      <c r="AE57" s="75"/>
      <c r="AF57" s="169"/>
      <c r="AG57" s="75"/>
      <c r="AH57" s="207">
        <v>1200</v>
      </c>
      <c r="AI57" s="255">
        <f>AH57/AH12</f>
        <v>1.4902571643647471E-3</v>
      </c>
      <c r="AJ57" s="293">
        <f t="shared" si="0"/>
        <v>1200</v>
      </c>
      <c r="AK57" s="53">
        <f t="shared" si="1"/>
        <v>0</v>
      </c>
      <c r="AL57" s="53">
        <f t="shared" si="5"/>
        <v>0</v>
      </c>
      <c r="AM57" s="53">
        <f t="shared" si="20"/>
        <v>0</v>
      </c>
      <c r="AN57" s="53" t="e">
        <f>#REF!-AM57</f>
        <v>#REF!</v>
      </c>
      <c r="AO57" s="1" t="s">
        <v>244</v>
      </c>
      <c r="AQ57" s="1" t="s">
        <v>243</v>
      </c>
    </row>
    <row r="58" spans="1:43">
      <c r="A58" s="99">
        <v>6117</v>
      </c>
      <c r="B58" s="111" t="s">
        <v>16</v>
      </c>
      <c r="C58" s="43"/>
      <c r="D58" s="49" t="e">
        <f>C58/C12</f>
        <v>#DIV/0!</v>
      </c>
      <c r="E58" s="43"/>
      <c r="F58" s="49" t="e">
        <f>E58/E12</f>
        <v>#DIV/0!</v>
      </c>
      <c r="G58" s="80"/>
      <c r="H58" s="49" t="e">
        <f>G58/G12</f>
        <v>#DIV/0!</v>
      </c>
      <c r="I58" s="18"/>
      <c r="J58" s="49" t="e">
        <f>I58/I12</f>
        <v>#DIV/0!</v>
      </c>
      <c r="K58" s="43"/>
      <c r="L58" s="49" t="e">
        <f>K58/K12</f>
        <v>#DIV/0!</v>
      </c>
      <c r="M58" s="18"/>
      <c r="N58" s="49" t="e">
        <f>M58/M12</f>
        <v>#DIV/0!</v>
      </c>
      <c r="O58" s="18"/>
      <c r="P58" s="49" t="e">
        <f>O58/O12</f>
        <v>#DIV/0!</v>
      </c>
      <c r="Q58" s="18">
        <v>0</v>
      </c>
      <c r="R58" s="49" t="e">
        <f>Q58/Q12</f>
        <v>#DIV/0!</v>
      </c>
      <c r="S58" s="18"/>
      <c r="T58" s="49" t="e">
        <f>S58/S12</f>
        <v>#DIV/0!</v>
      </c>
      <c r="U58" s="43"/>
      <c r="V58" s="49" t="e">
        <f>U58/U12</f>
        <v>#DIV/0!</v>
      </c>
      <c r="W58" s="33"/>
      <c r="X58" s="49" t="e">
        <f>W58/W12</f>
        <v>#DIV/0!</v>
      </c>
      <c r="Y58" s="43"/>
      <c r="Z58" s="179" t="e">
        <f>Y58/Y12</f>
        <v>#DIV/0!</v>
      </c>
      <c r="AA58" s="286">
        <f t="shared" si="22"/>
        <v>0</v>
      </c>
      <c r="AB58" s="214" t="e">
        <f>AA58/AA12</f>
        <v>#DIV/0!</v>
      </c>
      <c r="AC58" s="205">
        <f t="shared" si="4"/>
        <v>0</v>
      </c>
      <c r="AD58" s="214" t="e">
        <f>AC58/AC12</f>
        <v>#DIV/0!</v>
      </c>
      <c r="AE58" s="75"/>
      <c r="AF58" s="169"/>
      <c r="AG58" s="75"/>
      <c r="AH58" s="205">
        <v>0</v>
      </c>
      <c r="AI58" s="255">
        <f>AH58/AH12</f>
        <v>0</v>
      </c>
      <c r="AJ58" s="293">
        <f t="shared" si="0"/>
        <v>0</v>
      </c>
      <c r="AK58" s="53">
        <f t="shared" si="1"/>
        <v>0</v>
      </c>
      <c r="AL58" s="53">
        <f t="shared" si="5"/>
        <v>0</v>
      </c>
      <c r="AM58" s="53">
        <f t="shared" si="20"/>
        <v>0</v>
      </c>
      <c r="AN58" s="53" t="e">
        <f>#REF!-AM58</f>
        <v>#REF!</v>
      </c>
      <c r="AO58" s="53"/>
    </row>
    <row r="59" spans="1:43">
      <c r="A59" s="99">
        <v>6118</v>
      </c>
      <c r="B59" s="112" t="s">
        <v>17</v>
      </c>
      <c r="C59" s="54"/>
      <c r="D59" s="49" t="e">
        <f t="shared" ref="D59" si="24">C59/C$12</f>
        <v>#DIV/0!</v>
      </c>
      <c r="E59" s="54"/>
      <c r="F59" s="49" t="e">
        <f t="shared" ref="F59" si="25">E59/E$12</f>
        <v>#DIV/0!</v>
      </c>
      <c r="G59" s="54"/>
      <c r="H59" s="49" t="e">
        <f t="shared" ref="H59" si="26">G59/G$5</f>
        <v>#DIV/0!</v>
      </c>
      <c r="I59" s="54"/>
      <c r="J59" s="49" t="e">
        <f>I59/J$5</f>
        <v>#DIV/0!</v>
      </c>
      <c r="K59" s="54"/>
      <c r="L59" s="49" t="e">
        <f t="shared" ref="L59" si="27">K59/K$5</f>
        <v>#DIV/0!</v>
      </c>
      <c r="M59" s="54">
        <v>0</v>
      </c>
      <c r="N59" s="49" t="e">
        <f t="shared" ref="N59" si="28">M59/M$5</f>
        <v>#DIV/0!</v>
      </c>
      <c r="O59" s="54">
        <v>0</v>
      </c>
      <c r="P59" s="49" t="e">
        <f t="shared" ref="P59" si="29">O59/O$5</f>
        <v>#DIV/0!</v>
      </c>
      <c r="Q59" s="54">
        <v>0</v>
      </c>
      <c r="R59" s="49" t="e">
        <f t="shared" ref="R59" si="30">Q59/Q$5</f>
        <v>#DIV/0!</v>
      </c>
      <c r="S59" s="54">
        <v>0</v>
      </c>
      <c r="T59" s="49" t="e">
        <f t="shared" ref="T59" si="31">S59/S$5</f>
        <v>#DIV/0!</v>
      </c>
      <c r="U59" s="54">
        <v>0</v>
      </c>
      <c r="V59" s="49" t="e">
        <f t="shared" ref="V59" si="32">U59/U$5</f>
        <v>#DIV/0!</v>
      </c>
      <c r="W59" s="54">
        <v>0</v>
      </c>
      <c r="X59" s="49" t="e">
        <f t="shared" ref="X59" si="33">W59/W$5</f>
        <v>#DIV/0!</v>
      </c>
      <c r="Y59" s="54">
        <v>0</v>
      </c>
      <c r="Z59" s="179" t="e">
        <f t="shared" ref="Z59" si="34">Y59/Y$5</f>
        <v>#DIV/0!</v>
      </c>
      <c r="AA59" s="286">
        <f t="shared" si="22"/>
        <v>0</v>
      </c>
      <c r="AB59" s="214" t="e">
        <f t="shared" ref="AB59" si="35">AA59/AA$5</f>
        <v>#DIV/0!</v>
      </c>
      <c r="AC59" s="207">
        <f t="shared" si="4"/>
        <v>0</v>
      </c>
      <c r="AD59" s="214" t="e">
        <f t="shared" ref="AD59" si="36">AC59/AC$5</f>
        <v>#DIV/0!</v>
      </c>
      <c r="AE59" s="170"/>
      <c r="AF59" s="170"/>
      <c r="AG59" s="170"/>
      <c r="AH59" s="207">
        <v>0</v>
      </c>
      <c r="AI59" s="255">
        <f t="shared" ref="AI59" si="37">AH59/AH$5</f>
        <v>0</v>
      </c>
      <c r="AJ59" s="293">
        <f t="shared" si="0"/>
        <v>0</v>
      </c>
      <c r="AK59" s="53">
        <f t="shared" si="1"/>
        <v>0</v>
      </c>
      <c r="AL59" s="53">
        <f t="shared" si="5"/>
        <v>0</v>
      </c>
      <c r="AM59" s="53">
        <f t="shared" si="20"/>
        <v>0</v>
      </c>
      <c r="AN59" s="53" t="e">
        <f>#REF!-AM59</f>
        <v>#REF!</v>
      </c>
      <c r="AO59" s="53" t="s">
        <v>232</v>
      </c>
    </row>
    <row r="60" spans="1:43">
      <c r="A60" s="99">
        <v>6119</v>
      </c>
      <c r="B60" s="111" t="s">
        <v>18</v>
      </c>
      <c r="C60" s="43"/>
      <c r="D60" s="49" t="e">
        <f>C60/C12</f>
        <v>#DIV/0!</v>
      </c>
      <c r="E60" s="43"/>
      <c r="F60" s="49" t="e">
        <f>E60/E12</f>
        <v>#DIV/0!</v>
      </c>
      <c r="G60" s="80"/>
      <c r="H60" s="49" t="e">
        <f>G60/G12</f>
        <v>#DIV/0!</v>
      </c>
      <c r="I60" s="18"/>
      <c r="J60" s="49" t="e">
        <f>I60/I12</f>
        <v>#DIV/0!</v>
      </c>
      <c r="K60" s="43"/>
      <c r="L60" s="49" t="e">
        <f>K60/K12</f>
        <v>#DIV/0!</v>
      </c>
      <c r="M60" s="18"/>
      <c r="N60" s="49" t="e">
        <f>M60/M12</f>
        <v>#DIV/0!</v>
      </c>
      <c r="O60" s="18">
        <v>0</v>
      </c>
      <c r="P60" s="49" t="e">
        <f>O60/O12</f>
        <v>#DIV/0!</v>
      </c>
      <c r="Q60" s="18"/>
      <c r="R60" s="49" t="e">
        <f>Q60/Q12</f>
        <v>#DIV/0!</v>
      </c>
      <c r="S60" s="18">
        <v>0</v>
      </c>
      <c r="T60" s="49" t="e">
        <f>S60/S12</f>
        <v>#DIV/0!</v>
      </c>
      <c r="U60" s="43"/>
      <c r="V60" s="49" t="e">
        <f>U60/U12</f>
        <v>#DIV/0!</v>
      </c>
      <c r="W60" s="33"/>
      <c r="X60" s="49" t="e">
        <f>W60/W12</f>
        <v>#DIV/0!</v>
      </c>
      <c r="Y60" s="43"/>
      <c r="Z60" s="179" t="e">
        <f>Y60/Y12</f>
        <v>#DIV/0!</v>
      </c>
      <c r="AA60" s="286">
        <f t="shared" si="22"/>
        <v>0</v>
      </c>
      <c r="AB60" s="214" t="e">
        <f>AA60/AA12</f>
        <v>#DIV/0!</v>
      </c>
      <c r="AC60" s="205">
        <f t="shared" si="4"/>
        <v>0</v>
      </c>
      <c r="AD60" s="214" t="e">
        <f>AC60/AC12</f>
        <v>#DIV/0!</v>
      </c>
      <c r="AE60" s="75"/>
      <c r="AF60" s="169"/>
      <c r="AG60" s="75"/>
      <c r="AH60" s="205">
        <v>0</v>
      </c>
      <c r="AI60" s="255">
        <f>AH60/AH12</f>
        <v>0</v>
      </c>
      <c r="AJ60" s="293">
        <f t="shared" si="0"/>
        <v>0</v>
      </c>
      <c r="AK60" s="53">
        <f t="shared" si="1"/>
        <v>0</v>
      </c>
      <c r="AL60" s="53">
        <f t="shared" si="5"/>
        <v>0</v>
      </c>
      <c r="AM60" s="53">
        <f t="shared" si="20"/>
        <v>0</v>
      </c>
      <c r="AN60" s="53" t="e">
        <f>#REF!-AM60</f>
        <v>#REF!</v>
      </c>
      <c r="AO60" s="53"/>
    </row>
    <row r="61" spans="1:43">
      <c r="A61" s="99">
        <v>6120</v>
      </c>
      <c r="B61" s="111" t="s">
        <v>19</v>
      </c>
      <c r="C61" s="43"/>
      <c r="D61" s="49" t="e">
        <f>C61/C12</f>
        <v>#DIV/0!</v>
      </c>
      <c r="E61" s="43"/>
      <c r="F61" s="49" t="e">
        <f>E61/E12</f>
        <v>#DIV/0!</v>
      </c>
      <c r="G61" s="80"/>
      <c r="H61" s="49" t="e">
        <f>G61/G12</f>
        <v>#DIV/0!</v>
      </c>
      <c r="I61" s="18"/>
      <c r="J61" s="49" t="e">
        <f>I61/I12</f>
        <v>#DIV/0!</v>
      </c>
      <c r="K61" s="43"/>
      <c r="L61" s="49" t="e">
        <f>K61/K12</f>
        <v>#DIV/0!</v>
      </c>
      <c r="M61" s="18"/>
      <c r="N61" s="49" t="e">
        <f>M61/M12</f>
        <v>#DIV/0!</v>
      </c>
      <c r="O61" s="18">
        <v>0</v>
      </c>
      <c r="P61" s="49" t="e">
        <f>O61/O12</f>
        <v>#DIV/0!</v>
      </c>
      <c r="Q61" s="18"/>
      <c r="R61" s="49" t="e">
        <f>Q61/Q12</f>
        <v>#DIV/0!</v>
      </c>
      <c r="S61" s="18">
        <v>0</v>
      </c>
      <c r="T61" s="49" t="e">
        <f>S61/S12</f>
        <v>#DIV/0!</v>
      </c>
      <c r="U61" s="43"/>
      <c r="V61" s="49" t="e">
        <f>U61/U12</f>
        <v>#DIV/0!</v>
      </c>
      <c r="W61" s="33"/>
      <c r="X61" s="49" t="e">
        <f>W61/W12</f>
        <v>#DIV/0!</v>
      </c>
      <c r="Y61" s="43"/>
      <c r="Z61" s="179" t="e">
        <f>Y61/Y12</f>
        <v>#DIV/0!</v>
      </c>
      <c r="AA61" s="286">
        <f t="shared" si="22"/>
        <v>0</v>
      </c>
      <c r="AB61" s="214" t="e">
        <f>AA61/AA12</f>
        <v>#DIV/0!</v>
      </c>
      <c r="AC61" s="205">
        <f t="shared" si="4"/>
        <v>0</v>
      </c>
      <c r="AD61" s="214" t="e">
        <f>AC61/AC12</f>
        <v>#DIV/0!</v>
      </c>
      <c r="AE61" s="75"/>
      <c r="AF61" s="169"/>
      <c r="AG61" s="75"/>
      <c r="AH61" s="205">
        <v>0</v>
      </c>
      <c r="AI61" s="255">
        <f>AH61/AH12</f>
        <v>0</v>
      </c>
      <c r="AJ61" s="293">
        <f t="shared" si="0"/>
        <v>0</v>
      </c>
      <c r="AK61" s="53">
        <f t="shared" si="1"/>
        <v>0</v>
      </c>
      <c r="AL61" s="53">
        <f t="shared" si="5"/>
        <v>0</v>
      </c>
      <c r="AM61" s="53">
        <f t="shared" si="20"/>
        <v>0</v>
      </c>
      <c r="AN61" s="53" t="e">
        <f>#REF!-AM61</f>
        <v>#REF!</v>
      </c>
      <c r="AO61" s="53"/>
    </row>
    <row r="62" spans="1:43">
      <c r="A62" s="2">
        <v>6121</v>
      </c>
      <c r="B62" s="111" t="s">
        <v>20</v>
      </c>
      <c r="C62" s="18"/>
      <c r="D62" s="49" t="e">
        <f>C62/C12</f>
        <v>#DIV/0!</v>
      </c>
      <c r="E62" s="18"/>
      <c r="F62" s="49" t="e">
        <f>E62/E12</f>
        <v>#DIV/0!</v>
      </c>
      <c r="G62" s="18"/>
      <c r="H62" s="49" t="e">
        <f>G62/G12</f>
        <v>#DIV/0!</v>
      </c>
      <c r="I62" s="18"/>
      <c r="J62" s="49" t="e">
        <f>I62/I12</f>
        <v>#DIV/0!</v>
      </c>
      <c r="K62" s="18"/>
      <c r="L62" s="49" t="e">
        <f>K62/K12</f>
        <v>#DIV/0!</v>
      </c>
      <c r="M62" s="18">
        <v>0</v>
      </c>
      <c r="N62" s="49" t="e">
        <f>M62/M12</f>
        <v>#DIV/0!</v>
      </c>
      <c r="O62" s="18">
        <v>0</v>
      </c>
      <c r="P62" s="49" t="e">
        <f>O62/O12</f>
        <v>#DIV/0!</v>
      </c>
      <c r="Q62" s="18">
        <v>0</v>
      </c>
      <c r="R62" s="49" t="e">
        <f>Q62/Q12</f>
        <v>#DIV/0!</v>
      </c>
      <c r="S62" s="18">
        <v>0</v>
      </c>
      <c r="T62" s="49" t="e">
        <f>S62/S12</f>
        <v>#DIV/0!</v>
      </c>
      <c r="U62" s="18">
        <v>0</v>
      </c>
      <c r="V62" s="49" t="e">
        <f>U62/U12</f>
        <v>#DIV/0!</v>
      </c>
      <c r="W62" s="18">
        <v>0</v>
      </c>
      <c r="X62" s="49" t="e">
        <f>W62/W12</f>
        <v>#DIV/0!</v>
      </c>
      <c r="Y62" s="18">
        <v>0</v>
      </c>
      <c r="Z62" s="179" t="e">
        <f>Y62/Y12</f>
        <v>#DIV/0!</v>
      </c>
      <c r="AA62" s="286">
        <f t="shared" si="22"/>
        <v>0</v>
      </c>
      <c r="AB62" s="214" t="e">
        <f>AA62/AA12</f>
        <v>#DIV/0!</v>
      </c>
      <c r="AC62" s="205">
        <f t="shared" si="4"/>
        <v>0</v>
      </c>
      <c r="AD62" s="214" t="e">
        <f>AC62/AC12</f>
        <v>#DIV/0!</v>
      </c>
      <c r="AE62" s="75"/>
      <c r="AF62" s="169"/>
      <c r="AG62" s="75"/>
      <c r="AH62" s="205">
        <v>600</v>
      </c>
      <c r="AI62" s="255">
        <f>AH62/AH12</f>
        <v>7.4512858218237356E-4</v>
      </c>
      <c r="AJ62" s="293">
        <f t="shared" si="0"/>
        <v>600</v>
      </c>
      <c r="AK62" s="53">
        <f t="shared" si="1"/>
        <v>0</v>
      </c>
      <c r="AL62" s="53">
        <f t="shared" si="5"/>
        <v>0</v>
      </c>
      <c r="AM62" s="53">
        <f t="shared" si="20"/>
        <v>0</v>
      </c>
      <c r="AN62" s="53" t="e">
        <f>#REF!-AM62</f>
        <v>#REF!</v>
      </c>
      <c r="AO62" s="53" t="s">
        <v>233</v>
      </c>
    </row>
    <row r="63" spans="1:43">
      <c r="A63" s="2">
        <v>6122</v>
      </c>
      <c r="B63" s="111" t="s">
        <v>21</v>
      </c>
      <c r="C63" s="43"/>
      <c r="D63" s="49" t="e">
        <f>C63/C12</f>
        <v>#DIV/0!</v>
      </c>
      <c r="E63" s="43"/>
      <c r="F63" s="49" t="e">
        <f>E63/E12</f>
        <v>#DIV/0!</v>
      </c>
      <c r="G63" s="80"/>
      <c r="H63" s="49" t="e">
        <f>G63/G12</f>
        <v>#DIV/0!</v>
      </c>
      <c r="I63" s="18"/>
      <c r="J63" s="49" t="e">
        <f>I63/I12</f>
        <v>#DIV/0!</v>
      </c>
      <c r="K63" s="43"/>
      <c r="L63" s="49" t="e">
        <f>K63/K12</f>
        <v>#DIV/0!</v>
      </c>
      <c r="M63" s="18"/>
      <c r="N63" s="49" t="e">
        <f>M63/M12</f>
        <v>#DIV/0!</v>
      </c>
      <c r="O63" s="18"/>
      <c r="P63" s="49" t="e">
        <f>O63/O12</f>
        <v>#DIV/0!</v>
      </c>
      <c r="Q63" s="18">
        <v>0</v>
      </c>
      <c r="R63" s="49" t="e">
        <f>Q63/Q12</f>
        <v>#DIV/0!</v>
      </c>
      <c r="S63" s="18"/>
      <c r="T63" s="49" t="e">
        <f>S63/S12</f>
        <v>#DIV/0!</v>
      </c>
      <c r="U63" s="43"/>
      <c r="V63" s="49" t="e">
        <f>U63/U12</f>
        <v>#DIV/0!</v>
      </c>
      <c r="W63" s="33"/>
      <c r="X63" s="49" t="e">
        <f>W63/W12</f>
        <v>#DIV/0!</v>
      </c>
      <c r="Y63" s="43"/>
      <c r="Z63" s="179" t="e">
        <f>Y63/Y12</f>
        <v>#DIV/0!</v>
      </c>
      <c r="AA63" s="286">
        <f t="shared" si="22"/>
        <v>0</v>
      </c>
      <c r="AB63" s="214" t="e">
        <f>AA63/AA12</f>
        <v>#DIV/0!</v>
      </c>
      <c r="AC63" s="205">
        <f t="shared" si="4"/>
        <v>0</v>
      </c>
      <c r="AD63" s="214" t="e">
        <f>AC63/AC12</f>
        <v>#DIV/0!</v>
      </c>
      <c r="AE63" s="75"/>
      <c r="AF63" s="169"/>
      <c r="AG63" s="75"/>
      <c r="AH63" s="205">
        <v>0</v>
      </c>
      <c r="AI63" s="255">
        <f>AH63/AH12</f>
        <v>0</v>
      </c>
      <c r="AJ63" s="293">
        <f t="shared" si="0"/>
        <v>0</v>
      </c>
      <c r="AK63" s="53">
        <f t="shared" si="1"/>
        <v>0</v>
      </c>
      <c r="AL63" s="53">
        <f t="shared" si="5"/>
        <v>0</v>
      </c>
      <c r="AM63" s="53">
        <f t="shared" si="20"/>
        <v>0</v>
      </c>
      <c r="AN63" s="53" t="e">
        <f>#REF!-AM63</f>
        <v>#REF!</v>
      </c>
      <c r="AO63" s="53"/>
    </row>
    <row r="64" spans="1:43">
      <c r="A64" s="2">
        <v>6123</v>
      </c>
      <c r="B64" s="111" t="s">
        <v>22</v>
      </c>
      <c r="C64" s="43"/>
      <c r="D64" s="49" t="e">
        <f>C64/C12</f>
        <v>#DIV/0!</v>
      </c>
      <c r="E64" s="43"/>
      <c r="F64" s="49" t="e">
        <f>E64/E12</f>
        <v>#DIV/0!</v>
      </c>
      <c r="G64" s="80"/>
      <c r="H64" s="49" t="e">
        <f>G64/G12</f>
        <v>#DIV/0!</v>
      </c>
      <c r="I64" s="18"/>
      <c r="J64" s="49" t="e">
        <f>I64/I12</f>
        <v>#DIV/0!</v>
      </c>
      <c r="K64" s="43"/>
      <c r="L64" s="49" t="e">
        <f>K64/K12</f>
        <v>#DIV/0!</v>
      </c>
      <c r="M64" s="18"/>
      <c r="N64" s="49" t="e">
        <f>M64/M12</f>
        <v>#DIV/0!</v>
      </c>
      <c r="O64" s="18"/>
      <c r="P64" s="49" t="e">
        <f>O64/O12</f>
        <v>#DIV/0!</v>
      </c>
      <c r="Q64" s="18">
        <v>0</v>
      </c>
      <c r="R64" s="49" t="e">
        <f>Q64/Q12</f>
        <v>#DIV/0!</v>
      </c>
      <c r="S64" s="18"/>
      <c r="T64" s="49" t="e">
        <f>S64/S12</f>
        <v>#DIV/0!</v>
      </c>
      <c r="U64" s="43"/>
      <c r="V64" s="49" t="e">
        <f>U64/U12</f>
        <v>#DIV/0!</v>
      </c>
      <c r="W64" s="33"/>
      <c r="X64" s="49" t="e">
        <f>W64/W12</f>
        <v>#DIV/0!</v>
      </c>
      <c r="Y64" s="43"/>
      <c r="Z64" s="179" t="e">
        <f>Y64/Y12</f>
        <v>#DIV/0!</v>
      </c>
      <c r="AA64" s="286">
        <f t="shared" si="22"/>
        <v>0</v>
      </c>
      <c r="AB64" s="214" t="e">
        <f>AA64/AA12</f>
        <v>#DIV/0!</v>
      </c>
      <c r="AC64" s="205">
        <f t="shared" si="4"/>
        <v>0</v>
      </c>
      <c r="AD64" s="214" t="e">
        <f>AC64/AC12</f>
        <v>#DIV/0!</v>
      </c>
      <c r="AE64" s="75"/>
      <c r="AF64" s="169"/>
      <c r="AG64" s="75"/>
      <c r="AH64" s="205">
        <v>0</v>
      </c>
      <c r="AI64" s="255">
        <f>AH64/AH12</f>
        <v>0</v>
      </c>
      <c r="AJ64" s="293">
        <f t="shared" si="0"/>
        <v>0</v>
      </c>
      <c r="AK64" s="53">
        <f t="shared" si="1"/>
        <v>0</v>
      </c>
      <c r="AL64" s="53">
        <f t="shared" si="5"/>
        <v>0</v>
      </c>
      <c r="AM64" s="53">
        <f t="shared" si="20"/>
        <v>0</v>
      </c>
      <c r="AN64" s="53" t="e">
        <f>#REF!-AM64</f>
        <v>#REF!</v>
      </c>
      <c r="AO64" s="53"/>
    </row>
    <row r="65" spans="1:43">
      <c r="A65" s="99">
        <v>6124</v>
      </c>
      <c r="B65" s="111" t="s">
        <v>23</v>
      </c>
      <c r="C65" s="43"/>
      <c r="D65" s="49" t="e">
        <f>C65/C12</f>
        <v>#DIV/0!</v>
      </c>
      <c r="E65" s="43"/>
      <c r="F65" s="49" t="e">
        <f>E65/E12</f>
        <v>#DIV/0!</v>
      </c>
      <c r="G65" s="43"/>
      <c r="H65" s="49" t="e">
        <f>G65/G12</f>
        <v>#DIV/0!</v>
      </c>
      <c r="I65" s="43"/>
      <c r="J65" s="49" t="e">
        <f>I65/I12</f>
        <v>#DIV/0!</v>
      </c>
      <c r="K65" s="43"/>
      <c r="L65" s="49" t="e">
        <f t="shared" ref="L65" si="38">K65/K12</f>
        <v>#DIV/0!</v>
      </c>
      <c r="M65" s="43">
        <v>0</v>
      </c>
      <c r="N65" s="49" t="e">
        <f t="shared" ref="N65" si="39">M65/M12</f>
        <v>#DIV/0!</v>
      </c>
      <c r="O65" s="43">
        <v>0</v>
      </c>
      <c r="P65" s="49" t="e">
        <f t="shared" ref="P65" si="40">O65/O12</f>
        <v>#DIV/0!</v>
      </c>
      <c r="Q65" s="43">
        <v>0</v>
      </c>
      <c r="R65" s="49" t="e">
        <f t="shared" ref="R65" si="41">Q65/Q12</f>
        <v>#DIV/0!</v>
      </c>
      <c r="S65" s="43">
        <v>0</v>
      </c>
      <c r="T65" s="49" t="e">
        <f t="shared" ref="T65" si="42">S65/S12</f>
        <v>#DIV/0!</v>
      </c>
      <c r="U65" s="43">
        <v>0</v>
      </c>
      <c r="V65" s="49" t="e">
        <f t="shared" ref="V65" si="43">U65/U12</f>
        <v>#DIV/0!</v>
      </c>
      <c r="W65" s="43">
        <v>0</v>
      </c>
      <c r="X65" s="49" t="e">
        <f t="shared" ref="X65" si="44">W65/W12</f>
        <v>#DIV/0!</v>
      </c>
      <c r="Y65" s="43">
        <v>0</v>
      </c>
      <c r="Z65" s="179" t="e">
        <f t="shared" ref="Z65" si="45">Y65/Y12</f>
        <v>#DIV/0!</v>
      </c>
      <c r="AA65" s="286">
        <f t="shared" si="22"/>
        <v>0</v>
      </c>
      <c r="AB65" s="214" t="e">
        <f>AA65/AA12</f>
        <v>#DIV/0!</v>
      </c>
      <c r="AC65" s="205">
        <f t="shared" si="4"/>
        <v>0</v>
      </c>
      <c r="AD65" s="214" t="e">
        <f>AC65/AC12</f>
        <v>#DIV/0!</v>
      </c>
      <c r="AE65" s="75"/>
      <c r="AF65" s="169"/>
      <c r="AG65" s="75"/>
      <c r="AH65" s="205">
        <v>1200</v>
      </c>
      <c r="AI65" s="255">
        <f>AH65/AH12</f>
        <v>1.4902571643647471E-3</v>
      </c>
      <c r="AJ65" s="293">
        <f t="shared" si="0"/>
        <v>1200</v>
      </c>
      <c r="AK65" s="53">
        <f t="shared" si="1"/>
        <v>0</v>
      </c>
      <c r="AL65" s="53">
        <f t="shared" si="5"/>
        <v>0</v>
      </c>
      <c r="AM65" s="53">
        <f t="shared" si="20"/>
        <v>0</v>
      </c>
      <c r="AN65" s="53" t="e">
        <f>#REF!-AM65</f>
        <v>#REF!</v>
      </c>
      <c r="AO65" s="53" t="s">
        <v>233</v>
      </c>
    </row>
    <row r="66" spans="1:43">
      <c r="A66" s="99">
        <v>6125</v>
      </c>
      <c r="B66" s="111" t="s">
        <v>78</v>
      </c>
      <c r="C66" s="18"/>
      <c r="D66" s="49" t="e">
        <f>C66/C12</f>
        <v>#DIV/0!</v>
      </c>
      <c r="E66" s="18"/>
      <c r="F66" s="49" t="e">
        <f>E66/E12</f>
        <v>#DIV/0!</v>
      </c>
      <c r="G66" s="18"/>
      <c r="H66" s="49" t="e">
        <f>G66/G12</f>
        <v>#DIV/0!</v>
      </c>
      <c r="I66" s="18"/>
      <c r="J66" s="49" t="e">
        <f>I66/I12</f>
        <v>#DIV/0!</v>
      </c>
      <c r="K66" s="18"/>
      <c r="L66" s="49" t="e">
        <f>K66/K12</f>
        <v>#DIV/0!</v>
      </c>
      <c r="M66" s="18">
        <v>0</v>
      </c>
      <c r="N66" s="49" t="e">
        <f>M66/M12</f>
        <v>#DIV/0!</v>
      </c>
      <c r="O66" s="18">
        <v>0</v>
      </c>
      <c r="P66" s="49" t="e">
        <f>O66/O12</f>
        <v>#DIV/0!</v>
      </c>
      <c r="Q66" s="18">
        <v>0</v>
      </c>
      <c r="R66" s="49" t="e">
        <f>Q66/Q12</f>
        <v>#DIV/0!</v>
      </c>
      <c r="S66" s="18">
        <v>0</v>
      </c>
      <c r="T66" s="49" t="e">
        <f>S66/S12</f>
        <v>#DIV/0!</v>
      </c>
      <c r="U66" s="18">
        <v>0</v>
      </c>
      <c r="V66" s="49" t="e">
        <f>U66/U12</f>
        <v>#DIV/0!</v>
      </c>
      <c r="W66" s="18">
        <v>0</v>
      </c>
      <c r="X66" s="49" t="e">
        <f>W66/W12</f>
        <v>#DIV/0!</v>
      </c>
      <c r="Y66" s="18">
        <v>0</v>
      </c>
      <c r="Z66" s="179" t="e">
        <f>Y66/Y12</f>
        <v>#DIV/0!</v>
      </c>
      <c r="AA66" s="286">
        <f t="shared" si="22"/>
        <v>0</v>
      </c>
      <c r="AB66" s="214" t="e">
        <f>AA66/AA12</f>
        <v>#DIV/0!</v>
      </c>
      <c r="AC66" s="205">
        <f t="shared" si="4"/>
        <v>0</v>
      </c>
      <c r="AD66" s="214" t="e">
        <f>AC66/AC12</f>
        <v>#DIV/0!</v>
      </c>
      <c r="AE66" s="75"/>
      <c r="AF66" s="169"/>
      <c r="AG66" s="75"/>
      <c r="AH66" s="205">
        <v>1375</v>
      </c>
      <c r="AI66" s="255">
        <f>AH66/AH12</f>
        <v>1.7075863341679393E-3</v>
      </c>
      <c r="AJ66" s="293">
        <f t="shared" si="0"/>
        <v>1375</v>
      </c>
      <c r="AK66" s="53">
        <f t="shared" si="1"/>
        <v>0</v>
      </c>
      <c r="AL66" s="53">
        <f t="shared" si="5"/>
        <v>0</v>
      </c>
      <c r="AM66" s="53">
        <f t="shared" si="20"/>
        <v>0</v>
      </c>
      <c r="AN66" s="53" t="e">
        <f>#REF!-AM66</f>
        <v>#REF!</v>
      </c>
      <c r="AO66" s="53" t="s">
        <v>233</v>
      </c>
    </row>
    <row r="67" spans="1:43">
      <c r="A67" s="2">
        <v>6126</v>
      </c>
      <c r="B67" s="111" t="s">
        <v>104</v>
      </c>
      <c r="C67" s="43"/>
      <c r="D67" s="49" t="e">
        <f>C67/C12</f>
        <v>#DIV/0!</v>
      </c>
      <c r="E67" s="43"/>
      <c r="F67" s="49" t="e">
        <f>E67/E12</f>
        <v>#DIV/0!</v>
      </c>
      <c r="G67" s="80"/>
      <c r="H67" s="49" t="e">
        <f>G67/G12</f>
        <v>#DIV/0!</v>
      </c>
      <c r="I67" s="18"/>
      <c r="J67" s="49" t="e">
        <f>I67/I12</f>
        <v>#DIV/0!</v>
      </c>
      <c r="K67" s="43">
        <v>0</v>
      </c>
      <c r="L67" s="49" t="e">
        <f>K67/K12</f>
        <v>#DIV/0!</v>
      </c>
      <c r="M67" s="18"/>
      <c r="N67" s="49" t="e">
        <f>M67/M12</f>
        <v>#DIV/0!</v>
      </c>
      <c r="O67" s="18"/>
      <c r="P67" s="49" t="e">
        <f>O67/O12</f>
        <v>#DIV/0!</v>
      </c>
      <c r="Q67" s="18"/>
      <c r="R67" s="49" t="e">
        <f>Q67/Q12</f>
        <v>#DIV/0!</v>
      </c>
      <c r="S67" s="18">
        <v>0</v>
      </c>
      <c r="T67" s="49" t="e">
        <f>S67/S12</f>
        <v>#DIV/0!</v>
      </c>
      <c r="U67" s="43"/>
      <c r="V67" s="49" t="e">
        <f>U67/U12</f>
        <v>#DIV/0!</v>
      </c>
      <c r="W67" s="33"/>
      <c r="X67" s="49" t="e">
        <f>W67/W12</f>
        <v>#DIV/0!</v>
      </c>
      <c r="Y67" s="43"/>
      <c r="Z67" s="179" t="e">
        <f>Y67/Y12</f>
        <v>#DIV/0!</v>
      </c>
      <c r="AA67" s="286">
        <f t="shared" si="22"/>
        <v>0</v>
      </c>
      <c r="AB67" s="214" t="e">
        <f>AA67/AA12</f>
        <v>#DIV/0!</v>
      </c>
      <c r="AC67" s="205">
        <f t="shared" si="4"/>
        <v>0</v>
      </c>
      <c r="AD67" s="214" t="e">
        <f>AC67/AC12</f>
        <v>#DIV/0!</v>
      </c>
      <c r="AE67" s="75"/>
      <c r="AF67" s="169"/>
      <c r="AG67" s="75"/>
      <c r="AH67" s="205">
        <v>0</v>
      </c>
      <c r="AI67" s="255">
        <f>AH67/AH12</f>
        <v>0</v>
      </c>
      <c r="AJ67" s="293">
        <f t="shared" si="0"/>
        <v>0</v>
      </c>
      <c r="AK67" s="53">
        <f t="shared" si="1"/>
        <v>0</v>
      </c>
      <c r="AL67" s="53">
        <f t="shared" si="5"/>
        <v>0</v>
      </c>
      <c r="AM67" s="53">
        <f t="shared" si="20"/>
        <v>0</v>
      </c>
      <c r="AN67" s="53" t="e">
        <f>#REF!-AM67</f>
        <v>#REF!</v>
      </c>
      <c r="AO67" s="53"/>
    </row>
    <row r="68" spans="1:43">
      <c r="A68" s="99">
        <v>6127</v>
      </c>
      <c r="B68" s="111" t="s">
        <v>76</v>
      </c>
      <c r="C68" s="18"/>
      <c r="D68" s="49" t="e">
        <f>C68/C12</f>
        <v>#DIV/0!</v>
      </c>
      <c r="E68" s="18"/>
      <c r="F68" s="49" t="e">
        <f>E68/E12</f>
        <v>#DIV/0!</v>
      </c>
      <c r="G68" s="18"/>
      <c r="H68" s="49" t="e">
        <f>G68/G12</f>
        <v>#DIV/0!</v>
      </c>
      <c r="I68" s="18"/>
      <c r="J68" s="49" t="e">
        <f>I68/I12</f>
        <v>#DIV/0!</v>
      </c>
      <c r="K68" s="18"/>
      <c r="L68" s="49" t="e">
        <f t="shared" ref="L68" si="46">K68/K12</f>
        <v>#DIV/0!</v>
      </c>
      <c r="M68" s="18">
        <v>0</v>
      </c>
      <c r="N68" s="49" t="e">
        <f t="shared" ref="N68" si="47">M68/M12</f>
        <v>#DIV/0!</v>
      </c>
      <c r="O68" s="18">
        <v>0</v>
      </c>
      <c r="P68" s="49" t="e">
        <f t="shared" ref="P68" si="48">O68/O12</f>
        <v>#DIV/0!</v>
      </c>
      <c r="Q68" s="18">
        <v>0</v>
      </c>
      <c r="R68" s="49" t="e">
        <f t="shared" ref="R68" si="49">Q68/Q12</f>
        <v>#DIV/0!</v>
      </c>
      <c r="S68" s="18">
        <v>0</v>
      </c>
      <c r="T68" s="49" t="e">
        <f t="shared" ref="T68" si="50">S68/S12</f>
        <v>#DIV/0!</v>
      </c>
      <c r="U68" s="18">
        <v>0</v>
      </c>
      <c r="V68" s="49" t="e">
        <f t="shared" ref="V68" si="51">U68/U12</f>
        <v>#DIV/0!</v>
      </c>
      <c r="W68" s="18">
        <v>0</v>
      </c>
      <c r="X68" s="49" t="e">
        <f t="shared" ref="X68" si="52">W68/W12</f>
        <v>#DIV/0!</v>
      </c>
      <c r="Y68" s="18">
        <v>0</v>
      </c>
      <c r="Z68" s="179" t="e">
        <f t="shared" ref="Z68" si="53">Y68/Y12</f>
        <v>#DIV/0!</v>
      </c>
      <c r="AA68" s="286">
        <f t="shared" si="22"/>
        <v>0</v>
      </c>
      <c r="AB68" s="214" t="e">
        <f>AA68/AA12</f>
        <v>#DIV/0!</v>
      </c>
      <c r="AC68" s="205">
        <f t="shared" si="4"/>
        <v>0</v>
      </c>
      <c r="AD68" s="214" t="e">
        <f>AC68/AC12</f>
        <v>#DIV/0!</v>
      </c>
      <c r="AE68" s="75"/>
      <c r="AF68" s="169"/>
      <c r="AG68" s="75"/>
      <c r="AH68" s="205">
        <v>6000</v>
      </c>
      <c r="AI68" s="255">
        <f>AH68/AH12</f>
        <v>7.4512858218237351E-3</v>
      </c>
      <c r="AJ68" s="293">
        <f t="shared" si="0"/>
        <v>6000</v>
      </c>
      <c r="AK68" s="53">
        <f t="shared" si="1"/>
        <v>0</v>
      </c>
      <c r="AL68" s="53">
        <f t="shared" si="5"/>
        <v>0</v>
      </c>
      <c r="AM68" s="53">
        <f t="shared" si="20"/>
        <v>0</v>
      </c>
      <c r="AN68" s="53" t="e">
        <f>#REF!-AM68</f>
        <v>#REF!</v>
      </c>
      <c r="AO68" s="53" t="s">
        <v>233</v>
      </c>
      <c r="AP68" s="63">
        <f>35500/9.61</f>
        <v>3694.0686784599379</v>
      </c>
      <c r="AQ68" s="63">
        <f>AP68/24</f>
        <v>153.91952826916409</v>
      </c>
    </row>
    <row r="69" spans="1:43" s="408" customFormat="1">
      <c r="A69" s="2">
        <v>6128</v>
      </c>
      <c r="B69" s="111" t="s">
        <v>215</v>
      </c>
      <c r="C69" s="18"/>
      <c r="D69" s="49"/>
      <c r="E69" s="18"/>
      <c r="F69" s="49"/>
      <c r="G69" s="18"/>
      <c r="H69" s="49"/>
      <c r="I69" s="18"/>
      <c r="J69" s="49"/>
      <c r="K69" s="18"/>
      <c r="L69" s="49"/>
      <c r="M69" s="18"/>
      <c r="N69" s="49"/>
      <c r="O69" s="18"/>
      <c r="P69" s="49"/>
      <c r="Q69" s="18"/>
      <c r="R69" s="49"/>
      <c r="S69" s="18"/>
      <c r="T69" s="49"/>
      <c r="U69" s="18"/>
      <c r="V69" s="49"/>
      <c r="W69" s="18"/>
      <c r="X69" s="49"/>
      <c r="Y69" s="18"/>
      <c r="Z69" s="179"/>
      <c r="AA69" s="286"/>
      <c r="AB69" s="214"/>
      <c r="AC69" s="205"/>
      <c r="AD69" s="214"/>
      <c r="AE69" s="75"/>
      <c r="AF69" s="169"/>
      <c r="AG69" s="75"/>
      <c r="AH69" s="205"/>
      <c r="AI69" s="255"/>
      <c r="AJ69" s="293"/>
      <c r="AK69" s="53"/>
      <c r="AL69" s="53"/>
      <c r="AM69" s="53"/>
      <c r="AN69" s="53"/>
      <c r="AO69" s="53"/>
      <c r="AP69" s="63"/>
      <c r="AQ69" s="63"/>
    </row>
    <row r="70" spans="1:43" s="408" customFormat="1">
      <c r="A70" s="2">
        <v>6131</v>
      </c>
      <c r="B70" s="111" t="s">
        <v>319</v>
      </c>
      <c r="C70" s="18"/>
      <c r="D70" s="49"/>
      <c r="E70" s="18"/>
      <c r="F70" s="49"/>
      <c r="G70" s="18"/>
      <c r="H70" s="49"/>
      <c r="I70" s="18"/>
      <c r="J70" s="49"/>
      <c r="K70" s="18"/>
      <c r="L70" s="49"/>
      <c r="M70" s="18"/>
      <c r="N70" s="49"/>
      <c r="O70" s="18"/>
      <c r="P70" s="49"/>
      <c r="Q70" s="18"/>
      <c r="R70" s="49"/>
      <c r="S70" s="18"/>
      <c r="T70" s="49"/>
      <c r="U70" s="18"/>
      <c r="V70" s="49"/>
      <c r="W70" s="18"/>
      <c r="X70" s="49"/>
      <c r="Y70" s="18"/>
      <c r="Z70" s="179"/>
      <c r="AA70" s="286"/>
      <c r="AB70" s="214"/>
      <c r="AC70" s="205"/>
      <c r="AD70" s="214"/>
      <c r="AE70" s="75"/>
      <c r="AF70" s="169"/>
      <c r="AG70" s="75"/>
      <c r="AH70" s="205"/>
      <c r="AI70" s="255"/>
      <c r="AJ70" s="293"/>
      <c r="AK70" s="53"/>
      <c r="AL70" s="53"/>
      <c r="AM70" s="53"/>
      <c r="AN70" s="53"/>
      <c r="AO70" s="53"/>
      <c r="AP70" s="63"/>
      <c r="AQ70" s="63"/>
    </row>
    <row r="71" spans="1:43" s="408" customFormat="1">
      <c r="A71" s="2">
        <v>6132</v>
      </c>
      <c r="B71" s="111" t="s">
        <v>320</v>
      </c>
      <c r="C71" s="18"/>
      <c r="D71" s="49"/>
      <c r="E71" s="18"/>
      <c r="F71" s="49"/>
      <c r="G71" s="18"/>
      <c r="H71" s="49"/>
      <c r="I71" s="18"/>
      <c r="J71" s="49"/>
      <c r="K71" s="18"/>
      <c r="L71" s="49"/>
      <c r="M71" s="18"/>
      <c r="N71" s="49"/>
      <c r="O71" s="18"/>
      <c r="P71" s="49"/>
      <c r="Q71" s="18"/>
      <c r="R71" s="49"/>
      <c r="S71" s="18"/>
      <c r="T71" s="49"/>
      <c r="U71" s="18"/>
      <c r="V71" s="49"/>
      <c r="W71" s="18"/>
      <c r="X71" s="49"/>
      <c r="Y71" s="18"/>
      <c r="Z71" s="179"/>
      <c r="AA71" s="286"/>
      <c r="AB71" s="214"/>
      <c r="AC71" s="205"/>
      <c r="AD71" s="214"/>
      <c r="AE71" s="75"/>
      <c r="AF71" s="169"/>
      <c r="AG71" s="75"/>
      <c r="AH71" s="205"/>
      <c r="AI71" s="255"/>
      <c r="AJ71" s="293"/>
      <c r="AK71" s="53"/>
      <c r="AL71" s="53"/>
      <c r="AM71" s="53"/>
      <c r="AN71" s="53"/>
      <c r="AO71" s="53"/>
      <c r="AP71" s="63"/>
      <c r="AQ71" s="63"/>
    </row>
    <row r="72" spans="1:43" s="408" customFormat="1">
      <c r="A72" s="2">
        <v>6133</v>
      </c>
      <c r="B72" s="111" t="s">
        <v>321</v>
      </c>
      <c r="C72" s="18"/>
      <c r="D72" s="49"/>
      <c r="E72" s="18"/>
      <c r="F72" s="49"/>
      <c r="G72" s="18"/>
      <c r="H72" s="49"/>
      <c r="I72" s="18"/>
      <c r="J72" s="49"/>
      <c r="K72" s="18"/>
      <c r="L72" s="49"/>
      <c r="M72" s="18"/>
      <c r="N72" s="49"/>
      <c r="O72" s="18"/>
      <c r="P72" s="49"/>
      <c r="Q72" s="18"/>
      <c r="R72" s="49"/>
      <c r="S72" s="18"/>
      <c r="T72" s="49"/>
      <c r="U72" s="18"/>
      <c r="V72" s="49"/>
      <c r="W72" s="18"/>
      <c r="X72" s="49"/>
      <c r="Y72" s="18"/>
      <c r="Z72" s="179"/>
      <c r="AA72" s="286"/>
      <c r="AB72" s="214"/>
      <c r="AC72" s="205"/>
      <c r="AD72" s="214"/>
      <c r="AE72" s="75"/>
      <c r="AF72" s="169"/>
      <c r="AG72" s="75"/>
      <c r="AH72" s="205"/>
      <c r="AI72" s="255"/>
      <c r="AJ72" s="293"/>
      <c r="AK72" s="53"/>
      <c r="AL72" s="53"/>
      <c r="AM72" s="53"/>
      <c r="AN72" s="53"/>
      <c r="AO72" s="53"/>
      <c r="AP72" s="63"/>
      <c r="AQ72" s="63"/>
    </row>
    <row r="73" spans="1:43" s="408" customFormat="1">
      <c r="A73" s="2">
        <v>6134</v>
      </c>
      <c r="B73" s="111" t="s">
        <v>322</v>
      </c>
      <c r="C73" s="18"/>
      <c r="D73" s="49"/>
      <c r="E73" s="18"/>
      <c r="F73" s="49"/>
      <c r="G73" s="18"/>
      <c r="H73" s="49"/>
      <c r="I73" s="18"/>
      <c r="J73" s="49"/>
      <c r="K73" s="18"/>
      <c r="L73" s="49"/>
      <c r="M73" s="18"/>
      <c r="N73" s="49"/>
      <c r="O73" s="18"/>
      <c r="P73" s="49"/>
      <c r="Q73" s="18"/>
      <c r="R73" s="49"/>
      <c r="S73" s="18"/>
      <c r="T73" s="49"/>
      <c r="U73" s="18"/>
      <c r="V73" s="49"/>
      <c r="W73" s="18"/>
      <c r="X73" s="49"/>
      <c r="Y73" s="18"/>
      <c r="Z73" s="179"/>
      <c r="AA73" s="286"/>
      <c r="AB73" s="214"/>
      <c r="AC73" s="205"/>
      <c r="AD73" s="214"/>
      <c r="AE73" s="75"/>
      <c r="AF73" s="169"/>
      <c r="AG73" s="75"/>
      <c r="AH73" s="205"/>
      <c r="AI73" s="255"/>
      <c r="AJ73" s="293"/>
      <c r="AK73" s="53"/>
      <c r="AL73" s="53"/>
      <c r="AM73" s="53"/>
      <c r="AN73" s="53"/>
      <c r="AO73" s="53"/>
      <c r="AP73" s="63"/>
      <c r="AQ73" s="63"/>
    </row>
    <row r="74" spans="1:43" s="408" customFormat="1">
      <c r="A74" s="2">
        <v>6135</v>
      </c>
      <c r="B74" s="111" t="s">
        <v>323</v>
      </c>
      <c r="C74" s="18"/>
      <c r="D74" s="49"/>
      <c r="E74" s="18"/>
      <c r="F74" s="49"/>
      <c r="G74" s="18"/>
      <c r="H74" s="49"/>
      <c r="I74" s="18"/>
      <c r="J74" s="49"/>
      <c r="K74" s="18"/>
      <c r="L74" s="49"/>
      <c r="M74" s="18"/>
      <c r="N74" s="49"/>
      <c r="O74" s="18"/>
      <c r="P74" s="49"/>
      <c r="Q74" s="18"/>
      <c r="R74" s="49"/>
      <c r="S74" s="18"/>
      <c r="T74" s="49"/>
      <c r="U74" s="18"/>
      <c r="V74" s="49"/>
      <c r="W74" s="18"/>
      <c r="X74" s="49"/>
      <c r="Y74" s="18"/>
      <c r="Z74" s="179"/>
      <c r="AA74" s="286"/>
      <c r="AB74" s="214"/>
      <c r="AC74" s="205"/>
      <c r="AD74" s="214"/>
      <c r="AE74" s="75"/>
      <c r="AF74" s="169"/>
      <c r="AG74" s="75"/>
      <c r="AH74" s="205"/>
      <c r="AI74" s="255"/>
      <c r="AJ74" s="293"/>
      <c r="AK74" s="53"/>
      <c r="AL74" s="53"/>
      <c r="AM74" s="53"/>
      <c r="AN74" s="53"/>
      <c r="AO74" s="53"/>
      <c r="AP74" s="63"/>
      <c r="AQ74" s="63"/>
    </row>
    <row r="75" spans="1:43">
      <c r="A75" s="2">
        <v>6136</v>
      </c>
      <c r="B75" s="111" t="s">
        <v>332</v>
      </c>
      <c r="C75" s="43"/>
      <c r="D75" s="49"/>
      <c r="E75" s="43"/>
      <c r="F75" s="49"/>
      <c r="G75" s="80"/>
      <c r="H75" s="49"/>
      <c r="I75" s="18"/>
      <c r="J75" s="49"/>
      <c r="K75" s="43"/>
      <c r="L75" s="49"/>
      <c r="M75" s="18"/>
      <c r="N75" s="49"/>
      <c r="O75" s="18"/>
      <c r="P75" s="49"/>
      <c r="Q75" s="18"/>
      <c r="R75" s="49"/>
      <c r="S75" s="18"/>
      <c r="T75" s="49"/>
      <c r="U75" s="43"/>
      <c r="V75" s="49"/>
      <c r="W75" s="33"/>
      <c r="X75" s="49"/>
      <c r="Y75" s="43"/>
      <c r="Z75" s="179"/>
      <c r="AA75" s="286">
        <f t="shared" si="22"/>
        <v>0</v>
      </c>
      <c r="AB75" s="214"/>
      <c r="AC75" s="205">
        <f t="shared" si="4"/>
        <v>0</v>
      </c>
      <c r="AD75" s="214"/>
      <c r="AE75" s="75"/>
      <c r="AF75" s="169"/>
      <c r="AG75" s="75"/>
      <c r="AH75" s="205">
        <v>0</v>
      </c>
      <c r="AI75" s="255"/>
      <c r="AJ75" s="293">
        <f t="shared" ref="AJ75:AJ115" si="54">SUM(AA75+AC75+AH75)</f>
        <v>0</v>
      </c>
      <c r="AK75" s="53">
        <f t="shared" ref="AK75:AK147" si="55">AA75-AL75</f>
        <v>0</v>
      </c>
      <c r="AL75" s="53">
        <f t="shared" si="5"/>
        <v>0</v>
      </c>
      <c r="AM75" s="53">
        <f t="shared" si="20"/>
        <v>0</v>
      </c>
      <c r="AN75" s="53" t="e">
        <f>#REF!-AM75</f>
        <v>#REF!</v>
      </c>
      <c r="AO75" s="53"/>
    </row>
    <row r="76" spans="1:43" ht="15.75" thickBot="1">
      <c r="A76" s="4">
        <v>6199</v>
      </c>
      <c r="B76" s="113" t="s">
        <v>24</v>
      </c>
      <c r="C76" s="27">
        <f>SUM(C42:C75)</f>
        <v>0</v>
      </c>
      <c r="D76" s="68" t="e">
        <f>C76/C12</f>
        <v>#DIV/0!</v>
      </c>
      <c r="E76" s="27">
        <f>SUM(E42:E75)</f>
        <v>0</v>
      </c>
      <c r="F76" s="68" t="e">
        <f>E76/E12</f>
        <v>#DIV/0!</v>
      </c>
      <c r="G76" s="27">
        <f>SUM(G42:G75)</f>
        <v>0</v>
      </c>
      <c r="H76" s="68" t="e">
        <f>G76/G12</f>
        <v>#DIV/0!</v>
      </c>
      <c r="I76" s="27">
        <f>SUM(I42:I75)</f>
        <v>0</v>
      </c>
      <c r="J76" s="68" t="e">
        <f>I76/I12</f>
        <v>#DIV/0!</v>
      </c>
      <c r="K76" s="27">
        <f>SUM(K42:K75)</f>
        <v>0</v>
      </c>
      <c r="L76" s="68" t="e">
        <f>K76/K12</f>
        <v>#DIV/0!</v>
      </c>
      <c r="M76" s="27">
        <f>SUM(M42:M75)</f>
        <v>0</v>
      </c>
      <c r="N76" s="68" t="e">
        <f>M76/M12</f>
        <v>#DIV/0!</v>
      </c>
      <c r="O76" s="27">
        <f>SUM(O42:O75)</f>
        <v>0</v>
      </c>
      <c r="P76" s="68" t="e">
        <f>O76/O12</f>
        <v>#DIV/0!</v>
      </c>
      <c r="Q76" s="27">
        <f>SUM(Q42:Q75)</f>
        <v>0</v>
      </c>
      <c r="R76" s="68" t="e">
        <f>Q76/Q12</f>
        <v>#DIV/0!</v>
      </c>
      <c r="S76" s="27">
        <f>SUM(S42:S75)</f>
        <v>0</v>
      </c>
      <c r="T76" s="68" t="e">
        <f>S76/S12</f>
        <v>#DIV/0!</v>
      </c>
      <c r="U76" s="27">
        <f>SUM(U42:U75)</f>
        <v>0</v>
      </c>
      <c r="V76" s="68" t="e">
        <f>U76/U12</f>
        <v>#DIV/0!</v>
      </c>
      <c r="W76" s="27">
        <f>SUM(W42:W75)</f>
        <v>0</v>
      </c>
      <c r="X76" s="68" t="e">
        <f>W76/W12</f>
        <v>#DIV/0!</v>
      </c>
      <c r="Y76" s="27">
        <f>SUM(Y42:Y75)</f>
        <v>0</v>
      </c>
      <c r="Z76" s="223" t="e">
        <f>Y76/Y12</f>
        <v>#DIV/0!</v>
      </c>
      <c r="AA76" s="211">
        <f>SUM(AA42:AA75)</f>
        <v>0</v>
      </c>
      <c r="AB76" s="245" t="e">
        <f>AA76/AA12</f>
        <v>#DIV/0!</v>
      </c>
      <c r="AC76" s="211">
        <f t="shared" ref="AC76:AC147" si="56">AA76/7</f>
        <v>0</v>
      </c>
      <c r="AD76" s="245" t="e">
        <f>AC76/AC12</f>
        <v>#DIV/0!</v>
      </c>
      <c r="AE76" s="75"/>
      <c r="AF76" s="169"/>
      <c r="AG76" s="75"/>
      <c r="AH76" s="211">
        <f>SUM(AH42:AH75)</f>
        <v>135144.62900000002</v>
      </c>
      <c r="AI76" s="259">
        <f>AH76/AH12</f>
        <v>0.16783354299388817</v>
      </c>
      <c r="AJ76" s="297">
        <f t="shared" si="54"/>
        <v>135144.62900000002</v>
      </c>
      <c r="AK76" s="53">
        <f t="shared" si="55"/>
        <v>0</v>
      </c>
      <c r="AL76" s="53">
        <f t="shared" ref="AL76:AL148" si="57">C76+E76+G76+I76+K76+M76+O76+Q76+S76+U76+W76+Y76</f>
        <v>0</v>
      </c>
      <c r="AM76" s="53">
        <f t="shared" si="20"/>
        <v>0</v>
      </c>
      <c r="AN76" s="53" t="e">
        <f>#REF!-AM76</f>
        <v>#REF!</v>
      </c>
      <c r="AO76" s="53"/>
      <c r="AP76" s="63"/>
    </row>
    <row r="77" spans="1:43" ht="15.75" thickTop="1">
      <c r="A77" s="99">
        <v>6201</v>
      </c>
      <c r="B77" s="112" t="s">
        <v>25</v>
      </c>
      <c r="C77" s="61"/>
      <c r="D77" s="49" t="e">
        <f>C77/C12</f>
        <v>#DIV/0!</v>
      </c>
      <c r="E77" s="61"/>
      <c r="F77" s="49" t="e">
        <f>E77/E12</f>
        <v>#DIV/0!</v>
      </c>
      <c r="G77" s="61"/>
      <c r="H77" s="49" t="e">
        <f>G77/G12</f>
        <v>#DIV/0!</v>
      </c>
      <c r="I77" s="61"/>
      <c r="J77" s="49" t="e">
        <f>I77/I12</f>
        <v>#DIV/0!</v>
      </c>
      <c r="K77" s="61"/>
      <c r="L77" s="49" t="e">
        <f>K77/K12</f>
        <v>#DIV/0!</v>
      </c>
      <c r="M77" s="61">
        <v>0</v>
      </c>
      <c r="N77" s="49" t="e">
        <f>M77/M12</f>
        <v>#DIV/0!</v>
      </c>
      <c r="O77" s="61">
        <v>0</v>
      </c>
      <c r="P77" s="49" t="e">
        <f>O77/O12</f>
        <v>#DIV/0!</v>
      </c>
      <c r="Q77" s="61">
        <v>0</v>
      </c>
      <c r="R77" s="49" t="e">
        <f>Q77/Q12</f>
        <v>#DIV/0!</v>
      </c>
      <c r="S77" s="61">
        <v>0</v>
      </c>
      <c r="T77" s="49" t="e">
        <f>S77/S12</f>
        <v>#DIV/0!</v>
      </c>
      <c r="U77" s="61">
        <v>0</v>
      </c>
      <c r="V77" s="49" t="e">
        <f>U77/U12</f>
        <v>#DIV/0!</v>
      </c>
      <c r="W77" s="61">
        <v>0</v>
      </c>
      <c r="X77" s="49" t="e">
        <f>W77/W12</f>
        <v>#DIV/0!</v>
      </c>
      <c r="Y77" s="61">
        <v>0</v>
      </c>
      <c r="Z77" s="179" t="e">
        <f>Y77/Y12</f>
        <v>#DIV/0!</v>
      </c>
      <c r="AA77" s="286">
        <f t="shared" ref="AA77:AA92" si="58">C77+E77+G77+I77+K77+M77+O77+Q77+S77+U77+W77+Y77</f>
        <v>0</v>
      </c>
      <c r="AB77" s="214" t="e">
        <f>AA77/AA12</f>
        <v>#DIV/0!</v>
      </c>
      <c r="AC77" s="208">
        <f t="shared" si="56"/>
        <v>0</v>
      </c>
      <c r="AD77" s="214" t="e">
        <f>AC77/AC12</f>
        <v>#DIV/0!</v>
      </c>
      <c r="AE77" s="75"/>
      <c r="AF77" s="169"/>
      <c r="AG77" s="75"/>
      <c r="AH77" s="208">
        <v>84307.301999999996</v>
      </c>
      <c r="AI77" s="255">
        <f>AH77/AH12</f>
        <v>0.10469963401146865</v>
      </c>
      <c r="AJ77" s="293">
        <f t="shared" si="54"/>
        <v>84307.301999999996</v>
      </c>
      <c r="AK77" s="53">
        <f t="shared" si="55"/>
        <v>0</v>
      </c>
      <c r="AL77" s="53">
        <f t="shared" si="57"/>
        <v>0</v>
      </c>
      <c r="AM77" s="53">
        <f t="shared" si="20"/>
        <v>0</v>
      </c>
      <c r="AN77" s="53" t="e">
        <f>#REF!-AM77</f>
        <v>#REF!</v>
      </c>
      <c r="AO77" s="53"/>
      <c r="AP77" s="63"/>
    </row>
    <row r="78" spans="1:43">
      <c r="A78" s="2">
        <v>6202</v>
      </c>
      <c r="B78" s="112" t="s">
        <v>26</v>
      </c>
      <c r="C78" s="61"/>
      <c r="D78" s="49" t="e">
        <f>C78/C12</f>
        <v>#DIV/0!</v>
      </c>
      <c r="E78" s="61"/>
      <c r="F78" s="49" t="e">
        <f>E78/E12</f>
        <v>#DIV/0!</v>
      </c>
      <c r="G78" s="61"/>
      <c r="H78" s="49" t="e">
        <f>G78/G12</f>
        <v>#DIV/0!</v>
      </c>
      <c r="I78" s="61"/>
      <c r="J78" s="49" t="e">
        <f>I78/I12</f>
        <v>#DIV/0!</v>
      </c>
      <c r="K78" s="61"/>
      <c r="L78" s="49" t="e">
        <f>K78/K12</f>
        <v>#DIV/0!</v>
      </c>
      <c r="M78" s="61">
        <v>0</v>
      </c>
      <c r="N78" s="49" t="e">
        <f>M78/M12</f>
        <v>#DIV/0!</v>
      </c>
      <c r="O78" s="61">
        <v>0</v>
      </c>
      <c r="P78" s="49" t="e">
        <f>O78/O12</f>
        <v>#DIV/0!</v>
      </c>
      <c r="Q78" s="61">
        <v>0</v>
      </c>
      <c r="R78" s="49" t="e">
        <f>Q78/Q12</f>
        <v>#DIV/0!</v>
      </c>
      <c r="S78" s="61">
        <v>0</v>
      </c>
      <c r="T78" s="49" t="e">
        <f>S78/S12</f>
        <v>#DIV/0!</v>
      </c>
      <c r="U78" s="61">
        <v>0</v>
      </c>
      <c r="V78" s="49" t="e">
        <f>U78/U12</f>
        <v>#DIV/0!</v>
      </c>
      <c r="W78" s="61">
        <v>0</v>
      </c>
      <c r="X78" s="49" t="e">
        <f>W78/W12</f>
        <v>#DIV/0!</v>
      </c>
      <c r="Y78" s="61">
        <v>0</v>
      </c>
      <c r="Z78" s="179" t="e">
        <f>Y78/Y12</f>
        <v>#DIV/0!</v>
      </c>
      <c r="AA78" s="286">
        <f t="shared" si="58"/>
        <v>0</v>
      </c>
      <c r="AB78" s="214" t="e">
        <f>AA78/AA12</f>
        <v>#DIV/0!</v>
      </c>
      <c r="AC78" s="208">
        <f t="shared" si="56"/>
        <v>0</v>
      </c>
      <c r="AD78" s="214" t="e">
        <f>AC78/AC12</f>
        <v>#DIV/0!</v>
      </c>
      <c r="AE78" s="75"/>
      <c r="AF78" s="169"/>
      <c r="AG78" s="75"/>
      <c r="AH78" s="208">
        <v>24087.8</v>
      </c>
      <c r="AI78" s="255">
        <f>AH78/AH12</f>
        <v>2.9914180436487629E-2</v>
      </c>
      <c r="AJ78" s="293">
        <f t="shared" si="54"/>
        <v>24087.8</v>
      </c>
      <c r="AK78" s="53">
        <f t="shared" si="55"/>
        <v>0</v>
      </c>
      <c r="AL78" s="53">
        <f t="shared" si="57"/>
        <v>0</v>
      </c>
      <c r="AM78" s="53">
        <f t="shared" si="20"/>
        <v>0</v>
      </c>
      <c r="AN78" s="53" t="e">
        <f>#REF!-AM78</f>
        <v>#REF!</v>
      </c>
      <c r="AO78" s="53"/>
      <c r="AP78" s="63"/>
    </row>
    <row r="79" spans="1:43">
      <c r="A79" s="2">
        <v>6203</v>
      </c>
      <c r="B79" s="112" t="s">
        <v>27</v>
      </c>
      <c r="C79" s="61"/>
      <c r="D79" s="49" t="e">
        <f>C79/C12</f>
        <v>#DIV/0!</v>
      </c>
      <c r="E79" s="61"/>
      <c r="F79" s="49" t="e">
        <f>E79/E12</f>
        <v>#DIV/0!</v>
      </c>
      <c r="G79" s="61"/>
      <c r="H79" s="49" t="e">
        <f>G79/G12</f>
        <v>#DIV/0!</v>
      </c>
      <c r="I79" s="61"/>
      <c r="J79" s="49" t="e">
        <f>I79/I12</f>
        <v>#DIV/0!</v>
      </c>
      <c r="K79" s="61"/>
      <c r="L79" s="49" t="e">
        <f>K79/K12</f>
        <v>#DIV/0!</v>
      </c>
      <c r="M79" s="61">
        <v>0</v>
      </c>
      <c r="N79" s="49" t="e">
        <f>M79/M12</f>
        <v>#DIV/0!</v>
      </c>
      <c r="O79" s="61">
        <v>0</v>
      </c>
      <c r="P79" s="49" t="e">
        <f>O79/O12</f>
        <v>#DIV/0!</v>
      </c>
      <c r="Q79" s="61">
        <v>0</v>
      </c>
      <c r="R79" s="49" t="e">
        <f>Q79/Q12</f>
        <v>#DIV/0!</v>
      </c>
      <c r="S79" s="61">
        <v>0</v>
      </c>
      <c r="T79" s="49" t="e">
        <f>S79/S12</f>
        <v>#DIV/0!</v>
      </c>
      <c r="U79" s="61">
        <v>0</v>
      </c>
      <c r="V79" s="49" t="e">
        <f>U79/U12</f>
        <v>#DIV/0!</v>
      </c>
      <c r="W79" s="61">
        <v>0</v>
      </c>
      <c r="X79" s="49" t="e">
        <f>W79/W12</f>
        <v>#DIV/0!</v>
      </c>
      <c r="Y79" s="61">
        <v>0</v>
      </c>
      <c r="Z79" s="179" t="e">
        <f>Y79/Y12</f>
        <v>#DIV/0!</v>
      </c>
      <c r="AA79" s="286">
        <f t="shared" si="58"/>
        <v>0</v>
      </c>
      <c r="AB79" s="214" t="e">
        <f>AA79/AA12</f>
        <v>#DIV/0!</v>
      </c>
      <c r="AC79" s="208">
        <f t="shared" si="56"/>
        <v>0</v>
      </c>
      <c r="AD79" s="214" t="e">
        <f>AC79/AC12</f>
        <v>#DIV/0!</v>
      </c>
      <c r="AE79" s="75"/>
      <c r="AF79" s="169"/>
      <c r="AG79" s="75"/>
      <c r="AH79" s="208">
        <v>12043.9</v>
      </c>
      <c r="AI79" s="255">
        <f>AH79/AH12</f>
        <v>1.4957090218243815E-2</v>
      </c>
      <c r="AJ79" s="293">
        <f t="shared" si="54"/>
        <v>12043.9</v>
      </c>
      <c r="AK79" s="53">
        <f t="shared" si="55"/>
        <v>0</v>
      </c>
      <c r="AL79" s="53">
        <f t="shared" si="57"/>
        <v>0</v>
      </c>
      <c r="AM79" s="53">
        <f t="shared" si="20"/>
        <v>0</v>
      </c>
      <c r="AN79" s="53" t="e">
        <f>#REF!-AM79</f>
        <v>#REF!</v>
      </c>
      <c r="AO79" s="53"/>
    </row>
    <row r="80" spans="1:43">
      <c r="A80" s="2">
        <v>6204</v>
      </c>
      <c r="B80" s="112" t="s">
        <v>28</v>
      </c>
      <c r="D80" s="49" t="e">
        <f>C80/C12</f>
        <v>#DIV/0!</v>
      </c>
      <c r="E80" s="24"/>
      <c r="F80" s="49" t="e">
        <f>E80/E12</f>
        <v>#DIV/0!</v>
      </c>
      <c r="G80" s="24"/>
      <c r="H80" s="49" t="e">
        <f>G80/G12</f>
        <v>#DIV/0!</v>
      </c>
      <c r="J80" s="49" t="e">
        <f>I80/I12</f>
        <v>#DIV/0!</v>
      </c>
      <c r="K80" s="24"/>
      <c r="L80" s="49" t="e">
        <f>K80/K12</f>
        <v>#DIV/0!</v>
      </c>
      <c r="N80" s="49" t="e">
        <f>M80/M12</f>
        <v>#DIV/0!</v>
      </c>
      <c r="O80" s="24">
        <v>0</v>
      </c>
      <c r="P80" s="49" t="e">
        <f>O80/O12</f>
        <v>#DIV/0!</v>
      </c>
      <c r="R80" s="49" t="e">
        <f>Q80/Q12</f>
        <v>#DIV/0!</v>
      </c>
      <c r="T80" s="49" t="e">
        <f>S80/S12</f>
        <v>#DIV/0!</v>
      </c>
      <c r="U80" s="24"/>
      <c r="V80" s="49" t="e">
        <f>U80/U12</f>
        <v>#DIV/0!</v>
      </c>
      <c r="W80" s="24"/>
      <c r="X80" s="49" t="e">
        <f>W80/W12</f>
        <v>#DIV/0!</v>
      </c>
      <c r="Y80" s="24"/>
      <c r="Z80" s="179" t="e">
        <f>Y80/Y12</f>
        <v>#DIV/0!</v>
      </c>
      <c r="AA80" s="286">
        <f t="shared" si="58"/>
        <v>0</v>
      </c>
      <c r="AB80" s="214" t="e">
        <f>AA80/AA12</f>
        <v>#DIV/0!</v>
      </c>
      <c r="AC80" s="205">
        <f t="shared" si="56"/>
        <v>0</v>
      </c>
      <c r="AD80" s="214" t="e">
        <f>AC80/AC12</f>
        <v>#DIV/0!</v>
      </c>
      <c r="AE80" s="75"/>
      <c r="AF80" s="169"/>
      <c r="AG80" s="75"/>
      <c r="AH80" s="205">
        <v>0</v>
      </c>
      <c r="AI80" s="255">
        <f>AH80/AH12</f>
        <v>0</v>
      </c>
      <c r="AJ80" s="293">
        <f t="shared" si="54"/>
        <v>0</v>
      </c>
      <c r="AK80" s="53">
        <f t="shared" si="55"/>
        <v>0</v>
      </c>
      <c r="AL80" s="53">
        <f t="shared" si="57"/>
        <v>0</v>
      </c>
      <c r="AM80" s="53">
        <f t="shared" si="20"/>
        <v>0</v>
      </c>
      <c r="AN80" s="53" t="e">
        <f>#REF!-AM80</f>
        <v>#REF!</v>
      </c>
      <c r="AO80" s="53"/>
    </row>
    <row r="81" spans="1:41">
      <c r="A81" s="2">
        <v>6205</v>
      </c>
      <c r="B81" s="112" t="s">
        <v>29</v>
      </c>
      <c r="D81" s="49" t="e">
        <f>C81/C12</f>
        <v>#DIV/0!</v>
      </c>
      <c r="E81" s="24"/>
      <c r="F81" s="49" t="e">
        <f>E81/E12</f>
        <v>#DIV/0!</v>
      </c>
      <c r="G81" s="24"/>
      <c r="H81" s="49" t="e">
        <f>G81/G12</f>
        <v>#DIV/0!</v>
      </c>
      <c r="J81" s="49" t="e">
        <f>I81/I12</f>
        <v>#DIV/0!</v>
      </c>
      <c r="K81" s="24"/>
      <c r="L81" s="49" t="e">
        <f>K81/K12</f>
        <v>#DIV/0!</v>
      </c>
      <c r="N81" s="49" t="e">
        <f>M81/M12</f>
        <v>#DIV/0!</v>
      </c>
      <c r="P81" s="49" t="e">
        <f>O81/O12</f>
        <v>#DIV/0!</v>
      </c>
      <c r="R81" s="49" t="e">
        <f>Q81/Q12</f>
        <v>#DIV/0!</v>
      </c>
      <c r="T81" s="49" t="e">
        <f>S81/S12</f>
        <v>#DIV/0!</v>
      </c>
      <c r="U81" s="24"/>
      <c r="V81" s="49" t="e">
        <f>U81/U12</f>
        <v>#DIV/0!</v>
      </c>
      <c r="W81" s="24"/>
      <c r="X81" s="49" t="e">
        <f>W81/W12</f>
        <v>#DIV/0!</v>
      </c>
      <c r="Y81" s="24"/>
      <c r="Z81" s="179" t="e">
        <f>Y81/Y12</f>
        <v>#DIV/0!</v>
      </c>
      <c r="AA81" s="286">
        <f t="shared" si="58"/>
        <v>0</v>
      </c>
      <c r="AB81" s="214" t="e">
        <f>AA81/AA12</f>
        <v>#DIV/0!</v>
      </c>
      <c r="AC81" s="205">
        <f t="shared" si="56"/>
        <v>0</v>
      </c>
      <c r="AD81" s="214" t="e">
        <f>AC81/AC12</f>
        <v>#DIV/0!</v>
      </c>
      <c r="AE81" s="75"/>
      <c r="AF81" s="169"/>
      <c r="AG81" s="75"/>
      <c r="AH81" s="205">
        <v>0</v>
      </c>
      <c r="AI81" s="255">
        <f>AH81/AH12</f>
        <v>0</v>
      </c>
      <c r="AJ81" s="293">
        <f t="shared" si="54"/>
        <v>0</v>
      </c>
      <c r="AK81" s="53">
        <f t="shared" si="55"/>
        <v>0</v>
      </c>
      <c r="AL81" s="53">
        <f t="shared" si="57"/>
        <v>0</v>
      </c>
      <c r="AM81" s="53">
        <f t="shared" ref="AM81:AM146" si="59">G81*9.4+I81*9.4+K81*9.4+M81*9.4+O81*9.4+Q81*9.4+S81*9.4+U81*9.4+W81*9.4+Y81*9.4</f>
        <v>0</v>
      </c>
      <c r="AN81" s="53" t="e">
        <f>#REF!-AM81</f>
        <v>#REF!</v>
      </c>
      <c r="AO81" s="53"/>
    </row>
    <row r="82" spans="1:41">
      <c r="A82" s="2">
        <v>6206</v>
      </c>
      <c r="B82" s="2" t="s">
        <v>207</v>
      </c>
      <c r="D82" s="49" t="e">
        <f>C82/C12</f>
        <v>#DIV/0!</v>
      </c>
      <c r="E82" s="24"/>
      <c r="F82" s="49" t="e">
        <f>E82/E12</f>
        <v>#DIV/0!</v>
      </c>
      <c r="G82" s="24"/>
      <c r="H82" s="49" t="e">
        <f>G82/G12</f>
        <v>#DIV/0!</v>
      </c>
      <c r="J82" s="49" t="e">
        <f>I82/I12</f>
        <v>#DIV/0!</v>
      </c>
      <c r="K82" s="24"/>
      <c r="L82" s="49" t="e">
        <f>K82/K12</f>
        <v>#DIV/0!</v>
      </c>
      <c r="M82" s="24">
        <v>0</v>
      </c>
      <c r="N82" s="49" t="e">
        <f>M82/M12</f>
        <v>#DIV/0!</v>
      </c>
      <c r="O82" s="24">
        <v>0</v>
      </c>
      <c r="P82" s="49" t="e">
        <f>O82/O12</f>
        <v>#DIV/0!</v>
      </c>
      <c r="Q82" s="24">
        <v>0</v>
      </c>
      <c r="R82" s="49" t="e">
        <f>Q82/Q12</f>
        <v>#DIV/0!</v>
      </c>
      <c r="S82" s="24">
        <v>0</v>
      </c>
      <c r="T82" s="49" t="e">
        <f>S82/S12</f>
        <v>#DIV/0!</v>
      </c>
      <c r="U82" s="24">
        <v>0</v>
      </c>
      <c r="V82" s="49" t="e">
        <f>U82/U12</f>
        <v>#DIV/0!</v>
      </c>
      <c r="W82" s="24">
        <v>0</v>
      </c>
      <c r="X82" s="49" t="e">
        <f>W82/W12</f>
        <v>#DIV/0!</v>
      </c>
      <c r="Y82" s="24">
        <v>0</v>
      </c>
      <c r="Z82" s="179" t="e">
        <f>Y82/Y12</f>
        <v>#DIV/0!</v>
      </c>
      <c r="AA82" s="286">
        <f t="shared" si="58"/>
        <v>0</v>
      </c>
      <c r="AB82" s="214" t="e">
        <f>AA82/AA12</f>
        <v>#DIV/0!</v>
      </c>
      <c r="AC82" s="205">
        <f t="shared" si="56"/>
        <v>0</v>
      </c>
      <c r="AD82" s="214" t="e">
        <f>AC82/AC12</f>
        <v>#DIV/0!</v>
      </c>
      <c r="AE82" s="75"/>
      <c r="AF82" s="169"/>
      <c r="AG82" s="75"/>
      <c r="AH82" s="205">
        <v>0</v>
      </c>
      <c r="AI82" s="255">
        <f>AH82/AH12</f>
        <v>0</v>
      </c>
      <c r="AJ82" s="293">
        <f t="shared" si="54"/>
        <v>0</v>
      </c>
      <c r="AK82" s="53">
        <f t="shared" si="55"/>
        <v>0</v>
      </c>
      <c r="AL82" s="53">
        <f t="shared" si="57"/>
        <v>0</v>
      </c>
      <c r="AM82" s="53">
        <f t="shared" si="59"/>
        <v>0</v>
      </c>
      <c r="AN82" s="53" t="e">
        <f>#REF!-AM82</f>
        <v>#REF!</v>
      </c>
      <c r="AO82" s="53"/>
    </row>
    <row r="83" spans="1:41">
      <c r="A83" s="2">
        <v>6207</v>
      </c>
      <c r="B83" s="2" t="s">
        <v>208</v>
      </c>
      <c r="C83" s="315"/>
      <c r="D83" s="49" t="e">
        <f>C83/C12</f>
        <v>#DIV/0!</v>
      </c>
      <c r="E83" s="315"/>
      <c r="F83" s="49" t="e">
        <f>E83/E12</f>
        <v>#DIV/0!</v>
      </c>
      <c r="G83" s="315"/>
      <c r="H83" s="49" t="e">
        <f>G83/G12</f>
        <v>#DIV/0!</v>
      </c>
      <c r="I83" s="315"/>
      <c r="J83" s="49" t="e">
        <f>I83/I12</f>
        <v>#DIV/0!</v>
      </c>
      <c r="K83" s="315"/>
      <c r="L83" s="49" t="e">
        <f>K83/K12</f>
        <v>#DIV/0!</v>
      </c>
      <c r="M83" s="315">
        <v>0</v>
      </c>
      <c r="N83" s="49" t="e">
        <f>M83/M12</f>
        <v>#DIV/0!</v>
      </c>
      <c r="O83" s="315">
        <v>0</v>
      </c>
      <c r="P83" s="49" t="e">
        <f>O83/O12</f>
        <v>#DIV/0!</v>
      </c>
      <c r="Q83" s="315">
        <v>0</v>
      </c>
      <c r="R83" s="49" t="e">
        <f>Q83/Q12</f>
        <v>#DIV/0!</v>
      </c>
      <c r="S83" s="315">
        <v>0</v>
      </c>
      <c r="T83" s="49" t="e">
        <f>S83/S12</f>
        <v>#DIV/0!</v>
      </c>
      <c r="U83" s="315">
        <v>0</v>
      </c>
      <c r="V83" s="49" t="e">
        <f>U83/U12</f>
        <v>#DIV/0!</v>
      </c>
      <c r="W83" s="315">
        <v>0</v>
      </c>
      <c r="X83" s="49" t="e">
        <f>W83/W12</f>
        <v>#DIV/0!</v>
      </c>
      <c r="Y83" s="315">
        <v>0</v>
      </c>
      <c r="Z83" s="179" t="e">
        <f>Y83/Y12</f>
        <v>#DIV/0!</v>
      </c>
      <c r="AA83" s="286">
        <f t="shared" si="58"/>
        <v>0</v>
      </c>
      <c r="AB83" s="214" t="e">
        <f>AA83/AA12</f>
        <v>#DIV/0!</v>
      </c>
      <c r="AC83" s="205">
        <f t="shared" si="56"/>
        <v>0</v>
      </c>
      <c r="AD83" s="214" t="e">
        <f>AC83/AC12</f>
        <v>#DIV/0!</v>
      </c>
      <c r="AE83" s="75"/>
      <c r="AF83" s="169"/>
      <c r="AG83" s="75"/>
      <c r="AH83" s="205">
        <v>1135.0999999999999</v>
      </c>
      <c r="AI83" s="255">
        <f>AH83/AH12</f>
        <v>1.4096590893920202E-3</v>
      </c>
      <c r="AJ83" s="293">
        <f t="shared" si="54"/>
        <v>1135.0999999999999</v>
      </c>
      <c r="AK83" s="53">
        <f t="shared" si="55"/>
        <v>0</v>
      </c>
      <c r="AL83" s="53">
        <f t="shared" si="57"/>
        <v>0</v>
      </c>
      <c r="AM83" s="53">
        <f t="shared" si="59"/>
        <v>0</v>
      </c>
      <c r="AN83" s="53" t="e">
        <f>#REF!-AM83</f>
        <v>#REF!</v>
      </c>
      <c r="AO83" s="53"/>
    </row>
    <row r="84" spans="1:41">
      <c r="A84" s="2">
        <v>6208</v>
      </c>
      <c r="B84" s="2" t="s">
        <v>209</v>
      </c>
      <c r="D84" s="49" t="e">
        <f>C84/C12</f>
        <v>#DIV/0!</v>
      </c>
      <c r="E84" s="24"/>
      <c r="F84" s="49" t="e">
        <f>E84/E12</f>
        <v>#DIV/0!</v>
      </c>
      <c r="G84" s="24"/>
      <c r="H84" s="49" t="e">
        <f>G84/G12</f>
        <v>#DIV/0!</v>
      </c>
      <c r="J84" s="49" t="e">
        <f>I84/I12</f>
        <v>#DIV/0!</v>
      </c>
      <c r="K84" s="24"/>
      <c r="L84" s="49" t="e">
        <f>K84/K12</f>
        <v>#DIV/0!</v>
      </c>
      <c r="M84" s="24">
        <v>0</v>
      </c>
      <c r="N84" s="49" t="e">
        <f>M84/M12</f>
        <v>#DIV/0!</v>
      </c>
      <c r="P84" s="49" t="e">
        <f>O84/O12</f>
        <v>#DIV/0!</v>
      </c>
      <c r="R84" s="49" t="e">
        <f>Q84/Q12</f>
        <v>#DIV/0!</v>
      </c>
      <c r="T84" s="49" t="e">
        <f>S84/S12</f>
        <v>#DIV/0!</v>
      </c>
      <c r="U84" s="24"/>
      <c r="V84" s="49" t="e">
        <f>U84/U12</f>
        <v>#DIV/0!</v>
      </c>
      <c r="W84" s="24"/>
      <c r="X84" s="49" t="e">
        <f>W84/W12</f>
        <v>#DIV/0!</v>
      </c>
      <c r="Y84" s="24"/>
      <c r="Z84" s="179" t="e">
        <f>Y84/Y12</f>
        <v>#DIV/0!</v>
      </c>
      <c r="AA84" s="286">
        <f t="shared" si="58"/>
        <v>0</v>
      </c>
      <c r="AB84" s="214" t="e">
        <f>AA84/AA12</f>
        <v>#DIV/0!</v>
      </c>
      <c r="AC84" s="205">
        <f t="shared" si="56"/>
        <v>0</v>
      </c>
      <c r="AD84" s="214" t="e">
        <f>AC84/AC12</f>
        <v>#DIV/0!</v>
      </c>
      <c r="AE84" s="75"/>
      <c r="AF84" s="169"/>
      <c r="AG84" s="75"/>
      <c r="AH84" s="205">
        <v>0</v>
      </c>
      <c r="AI84" s="255">
        <f>AH84/AH12</f>
        <v>0</v>
      </c>
      <c r="AJ84" s="293">
        <f t="shared" si="54"/>
        <v>0</v>
      </c>
      <c r="AK84" s="53">
        <f t="shared" si="55"/>
        <v>0</v>
      </c>
      <c r="AL84" s="53">
        <f t="shared" si="57"/>
        <v>0</v>
      </c>
      <c r="AM84" s="53">
        <f t="shared" si="59"/>
        <v>0</v>
      </c>
      <c r="AN84" s="53" t="e">
        <f>#REF!-AM84</f>
        <v>#REF!</v>
      </c>
      <c r="AO84" s="53"/>
    </row>
    <row r="85" spans="1:41">
      <c r="A85" s="2">
        <v>6209</v>
      </c>
      <c r="B85" s="112" t="s">
        <v>30</v>
      </c>
      <c r="D85" s="49" t="e">
        <f>C85/C12</f>
        <v>#DIV/0!</v>
      </c>
      <c r="E85" s="24"/>
      <c r="F85" s="49" t="e">
        <f>E85/E12</f>
        <v>#DIV/0!</v>
      </c>
      <c r="G85" s="24"/>
      <c r="H85" s="49" t="e">
        <f>G85/G12</f>
        <v>#DIV/0!</v>
      </c>
      <c r="J85" s="49" t="e">
        <f>I85/I12</f>
        <v>#DIV/0!</v>
      </c>
      <c r="K85" s="24"/>
      <c r="L85" s="49" t="e">
        <f>K85/K12</f>
        <v>#DIV/0!</v>
      </c>
      <c r="M85" s="24">
        <v>0</v>
      </c>
      <c r="N85" s="49" t="e">
        <f>M85/M12</f>
        <v>#DIV/0!</v>
      </c>
      <c r="O85" s="24">
        <v>0</v>
      </c>
      <c r="P85" s="49" t="e">
        <f>O85/O12</f>
        <v>#DIV/0!</v>
      </c>
      <c r="Q85" s="24">
        <v>0</v>
      </c>
      <c r="R85" s="49" t="e">
        <f>Q85/Q12</f>
        <v>#DIV/0!</v>
      </c>
      <c r="S85" s="24">
        <v>0</v>
      </c>
      <c r="T85" s="49" t="e">
        <f>S85/S12</f>
        <v>#DIV/0!</v>
      </c>
      <c r="U85" s="24">
        <v>0</v>
      </c>
      <c r="V85" s="49" t="e">
        <f>U85/U12</f>
        <v>#DIV/0!</v>
      </c>
      <c r="W85" s="24">
        <v>0</v>
      </c>
      <c r="X85" s="49" t="e">
        <f>W85/W12</f>
        <v>#DIV/0!</v>
      </c>
      <c r="Y85" s="24">
        <v>0</v>
      </c>
      <c r="Z85" s="179" t="e">
        <f>Y85/Y12</f>
        <v>#DIV/0!</v>
      </c>
      <c r="AA85" s="286">
        <f t="shared" si="58"/>
        <v>0</v>
      </c>
      <c r="AB85" s="214" t="e">
        <f>AA85/AA12</f>
        <v>#DIV/0!</v>
      </c>
      <c r="AC85" s="205">
        <f t="shared" si="56"/>
        <v>0</v>
      </c>
      <c r="AD85" s="214" t="e">
        <f>AC85/AC12</f>
        <v>#DIV/0!</v>
      </c>
      <c r="AE85" s="75"/>
      <c r="AF85" s="169"/>
      <c r="AG85" s="75"/>
      <c r="AH85" s="205">
        <v>7806.3899999999994</v>
      </c>
      <c r="AI85" s="255">
        <f>AH85/AH12</f>
        <v>9.6946071877710982E-3</v>
      </c>
      <c r="AJ85" s="293">
        <f t="shared" si="54"/>
        <v>7806.3899999999994</v>
      </c>
      <c r="AK85" s="53">
        <f t="shared" si="55"/>
        <v>0</v>
      </c>
      <c r="AL85" s="53">
        <f t="shared" si="57"/>
        <v>0</v>
      </c>
      <c r="AM85" s="53">
        <f t="shared" si="59"/>
        <v>0</v>
      </c>
      <c r="AN85" s="53" t="e">
        <f>#REF!-AM85</f>
        <v>#REF!</v>
      </c>
      <c r="AO85" s="53"/>
    </row>
    <row r="86" spans="1:41">
      <c r="A86" s="2">
        <v>6210</v>
      </c>
      <c r="B86" s="112" t="s">
        <v>31</v>
      </c>
      <c r="D86" s="49" t="e">
        <f>C86/C12</f>
        <v>#DIV/0!</v>
      </c>
      <c r="E86" s="24"/>
      <c r="F86" s="49" t="e">
        <f>E86/E12</f>
        <v>#DIV/0!</v>
      </c>
      <c r="G86" s="24"/>
      <c r="H86" s="49" t="e">
        <f>G86/G12</f>
        <v>#DIV/0!</v>
      </c>
      <c r="J86" s="49" t="e">
        <f>I86/I12</f>
        <v>#DIV/0!</v>
      </c>
      <c r="K86" s="24"/>
      <c r="L86" s="49" t="e">
        <f>K86/K12</f>
        <v>#DIV/0!</v>
      </c>
      <c r="M86" s="24">
        <v>0</v>
      </c>
      <c r="N86" s="49" t="e">
        <f>M86/M12</f>
        <v>#DIV/0!</v>
      </c>
      <c r="O86" s="24">
        <v>0</v>
      </c>
      <c r="P86" s="49" t="e">
        <f>O86/O12</f>
        <v>#DIV/0!</v>
      </c>
      <c r="Q86" s="24">
        <v>0</v>
      </c>
      <c r="R86" s="49" t="e">
        <f>Q86/Q12</f>
        <v>#DIV/0!</v>
      </c>
      <c r="S86" s="24">
        <v>0</v>
      </c>
      <c r="T86" s="49" t="e">
        <f>S86/S12</f>
        <v>#DIV/0!</v>
      </c>
      <c r="U86" s="24">
        <v>0</v>
      </c>
      <c r="V86" s="49" t="e">
        <f>U86/U12</f>
        <v>#DIV/0!</v>
      </c>
      <c r="W86" s="24">
        <v>0</v>
      </c>
      <c r="X86" s="49" t="e">
        <f>W86/W12</f>
        <v>#DIV/0!</v>
      </c>
      <c r="Y86" s="24">
        <v>0</v>
      </c>
      <c r="Z86" s="179" t="e">
        <f>Y86/Y12</f>
        <v>#DIV/0!</v>
      </c>
      <c r="AA86" s="286">
        <f t="shared" si="58"/>
        <v>0</v>
      </c>
      <c r="AB86" s="214" t="e">
        <f>AA86/AA12</f>
        <v>#DIV/0!</v>
      </c>
      <c r="AC86" s="205">
        <f t="shared" si="56"/>
        <v>0</v>
      </c>
      <c r="AD86" s="214" t="e">
        <f>AC86/AC12</f>
        <v>#DIV/0!</v>
      </c>
      <c r="AE86" s="75"/>
      <c r="AF86" s="169"/>
      <c r="AG86" s="75"/>
      <c r="AH86" s="205">
        <v>2100.39</v>
      </c>
      <c r="AI86" s="255">
        <f>AH86/AH12</f>
        <v>2.6084343712167259E-3</v>
      </c>
      <c r="AJ86" s="293">
        <f t="shared" si="54"/>
        <v>2100.39</v>
      </c>
      <c r="AK86" s="53">
        <f t="shared" si="55"/>
        <v>0</v>
      </c>
      <c r="AL86" s="53">
        <f t="shared" si="57"/>
        <v>0</v>
      </c>
      <c r="AM86" s="53">
        <f t="shared" si="59"/>
        <v>0</v>
      </c>
      <c r="AN86" s="53" t="e">
        <f>#REF!-AM86</f>
        <v>#REF!</v>
      </c>
      <c r="AO86" s="53"/>
    </row>
    <row r="87" spans="1:41">
      <c r="A87" s="2">
        <v>6211</v>
      </c>
      <c r="B87" s="112" t="s">
        <v>32</v>
      </c>
      <c r="D87" s="49" t="e">
        <f>C87/C12</f>
        <v>#DIV/0!</v>
      </c>
      <c r="E87" s="24"/>
      <c r="F87" s="49" t="e">
        <f>E87/E12</f>
        <v>#DIV/0!</v>
      </c>
      <c r="G87" s="24"/>
      <c r="H87" s="49" t="e">
        <f>G87/G12</f>
        <v>#DIV/0!</v>
      </c>
      <c r="J87" s="49" t="e">
        <f>I87/I12</f>
        <v>#DIV/0!</v>
      </c>
      <c r="K87" s="24"/>
      <c r="L87" s="49" t="e">
        <f>K87/K12</f>
        <v>#DIV/0!</v>
      </c>
      <c r="M87" s="24">
        <v>0</v>
      </c>
      <c r="N87" s="49" t="e">
        <f>M87/M12</f>
        <v>#DIV/0!</v>
      </c>
      <c r="O87" s="24">
        <v>0</v>
      </c>
      <c r="P87" s="49" t="e">
        <f>O87/O12</f>
        <v>#DIV/0!</v>
      </c>
      <c r="Q87" s="24">
        <v>0</v>
      </c>
      <c r="R87" s="49" t="e">
        <f>Q87/Q12</f>
        <v>#DIV/0!</v>
      </c>
      <c r="S87" s="24">
        <v>0</v>
      </c>
      <c r="T87" s="49" t="e">
        <f>S87/S12</f>
        <v>#DIV/0!</v>
      </c>
      <c r="U87" s="24">
        <v>0</v>
      </c>
      <c r="V87" s="49" t="e">
        <f>U87/U12</f>
        <v>#DIV/0!</v>
      </c>
      <c r="W87" s="24">
        <v>0</v>
      </c>
      <c r="X87" s="49" t="e">
        <f>W87/W12</f>
        <v>#DIV/0!</v>
      </c>
      <c r="Y87" s="24">
        <v>0</v>
      </c>
      <c r="Z87" s="179" t="e">
        <f>Y87/Y12</f>
        <v>#DIV/0!</v>
      </c>
      <c r="AA87" s="286">
        <f t="shared" si="58"/>
        <v>0</v>
      </c>
      <c r="AB87" s="214" t="e">
        <f>AA87/AA12</f>
        <v>#DIV/0!</v>
      </c>
      <c r="AC87" s="205">
        <f t="shared" si="56"/>
        <v>0</v>
      </c>
      <c r="AD87" s="214" t="e">
        <f>AC87/AC12</f>
        <v>#DIV/0!</v>
      </c>
      <c r="AE87" s="75"/>
      <c r="AF87" s="169"/>
      <c r="AG87" s="75"/>
      <c r="AH87" s="205">
        <v>2377.6</v>
      </c>
      <c r="AI87" s="255">
        <f>AH87/AH12</f>
        <v>2.9526961949946856E-3</v>
      </c>
      <c r="AJ87" s="293">
        <f t="shared" si="54"/>
        <v>2377.6</v>
      </c>
      <c r="AK87" s="53">
        <f t="shared" si="55"/>
        <v>0</v>
      </c>
      <c r="AL87" s="53">
        <f t="shared" si="57"/>
        <v>0</v>
      </c>
      <c r="AM87" s="53">
        <f t="shared" si="59"/>
        <v>0</v>
      </c>
      <c r="AN87" s="53" t="e">
        <f>#REF!-AM87</f>
        <v>#REF!</v>
      </c>
      <c r="AO87" s="53"/>
    </row>
    <row r="88" spans="1:41">
      <c r="A88" s="99">
        <v>6212</v>
      </c>
      <c r="B88" s="112" t="s">
        <v>33</v>
      </c>
      <c r="C88" s="128"/>
      <c r="D88" s="49" t="e">
        <f>C88/C12</f>
        <v>#DIV/0!</v>
      </c>
      <c r="F88" s="49" t="e">
        <f>E88/E12</f>
        <v>#DIV/0!</v>
      </c>
      <c r="H88" s="49" t="e">
        <f>G88/G12</f>
        <v>#DIV/0!</v>
      </c>
      <c r="I88" s="128"/>
      <c r="J88" s="49" t="e">
        <f>I88/I12</f>
        <v>#DIV/0!</v>
      </c>
      <c r="L88" s="49" t="e">
        <f>K88/K12</f>
        <v>#DIV/0!</v>
      </c>
      <c r="M88" s="128">
        <v>0</v>
      </c>
      <c r="N88" s="49" t="e">
        <f>M88/M12</f>
        <v>#DIV/0!</v>
      </c>
      <c r="O88" s="128">
        <v>0</v>
      </c>
      <c r="P88" s="49" t="e">
        <f>O88/O12</f>
        <v>#DIV/0!</v>
      </c>
      <c r="Q88" s="128">
        <v>0</v>
      </c>
      <c r="R88" s="49" t="e">
        <f>Q88/Q12</f>
        <v>#DIV/0!</v>
      </c>
      <c r="S88" s="128">
        <v>0</v>
      </c>
      <c r="T88" s="49" t="e">
        <f>S88/S12</f>
        <v>#DIV/0!</v>
      </c>
      <c r="U88" s="128">
        <v>0</v>
      </c>
      <c r="V88" s="49" t="e">
        <f>U88/U12</f>
        <v>#DIV/0!</v>
      </c>
      <c r="W88" s="128">
        <v>0</v>
      </c>
      <c r="X88" s="49" t="e">
        <f>W88/W12</f>
        <v>#DIV/0!</v>
      </c>
      <c r="Y88" s="128">
        <v>0</v>
      </c>
      <c r="Z88" s="179" t="e">
        <f>Y88/Y12</f>
        <v>#DIV/0!</v>
      </c>
      <c r="AA88" s="286">
        <f t="shared" si="58"/>
        <v>0</v>
      </c>
      <c r="AB88" s="214" t="e">
        <f>AA88/AA12</f>
        <v>#DIV/0!</v>
      </c>
      <c r="AC88" s="207">
        <f t="shared" si="56"/>
        <v>0</v>
      </c>
      <c r="AD88" s="214" t="e">
        <f>AC88/AC12</f>
        <v>#DIV/0!</v>
      </c>
      <c r="AE88" s="75"/>
      <c r="AF88" s="169"/>
      <c r="AG88" s="75"/>
      <c r="AH88" s="207">
        <v>0</v>
      </c>
      <c r="AI88" s="255">
        <f>AH88/AH12</f>
        <v>0</v>
      </c>
      <c r="AJ88" s="293">
        <f t="shared" si="54"/>
        <v>0</v>
      </c>
      <c r="AK88" s="53">
        <f t="shared" si="55"/>
        <v>0</v>
      </c>
      <c r="AL88" s="53">
        <f t="shared" si="57"/>
        <v>0</v>
      </c>
      <c r="AM88" s="53">
        <f t="shared" si="59"/>
        <v>0</v>
      </c>
      <c r="AN88" s="53" t="e">
        <f>#REF!-AM88</f>
        <v>#REF!</v>
      </c>
      <c r="AO88" s="53"/>
    </row>
    <row r="89" spans="1:41">
      <c r="A89" s="99">
        <v>6213</v>
      </c>
      <c r="B89" s="112" t="s">
        <v>34</v>
      </c>
      <c r="C89" s="128"/>
      <c r="D89" s="49" t="e">
        <f>C89/C12</f>
        <v>#DIV/0!</v>
      </c>
      <c r="F89" s="49" t="e">
        <f>E89/E12</f>
        <v>#DIV/0!</v>
      </c>
      <c r="H89" s="49" t="e">
        <f>G89/G12</f>
        <v>#DIV/0!</v>
      </c>
      <c r="I89" s="128"/>
      <c r="J89" s="49" t="e">
        <f>I89/I12</f>
        <v>#DIV/0!</v>
      </c>
      <c r="L89" s="49" t="e">
        <f>K89/K12</f>
        <v>#DIV/0!</v>
      </c>
      <c r="M89" s="128"/>
      <c r="N89" s="49" t="e">
        <f>M89/M12</f>
        <v>#DIV/0!</v>
      </c>
      <c r="O89" s="128"/>
      <c r="P89" s="49" t="e">
        <f>O89/O12</f>
        <v>#DIV/0!</v>
      </c>
      <c r="Q89" s="128"/>
      <c r="R89" s="49" t="e">
        <f>Q89/Q12</f>
        <v>#DIV/0!</v>
      </c>
      <c r="S89" s="128"/>
      <c r="T89" s="49" t="e">
        <f>S89/S12</f>
        <v>#DIV/0!</v>
      </c>
      <c r="V89" s="49" t="e">
        <f>U89/U12</f>
        <v>#DIV/0!</v>
      </c>
      <c r="W89" s="128"/>
      <c r="X89" s="49" t="e">
        <f>W89/W12</f>
        <v>#DIV/0!</v>
      </c>
      <c r="Z89" s="179" t="e">
        <f>Y89/Y12</f>
        <v>#DIV/0!</v>
      </c>
      <c r="AA89" s="286">
        <f t="shared" si="58"/>
        <v>0</v>
      </c>
      <c r="AB89" s="214" t="e">
        <f>AA89/AA12</f>
        <v>#DIV/0!</v>
      </c>
      <c r="AC89" s="207">
        <f t="shared" si="56"/>
        <v>0</v>
      </c>
      <c r="AD89" s="214" t="e">
        <f>AC89/AC12</f>
        <v>#DIV/0!</v>
      </c>
      <c r="AE89" s="75"/>
      <c r="AF89" s="169"/>
      <c r="AG89" s="75"/>
      <c r="AH89" s="207">
        <v>4000</v>
      </c>
      <c r="AI89" s="255">
        <f>AH89/AH12</f>
        <v>4.967523881215824E-3</v>
      </c>
      <c r="AJ89" s="293">
        <f t="shared" si="54"/>
        <v>4000</v>
      </c>
      <c r="AK89" s="53">
        <f t="shared" si="55"/>
        <v>0</v>
      </c>
      <c r="AL89" s="53">
        <f t="shared" si="57"/>
        <v>0</v>
      </c>
      <c r="AM89" s="53">
        <f t="shared" si="59"/>
        <v>0</v>
      </c>
      <c r="AN89" s="53" t="e">
        <f>#REF!-AM89</f>
        <v>#REF!</v>
      </c>
      <c r="AO89" s="53"/>
    </row>
    <row r="90" spans="1:41">
      <c r="A90" s="2">
        <v>6214</v>
      </c>
      <c r="B90" s="112" t="s">
        <v>35</v>
      </c>
      <c r="C90" s="128">
        <f>C77*20%</f>
        <v>0</v>
      </c>
      <c r="D90" s="49" t="e">
        <f>C90/C12</f>
        <v>#DIV/0!</v>
      </c>
      <c r="E90" s="128">
        <f>E77*20%</f>
        <v>0</v>
      </c>
      <c r="F90" s="49" t="e">
        <f>E90/E12</f>
        <v>#DIV/0!</v>
      </c>
      <c r="H90" s="49" t="e">
        <f>G90/G12</f>
        <v>#DIV/0!</v>
      </c>
      <c r="I90" s="128"/>
      <c r="J90" s="49" t="e">
        <f>I90/I12</f>
        <v>#DIV/0!</v>
      </c>
      <c r="L90" s="49" t="e">
        <f>K90/K12</f>
        <v>#DIV/0!</v>
      </c>
      <c r="M90" s="128"/>
      <c r="N90" s="49" t="e">
        <f>M90/M12</f>
        <v>#DIV/0!</v>
      </c>
      <c r="O90" s="128">
        <f>O77*20%</f>
        <v>0</v>
      </c>
      <c r="P90" s="49" t="e">
        <f>O90/O12</f>
        <v>#DIV/0!</v>
      </c>
      <c r="Q90" s="128"/>
      <c r="R90" s="49" t="e">
        <f>Q90/Q12</f>
        <v>#DIV/0!</v>
      </c>
      <c r="S90" s="128"/>
      <c r="T90" s="49" t="e">
        <f>S90/S12</f>
        <v>#DIV/0!</v>
      </c>
      <c r="V90" s="49" t="e">
        <f>U90/U12</f>
        <v>#DIV/0!</v>
      </c>
      <c r="W90" s="128"/>
      <c r="X90" s="49" t="e">
        <f>W90/W12</f>
        <v>#DIV/0!</v>
      </c>
      <c r="Z90" s="179" t="e">
        <f>Y90/Y12</f>
        <v>#DIV/0!</v>
      </c>
      <c r="AA90" s="286">
        <f t="shared" si="58"/>
        <v>0</v>
      </c>
      <c r="AB90" s="214" t="e">
        <f>AA90/AA12</f>
        <v>#DIV/0!</v>
      </c>
      <c r="AC90" s="207">
        <f t="shared" si="56"/>
        <v>0</v>
      </c>
      <c r="AD90" s="214" t="e">
        <f>AC90/AC12</f>
        <v>#DIV/0!</v>
      </c>
      <c r="AE90" s="75"/>
      <c r="AF90" s="169"/>
      <c r="AG90" s="75"/>
      <c r="AH90" s="207">
        <v>8819.9520000000011</v>
      </c>
      <c r="AI90" s="255">
        <f>AH90/AH12</f>
        <v>1.0953330547794318E-2</v>
      </c>
      <c r="AJ90" s="293">
        <f t="shared" si="54"/>
        <v>8819.9520000000011</v>
      </c>
      <c r="AK90" s="53">
        <f t="shared" si="55"/>
        <v>0</v>
      </c>
      <c r="AL90" s="53">
        <f t="shared" si="57"/>
        <v>0</v>
      </c>
      <c r="AM90" s="53">
        <f t="shared" si="59"/>
        <v>0</v>
      </c>
      <c r="AN90" s="53" t="e">
        <f>#REF!-AM90</f>
        <v>#REF!</v>
      </c>
      <c r="AO90" s="53"/>
    </row>
    <row r="91" spans="1:41">
      <c r="A91" s="2">
        <v>6215</v>
      </c>
      <c r="B91" s="112" t="s">
        <v>36</v>
      </c>
      <c r="C91" s="128"/>
      <c r="D91" s="49" t="e">
        <f>C91/C12</f>
        <v>#DIV/0!</v>
      </c>
      <c r="F91" s="49" t="e">
        <f>E91/E12</f>
        <v>#DIV/0!</v>
      </c>
      <c r="H91" s="49" t="e">
        <f>G91/G12</f>
        <v>#DIV/0!</v>
      </c>
      <c r="I91" s="128"/>
      <c r="J91" s="49" t="e">
        <f>I91/I12</f>
        <v>#DIV/0!</v>
      </c>
      <c r="L91" s="49" t="e">
        <f>K91/K12</f>
        <v>#DIV/0!</v>
      </c>
      <c r="M91" s="128"/>
      <c r="N91" s="49" t="e">
        <f>M91/M12</f>
        <v>#DIV/0!</v>
      </c>
      <c r="O91" s="128"/>
      <c r="P91" s="49" t="e">
        <f>O91/O12</f>
        <v>#DIV/0!</v>
      </c>
      <c r="Q91" s="128"/>
      <c r="R91" s="49" t="e">
        <f>Q91/Q12</f>
        <v>#DIV/0!</v>
      </c>
      <c r="S91" s="128"/>
      <c r="T91" s="49" t="e">
        <f>S91/S12</f>
        <v>#DIV/0!</v>
      </c>
      <c r="V91" s="49" t="e">
        <f>U91/U12</f>
        <v>#DIV/0!</v>
      </c>
      <c r="W91" s="128"/>
      <c r="X91" s="49" t="e">
        <f>W91/W12</f>
        <v>#DIV/0!</v>
      </c>
      <c r="Z91" s="179" t="e">
        <f>Y91/Y12</f>
        <v>#DIV/0!</v>
      </c>
      <c r="AA91" s="286">
        <f t="shared" si="58"/>
        <v>0</v>
      </c>
      <c r="AB91" s="214" t="e">
        <f>AA91/AA12</f>
        <v>#DIV/0!</v>
      </c>
      <c r="AC91" s="205">
        <f t="shared" si="56"/>
        <v>0</v>
      </c>
      <c r="AD91" s="214" t="e">
        <f>AC91/AC12</f>
        <v>#DIV/0!</v>
      </c>
      <c r="AE91" s="75"/>
      <c r="AF91" s="169"/>
      <c r="AG91" s="75"/>
      <c r="AH91" s="205">
        <v>3581.308</v>
      </c>
      <c r="AI91" s="255">
        <f>AH91/AH12</f>
        <v>4.4475582539973196E-3</v>
      </c>
      <c r="AJ91" s="293">
        <f t="shared" si="54"/>
        <v>3581.308</v>
      </c>
      <c r="AK91" s="53">
        <f t="shared" si="55"/>
        <v>0</v>
      </c>
      <c r="AL91" s="53">
        <f t="shared" si="57"/>
        <v>0</v>
      </c>
      <c r="AM91" s="53">
        <f t="shared" si="59"/>
        <v>0</v>
      </c>
      <c r="AN91" s="53" t="e">
        <f>#REF!-AM91</f>
        <v>#REF!</v>
      </c>
      <c r="AO91" s="53"/>
    </row>
    <row r="92" spans="1:41">
      <c r="A92" s="2">
        <v>6216</v>
      </c>
      <c r="B92" s="112" t="s">
        <v>111</v>
      </c>
      <c r="C92" s="128"/>
      <c r="D92" s="49" t="e">
        <f>C92/C12</f>
        <v>#DIV/0!</v>
      </c>
      <c r="F92" s="49" t="e">
        <f>E92/E12</f>
        <v>#DIV/0!</v>
      </c>
      <c r="H92" s="49" t="e">
        <f>G92/G12</f>
        <v>#DIV/0!</v>
      </c>
      <c r="I92" s="128"/>
      <c r="J92" s="49" t="e">
        <f>I92/I12</f>
        <v>#DIV/0!</v>
      </c>
      <c r="L92" s="49" t="e">
        <f>K92/K12</f>
        <v>#DIV/0!</v>
      </c>
      <c r="M92" s="128"/>
      <c r="N92" s="49" t="e">
        <f>M92/M12</f>
        <v>#DIV/0!</v>
      </c>
      <c r="O92" s="128"/>
      <c r="P92" s="49" t="e">
        <f>O92/O12</f>
        <v>#DIV/0!</v>
      </c>
      <c r="Q92" s="128"/>
      <c r="R92" s="49" t="e">
        <f>Q92/Q12</f>
        <v>#DIV/0!</v>
      </c>
      <c r="S92" s="128"/>
      <c r="T92" s="49" t="e">
        <f>S92/S12</f>
        <v>#DIV/0!</v>
      </c>
      <c r="V92" s="49" t="e">
        <f>U92/U12</f>
        <v>#DIV/0!</v>
      </c>
      <c r="W92" s="128"/>
      <c r="X92" s="49" t="e">
        <f>W92/W12</f>
        <v>#DIV/0!</v>
      </c>
      <c r="Z92" s="179" t="e">
        <f>Y92/Y12</f>
        <v>#DIV/0!</v>
      </c>
      <c r="AA92" s="286">
        <f t="shared" si="58"/>
        <v>0</v>
      </c>
      <c r="AB92" s="214" t="e">
        <f>AA92/AA12</f>
        <v>#DIV/0!</v>
      </c>
      <c r="AC92" s="205">
        <f t="shared" si="56"/>
        <v>0</v>
      </c>
      <c r="AD92" s="214" t="e">
        <f>AC92/AC12</f>
        <v>#DIV/0!</v>
      </c>
      <c r="AE92" s="75"/>
      <c r="AF92" s="169"/>
      <c r="AG92" s="75"/>
      <c r="AH92" s="205">
        <v>0</v>
      </c>
      <c r="AI92" s="255">
        <f>AH92/AH12</f>
        <v>0</v>
      </c>
      <c r="AJ92" s="293">
        <f t="shared" si="54"/>
        <v>0</v>
      </c>
      <c r="AK92" s="53">
        <f t="shared" si="55"/>
        <v>0</v>
      </c>
      <c r="AL92" s="53">
        <f t="shared" si="57"/>
        <v>0</v>
      </c>
      <c r="AM92" s="53">
        <f t="shared" si="59"/>
        <v>0</v>
      </c>
      <c r="AN92" s="53" t="e">
        <f>#REF!-AM92</f>
        <v>#REF!</v>
      </c>
      <c r="AO92" s="53"/>
    </row>
    <row r="93" spans="1:41" ht="15.75" thickBot="1">
      <c r="A93" s="4">
        <v>6299</v>
      </c>
      <c r="B93" s="113" t="s">
        <v>100</v>
      </c>
      <c r="C93" s="29"/>
      <c r="D93" s="66" t="e">
        <f>C93/C12</f>
        <v>#DIV/0!</v>
      </c>
      <c r="E93" s="58"/>
      <c r="F93" s="66" t="e">
        <f>E93/E12</f>
        <v>#DIV/0!</v>
      </c>
      <c r="G93" s="85">
        <f>SUM(G77:G92)</f>
        <v>0</v>
      </c>
      <c r="H93" s="66" t="e">
        <f>G93/G12</f>
        <v>#DIV/0!</v>
      </c>
      <c r="I93" s="304">
        <f>SUM(I77:I92)</f>
        <v>0</v>
      </c>
      <c r="J93" s="66" t="e">
        <f>I93/I12</f>
        <v>#DIV/0!</v>
      </c>
      <c r="K93" s="58">
        <f>SUM(K77:K92)</f>
        <v>0</v>
      </c>
      <c r="L93" s="66" t="e">
        <f>K93/K12</f>
        <v>#DIV/0!</v>
      </c>
      <c r="M93" s="21">
        <f>SUM(M77:M92)</f>
        <v>0</v>
      </c>
      <c r="N93" s="66" t="e">
        <f>M93/M12</f>
        <v>#DIV/0!</v>
      </c>
      <c r="O93" s="21">
        <f>SUM(O77:O92)</f>
        <v>0</v>
      </c>
      <c r="P93" s="66" t="e">
        <f>O93/O12</f>
        <v>#DIV/0!</v>
      </c>
      <c r="Q93" s="21">
        <f>SUM(Q77:Q92)</f>
        <v>0</v>
      </c>
      <c r="R93" s="66" t="e">
        <f>Q93/Q12</f>
        <v>#DIV/0!</v>
      </c>
      <c r="S93" s="21">
        <f>SUM(S77:S92)</f>
        <v>0</v>
      </c>
      <c r="T93" s="66" t="e">
        <f>S93/S12</f>
        <v>#DIV/0!</v>
      </c>
      <c r="U93" s="58">
        <f>SUM(U77:U92)</f>
        <v>0</v>
      </c>
      <c r="V93" s="66" t="e">
        <f>U93/U12</f>
        <v>#DIV/0!</v>
      </c>
      <c r="W93" s="40">
        <f>SUM(W77:W92)</f>
        <v>0</v>
      </c>
      <c r="X93" s="66" t="e">
        <f>W93/W12</f>
        <v>#DIV/0!</v>
      </c>
      <c r="Y93" s="58">
        <f>SUM(Y77:Y92)</f>
        <v>0</v>
      </c>
      <c r="Z93" s="224" t="e">
        <f>Y93/Y12</f>
        <v>#DIV/0!</v>
      </c>
      <c r="AA93" s="211">
        <f>SUM(AA77:AA92)</f>
        <v>0</v>
      </c>
      <c r="AB93" s="245" t="e">
        <f>AA93/AA12</f>
        <v>#DIV/0!</v>
      </c>
      <c r="AC93" s="210">
        <f t="shared" si="56"/>
        <v>0</v>
      </c>
      <c r="AD93" s="245" t="e">
        <f>AC93/AC12</f>
        <v>#DIV/0!</v>
      </c>
      <c r="AE93" s="75"/>
      <c r="AF93" s="248"/>
      <c r="AG93" s="75" t="s">
        <v>204</v>
      </c>
      <c r="AH93" s="210">
        <f>SUM(AH77:AH92)</f>
        <v>150259.742</v>
      </c>
      <c r="AI93" s="259">
        <f>AH93/AH12</f>
        <v>0.18660471419258207</v>
      </c>
      <c r="AJ93" s="297">
        <f t="shared" si="54"/>
        <v>150259.742</v>
      </c>
      <c r="AK93" s="53">
        <f t="shared" si="55"/>
        <v>0</v>
      </c>
      <c r="AL93" s="53">
        <f t="shared" si="57"/>
        <v>0</v>
      </c>
      <c r="AM93" s="53">
        <f t="shared" si="59"/>
        <v>0</v>
      </c>
      <c r="AN93" s="53" t="e">
        <f>#REF!-AM93</f>
        <v>#REF!</v>
      </c>
      <c r="AO93" s="53"/>
    </row>
    <row r="94" spans="1:41" ht="15.75" thickTop="1">
      <c r="A94" s="99">
        <v>6301</v>
      </c>
      <c r="B94" s="115" t="s">
        <v>37</v>
      </c>
      <c r="C94" s="181"/>
      <c r="D94" s="182" t="e">
        <f>C94/C12</f>
        <v>#DIV/0!</v>
      </c>
      <c r="E94" s="190"/>
      <c r="F94" s="191" t="e">
        <f>E94/E12</f>
        <v>#DIV/0!</v>
      </c>
      <c r="G94" s="181"/>
      <c r="H94" s="182" t="e">
        <f>G94/G12</f>
        <v>#DIV/0!</v>
      </c>
      <c r="I94" s="192"/>
      <c r="J94" s="191" t="e">
        <f>I94/I12</f>
        <v>#DIV/0!</v>
      </c>
      <c r="K94" s="187">
        <v>0</v>
      </c>
      <c r="L94" s="182" t="e">
        <f>K94/K12</f>
        <v>#DIV/0!</v>
      </c>
      <c r="M94" s="187">
        <v>0</v>
      </c>
      <c r="N94" s="191" t="e">
        <f>M94/M12</f>
        <v>#DIV/0!</v>
      </c>
      <c r="O94" s="187">
        <v>0</v>
      </c>
      <c r="P94" s="182" t="e">
        <f>O94/O12</f>
        <v>#DIV/0!</v>
      </c>
      <c r="Q94" s="187">
        <v>0</v>
      </c>
      <c r="R94" s="191" t="e">
        <f>Q94/Q12</f>
        <v>#DIV/0!</v>
      </c>
      <c r="S94" s="187">
        <v>0</v>
      </c>
      <c r="T94" s="182" t="e">
        <f>S94/S12</f>
        <v>#DIV/0!</v>
      </c>
      <c r="U94" s="187">
        <v>0</v>
      </c>
      <c r="V94" s="191" t="e">
        <f>U94/U12</f>
        <v>#DIV/0!</v>
      </c>
      <c r="W94" s="187">
        <v>0</v>
      </c>
      <c r="X94" s="182" t="e">
        <f>W94/W12</f>
        <v>#DIV/0!</v>
      </c>
      <c r="Y94" s="187">
        <v>0</v>
      </c>
      <c r="Z94" s="191" t="e">
        <f>Y94/Y12</f>
        <v>#DIV/0!</v>
      </c>
      <c r="AA94" s="286">
        <f t="shared" ref="AA94:AA105" si="60">C94+E94+G94+I94+K94+M94+O94+Q94+S94+U94+W94+Y94</f>
        <v>0</v>
      </c>
      <c r="AB94" s="214" t="e">
        <f>AA94/AA12</f>
        <v>#DIV/0!</v>
      </c>
      <c r="AC94" s="209">
        <f t="shared" si="56"/>
        <v>0</v>
      </c>
      <c r="AD94" s="214" t="e">
        <f>AC94/AC12</f>
        <v>#DIV/0!</v>
      </c>
      <c r="AE94" s="75"/>
      <c r="AF94" s="169"/>
      <c r="AG94" s="75"/>
      <c r="AH94" s="209"/>
      <c r="AI94" s="255">
        <f>AH94/AH12</f>
        <v>0</v>
      </c>
      <c r="AJ94" s="293">
        <f t="shared" si="54"/>
        <v>0</v>
      </c>
      <c r="AK94" s="53">
        <f t="shared" si="55"/>
        <v>0</v>
      </c>
      <c r="AL94" s="53">
        <f t="shared" si="57"/>
        <v>0</v>
      </c>
      <c r="AM94" s="53">
        <f t="shared" si="59"/>
        <v>0</v>
      </c>
      <c r="AN94" s="53" t="e">
        <f>#REF!-AM94</f>
        <v>#REF!</v>
      </c>
      <c r="AO94" s="53"/>
    </row>
    <row r="95" spans="1:41">
      <c r="A95" s="99">
        <v>6302</v>
      </c>
      <c r="B95" s="115" t="s">
        <v>38</v>
      </c>
      <c r="C95" s="183"/>
      <c r="D95" s="49" t="e">
        <f>C95/C12</f>
        <v>#DIV/0!</v>
      </c>
      <c r="E95" s="178"/>
      <c r="F95" s="179" t="e">
        <f>E95/E12</f>
        <v>#DIV/0!</v>
      </c>
      <c r="G95" s="183"/>
      <c r="H95" s="49" t="e">
        <f>G95/G12</f>
        <v>#DIV/0!</v>
      </c>
      <c r="I95" s="180"/>
      <c r="J95" s="179" t="e">
        <f>I95/I12</f>
        <v>#DIV/0!</v>
      </c>
      <c r="K95" s="188">
        <v>0</v>
      </c>
      <c r="L95" s="49" t="e">
        <f>K95/K12</f>
        <v>#DIV/0!</v>
      </c>
      <c r="M95" s="188">
        <v>0</v>
      </c>
      <c r="N95" s="179" t="e">
        <f>M95/M12</f>
        <v>#DIV/0!</v>
      </c>
      <c r="O95" s="188">
        <v>0</v>
      </c>
      <c r="P95" s="49" t="e">
        <f>O95/O12</f>
        <v>#DIV/0!</v>
      </c>
      <c r="Q95" s="188">
        <v>0</v>
      </c>
      <c r="R95" s="179" t="e">
        <f>Q95/Q12</f>
        <v>#DIV/0!</v>
      </c>
      <c r="S95" s="188">
        <v>0</v>
      </c>
      <c r="T95" s="49" t="e">
        <f>S95/S12</f>
        <v>#DIV/0!</v>
      </c>
      <c r="U95" s="188">
        <v>0</v>
      </c>
      <c r="V95" s="179" t="e">
        <f>U95/U12</f>
        <v>#DIV/0!</v>
      </c>
      <c r="W95" s="188">
        <v>0</v>
      </c>
      <c r="X95" s="49" t="e">
        <f>W95/W12</f>
        <v>#DIV/0!</v>
      </c>
      <c r="Y95" s="188">
        <v>0</v>
      </c>
      <c r="Z95" s="179" t="e">
        <f>Y95/Y12</f>
        <v>#DIV/0!</v>
      </c>
      <c r="AA95" s="286">
        <f t="shared" si="60"/>
        <v>0</v>
      </c>
      <c r="AB95" s="214" t="e">
        <f>AA95/AA12</f>
        <v>#DIV/0!</v>
      </c>
      <c r="AC95" s="209">
        <f t="shared" si="56"/>
        <v>0</v>
      </c>
      <c r="AD95" s="214" t="e">
        <f>AC95/AC12</f>
        <v>#DIV/0!</v>
      </c>
      <c r="AE95" s="75"/>
      <c r="AF95" s="169"/>
      <c r="AG95" s="75"/>
      <c r="AH95" s="209"/>
      <c r="AI95" s="255">
        <f>AH95/AH12</f>
        <v>0</v>
      </c>
      <c r="AJ95" s="293">
        <f t="shared" si="54"/>
        <v>0</v>
      </c>
      <c r="AK95" s="53">
        <f t="shared" si="55"/>
        <v>0</v>
      </c>
      <c r="AL95" s="53">
        <f t="shared" si="57"/>
        <v>0</v>
      </c>
      <c r="AM95" s="53">
        <f t="shared" si="59"/>
        <v>0</v>
      </c>
      <c r="AN95" s="53" t="e">
        <f>#REF!-AM95</f>
        <v>#REF!</v>
      </c>
      <c r="AO95" s="53"/>
    </row>
    <row r="96" spans="1:41">
      <c r="A96" s="99">
        <v>6303</v>
      </c>
      <c r="B96" s="2" t="s">
        <v>117</v>
      </c>
      <c r="C96" s="183"/>
      <c r="D96" s="49" t="e">
        <f>C96/C12</f>
        <v>#DIV/0!</v>
      </c>
      <c r="E96" s="178"/>
      <c r="F96" s="179" t="e">
        <f>E96/E12</f>
        <v>#DIV/0!</v>
      </c>
      <c r="G96" s="183"/>
      <c r="H96" s="49" t="e">
        <f>G96/G12</f>
        <v>#DIV/0!</v>
      </c>
      <c r="I96" s="180"/>
      <c r="J96" s="179" t="e">
        <f>I96/I12</f>
        <v>#DIV/0!</v>
      </c>
      <c r="K96" s="188">
        <v>0</v>
      </c>
      <c r="L96" s="49" t="e">
        <f>K96/K12</f>
        <v>#DIV/0!</v>
      </c>
      <c r="M96" s="188">
        <v>0</v>
      </c>
      <c r="N96" s="179" t="e">
        <f>M96/M12</f>
        <v>#DIV/0!</v>
      </c>
      <c r="O96" s="188">
        <v>0</v>
      </c>
      <c r="P96" s="49" t="e">
        <f>O96/O12</f>
        <v>#DIV/0!</v>
      </c>
      <c r="Q96" s="188">
        <v>0</v>
      </c>
      <c r="R96" s="179" t="e">
        <f>Q96/Q12</f>
        <v>#DIV/0!</v>
      </c>
      <c r="S96" s="188">
        <v>0</v>
      </c>
      <c r="T96" s="49" t="e">
        <f>S96/S12</f>
        <v>#DIV/0!</v>
      </c>
      <c r="U96" s="188">
        <v>0</v>
      </c>
      <c r="V96" s="179" t="e">
        <f>U96/U12</f>
        <v>#DIV/0!</v>
      </c>
      <c r="W96" s="188">
        <v>0</v>
      </c>
      <c r="X96" s="49" t="e">
        <f>W96/W12</f>
        <v>#DIV/0!</v>
      </c>
      <c r="Y96" s="188">
        <v>0</v>
      </c>
      <c r="Z96" s="179" t="e">
        <f>Y96/Y12</f>
        <v>#DIV/0!</v>
      </c>
      <c r="AA96" s="286">
        <f t="shared" si="60"/>
        <v>0</v>
      </c>
      <c r="AB96" s="214" t="e">
        <f>AA96/AA12</f>
        <v>#DIV/0!</v>
      </c>
      <c r="AC96" s="209">
        <f t="shared" si="56"/>
        <v>0</v>
      </c>
      <c r="AD96" s="214" t="e">
        <f>AC96/AC12</f>
        <v>#DIV/0!</v>
      </c>
      <c r="AE96" s="75"/>
      <c r="AF96" s="169"/>
      <c r="AG96" s="75"/>
      <c r="AH96" s="209"/>
      <c r="AI96" s="255">
        <f>AH96/AH12</f>
        <v>0</v>
      </c>
      <c r="AJ96" s="293">
        <f t="shared" si="54"/>
        <v>0</v>
      </c>
      <c r="AK96" s="53">
        <f t="shared" si="55"/>
        <v>0</v>
      </c>
      <c r="AL96" s="53">
        <f t="shared" si="57"/>
        <v>0</v>
      </c>
      <c r="AM96" s="53">
        <f t="shared" si="59"/>
        <v>0</v>
      </c>
      <c r="AN96" s="53" t="e">
        <f>#REF!-AM96</f>
        <v>#REF!</v>
      </c>
      <c r="AO96" s="53"/>
    </row>
    <row r="97" spans="1:41">
      <c r="A97" s="99">
        <v>6304</v>
      </c>
      <c r="B97" s="2" t="s">
        <v>39</v>
      </c>
      <c r="C97" s="183"/>
      <c r="D97" s="49" t="e">
        <f>C97/C12</f>
        <v>#DIV/0!</v>
      </c>
      <c r="E97" s="183"/>
      <c r="F97" s="179" t="e">
        <f>E97/E12</f>
        <v>#DIV/0!</v>
      </c>
      <c r="G97" s="183"/>
      <c r="H97" s="49" t="e">
        <f>G97/G12</f>
        <v>#DIV/0!</v>
      </c>
      <c r="I97" s="183"/>
      <c r="J97" s="179" t="e">
        <f>I97/I12</f>
        <v>#DIV/0!</v>
      </c>
      <c r="K97" s="183">
        <v>0</v>
      </c>
      <c r="L97" s="49" t="e">
        <f>K97/K12</f>
        <v>#DIV/0!</v>
      </c>
      <c r="M97" s="183">
        <v>0</v>
      </c>
      <c r="N97" s="179" t="e">
        <f>M97/M12</f>
        <v>#DIV/0!</v>
      </c>
      <c r="O97" s="183">
        <v>0</v>
      </c>
      <c r="P97" s="49" t="e">
        <f>O97/O12</f>
        <v>#DIV/0!</v>
      </c>
      <c r="Q97" s="183">
        <v>0</v>
      </c>
      <c r="R97" s="179" t="e">
        <f>Q97/Q12</f>
        <v>#DIV/0!</v>
      </c>
      <c r="S97" s="183">
        <v>0</v>
      </c>
      <c r="T97" s="49" t="e">
        <f>S97/S12</f>
        <v>#DIV/0!</v>
      </c>
      <c r="U97" s="183">
        <v>0</v>
      </c>
      <c r="V97" s="179" t="e">
        <f>U97/U12</f>
        <v>#DIV/0!</v>
      </c>
      <c r="W97" s="183">
        <v>0</v>
      </c>
      <c r="X97" s="49" t="e">
        <f>W97/W12</f>
        <v>#DIV/0!</v>
      </c>
      <c r="Y97" s="183">
        <v>0</v>
      </c>
      <c r="Z97" s="179" t="e">
        <f>Y97/Y12</f>
        <v>#DIV/0!</v>
      </c>
      <c r="AA97" s="286">
        <f t="shared" si="60"/>
        <v>0</v>
      </c>
      <c r="AB97" s="214" t="e">
        <f>AA97/AA12</f>
        <v>#DIV/0!</v>
      </c>
      <c r="AC97" s="209">
        <f t="shared" si="56"/>
        <v>0</v>
      </c>
      <c r="AD97" s="214" t="e">
        <f>AC97/AC12</f>
        <v>#DIV/0!</v>
      </c>
      <c r="AE97" s="75"/>
      <c r="AF97" s="169"/>
      <c r="AG97" s="75"/>
      <c r="AH97" s="209">
        <v>9593.5680851063844</v>
      </c>
      <c r="AI97" s="255">
        <f>AH97/AH12</f>
        <v>1.1914069642208982E-2</v>
      </c>
      <c r="AJ97" s="293">
        <f t="shared" si="54"/>
        <v>9593.5680851063844</v>
      </c>
      <c r="AK97" s="53">
        <f t="shared" si="55"/>
        <v>0</v>
      </c>
      <c r="AL97" s="53">
        <f t="shared" si="57"/>
        <v>0</v>
      </c>
      <c r="AM97" s="53">
        <f t="shared" si="59"/>
        <v>0</v>
      </c>
      <c r="AN97" s="53" t="e">
        <f>#REF!-AM97</f>
        <v>#REF!</v>
      </c>
      <c r="AO97" s="53"/>
    </row>
    <row r="98" spans="1:41">
      <c r="A98" s="99">
        <v>6305</v>
      </c>
      <c r="B98" s="2" t="s">
        <v>40</v>
      </c>
      <c r="C98" s="183"/>
      <c r="D98" s="49" t="e">
        <f>C98/C12</f>
        <v>#DIV/0!</v>
      </c>
      <c r="E98" s="178"/>
      <c r="F98" s="179" t="e">
        <f>E98/E12</f>
        <v>#DIV/0!</v>
      </c>
      <c r="G98" s="183"/>
      <c r="H98" s="49" t="e">
        <f>G98/G12</f>
        <v>#DIV/0!</v>
      </c>
      <c r="I98" s="180"/>
      <c r="J98" s="179" t="e">
        <f>I98/I12</f>
        <v>#DIV/0!</v>
      </c>
      <c r="K98" s="188">
        <v>0</v>
      </c>
      <c r="L98" s="49" t="e">
        <f>K98/K12</f>
        <v>#DIV/0!</v>
      </c>
      <c r="M98" s="188">
        <v>0</v>
      </c>
      <c r="N98" s="179" t="e">
        <f>M98/M12</f>
        <v>#DIV/0!</v>
      </c>
      <c r="O98" s="188">
        <v>0</v>
      </c>
      <c r="P98" s="49" t="e">
        <f>O98/O12</f>
        <v>#DIV/0!</v>
      </c>
      <c r="Q98" s="188">
        <v>0</v>
      </c>
      <c r="R98" s="179" t="e">
        <f>Q98/Q12</f>
        <v>#DIV/0!</v>
      </c>
      <c r="S98" s="188">
        <v>0</v>
      </c>
      <c r="T98" s="49" t="e">
        <f>S98/S12</f>
        <v>#DIV/0!</v>
      </c>
      <c r="U98" s="188">
        <v>0</v>
      </c>
      <c r="V98" s="179" t="e">
        <f>U98/U12</f>
        <v>#DIV/0!</v>
      </c>
      <c r="W98" s="188">
        <v>0</v>
      </c>
      <c r="X98" s="49" t="e">
        <f>W98/W12</f>
        <v>#DIV/0!</v>
      </c>
      <c r="Y98" s="188">
        <v>0</v>
      </c>
      <c r="Z98" s="179" t="e">
        <f>Y98/Y12</f>
        <v>#DIV/0!</v>
      </c>
      <c r="AA98" s="286">
        <f t="shared" si="60"/>
        <v>0</v>
      </c>
      <c r="AB98" s="214" t="e">
        <f>AA98/AA12</f>
        <v>#DIV/0!</v>
      </c>
      <c r="AC98" s="209">
        <f t="shared" si="56"/>
        <v>0</v>
      </c>
      <c r="AD98" s="214" t="e">
        <f>AC98/AC12</f>
        <v>#DIV/0!</v>
      </c>
      <c r="AE98" s="75"/>
      <c r="AF98" s="169"/>
      <c r="AG98" s="75"/>
      <c r="AH98" s="209">
        <v>2468.3266990881457</v>
      </c>
      <c r="AI98" s="255">
        <f>AH98/AH12</f>
        <v>3.0653679560907472E-3</v>
      </c>
      <c r="AJ98" s="293">
        <f t="shared" si="54"/>
        <v>2468.3266990881457</v>
      </c>
      <c r="AK98" s="53">
        <f t="shared" si="55"/>
        <v>0</v>
      </c>
      <c r="AL98" s="53">
        <f t="shared" si="57"/>
        <v>0</v>
      </c>
      <c r="AM98" s="53">
        <f t="shared" si="59"/>
        <v>0</v>
      </c>
      <c r="AN98" s="53" t="e">
        <f>#REF!-AM98</f>
        <v>#REF!</v>
      </c>
      <c r="AO98" s="53"/>
    </row>
    <row r="99" spans="1:41">
      <c r="A99" s="99">
        <v>6306</v>
      </c>
      <c r="B99" s="2" t="s">
        <v>41</v>
      </c>
      <c r="C99" s="183"/>
      <c r="D99" s="49" t="e">
        <f>C99/C12</f>
        <v>#DIV/0!</v>
      </c>
      <c r="E99" s="178"/>
      <c r="F99" s="179" t="e">
        <f>E99/E12</f>
        <v>#DIV/0!</v>
      </c>
      <c r="G99" s="183"/>
      <c r="H99" s="49" t="e">
        <f>G99/G12</f>
        <v>#DIV/0!</v>
      </c>
      <c r="I99" s="180"/>
      <c r="J99" s="179" t="e">
        <f>I99/I12</f>
        <v>#DIV/0!</v>
      </c>
      <c r="K99" s="188">
        <v>0</v>
      </c>
      <c r="L99" s="49" t="e">
        <f>K99/K12</f>
        <v>#DIV/0!</v>
      </c>
      <c r="M99" s="188">
        <v>0</v>
      </c>
      <c r="N99" s="179" t="e">
        <f>M99/M12</f>
        <v>#DIV/0!</v>
      </c>
      <c r="O99" s="188">
        <v>0</v>
      </c>
      <c r="P99" s="49" t="e">
        <f>O99/O12</f>
        <v>#DIV/0!</v>
      </c>
      <c r="Q99" s="188">
        <v>0</v>
      </c>
      <c r="R99" s="179" t="e">
        <f>Q99/Q12</f>
        <v>#DIV/0!</v>
      </c>
      <c r="S99" s="188">
        <v>0</v>
      </c>
      <c r="T99" s="49" t="e">
        <f>S99/S12</f>
        <v>#DIV/0!</v>
      </c>
      <c r="U99" s="188">
        <v>0</v>
      </c>
      <c r="V99" s="179" t="e">
        <f>U99/U12</f>
        <v>#DIV/0!</v>
      </c>
      <c r="W99" s="188">
        <v>0</v>
      </c>
      <c r="X99" s="49" t="e">
        <f>W99/W12</f>
        <v>#DIV/0!</v>
      </c>
      <c r="Y99" s="188">
        <v>0</v>
      </c>
      <c r="Z99" s="179" t="e">
        <f>Y99/Y12</f>
        <v>#DIV/0!</v>
      </c>
      <c r="AA99" s="286">
        <f t="shared" si="60"/>
        <v>0</v>
      </c>
      <c r="AB99" s="214" t="e">
        <f>AA99/AA12</f>
        <v>#DIV/0!</v>
      </c>
      <c r="AC99" s="209">
        <f t="shared" si="56"/>
        <v>0</v>
      </c>
      <c r="AD99" s="214" t="e">
        <f>AC99/AC12</f>
        <v>#DIV/0!</v>
      </c>
      <c r="AE99" s="75"/>
      <c r="AF99" s="169"/>
      <c r="AG99" s="75"/>
      <c r="AH99" s="209">
        <v>0</v>
      </c>
      <c r="AI99" s="255">
        <f>AH99/AH12</f>
        <v>0</v>
      </c>
      <c r="AJ99" s="293">
        <f t="shared" si="54"/>
        <v>0</v>
      </c>
      <c r="AK99" s="53">
        <f t="shared" si="55"/>
        <v>0</v>
      </c>
      <c r="AL99" s="53">
        <f t="shared" si="57"/>
        <v>0</v>
      </c>
      <c r="AM99" s="53">
        <f t="shared" si="59"/>
        <v>0</v>
      </c>
      <c r="AN99" s="53" t="e">
        <f>#REF!-AM99</f>
        <v>#REF!</v>
      </c>
      <c r="AO99" s="53"/>
    </row>
    <row r="100" spans="1:41">
      <c r="A100" s="99">
        <v>6307</v>
      </c>
      <c r="B100" s="2" t="s">
        <v>324</v>
      </c>
      <c r="C100" s="183"/>
      <c r="D100" s="49" t="e">
        <f>C100/C12</f>
        <v>#DIV/0!</v>
      </c>
      <c r="E100" s="178"/>
      <c r="F100" s="179" t="e">
        <f>E100/E12</f>
        <v>#DIV/0!</v>
      </c>
      <c r="G100" s="183"/>
      <c r="H100" s="49" t="e">
        <f>G100/G12</f>
        <v>#DIV/0!</v>
      </c>
      <c r="I100" s="180"/>
      <c r="J100" s="179" t="e">
        <f>I100/I12</f>
        <v>#DIV/0!</v>
      </c>
      <c r="K100" s="188">
        <v>0</v>
      </c>
      <c r="L100" s="49" t="e">
        <f>K100/K12</f>
        <v>#DIV/0!</v>
      </c>
      <c r="M100" s="188">
        <v>0</v>
      </c>
      <c r="N100" s="179" t="e">
        <f>M100/M12</f>
        <v>#DIV/0!</v>
      </c>
      <c r="O100" s="188">
        <v>0</v>
      </c>
      <c r="P100" s="49" t="e">
        <f>O100/O12</f>
        <v>#DIV/0!</v>
      </c>
      <c r="Q100" s="188">
        <v>0</v>
      </c>
      <c r="R100" s="179" t="e">
        <f>Q100/Q12</f>
        <v>#DIV/0!</v>
      </c>
      <c r="S100" s="188">
        <v>0</v>
      </c>
      <c r="T100" s="49" t="e">
        <f>S100/S12</f>
        <v>#DIV/0!</v>
      </c>
      <c r="U100" s="188">
        <v>0</v>
      </c>
      <c r="V100" s="179" t="e">
        <f>U100/U12</f>
        <v>#DIV/0!</v>
      </c>
      <c r="W100" s="188">
        <v>0</v>
      </c>
      <c r="X100" s="49" t="e">
        <f>W100/W12</f>
        <v>#DIV/0!</v>
      </c>
      <c r="Y100" s="188">
        <v>0</v>
      </c>
      <c r="Z100" s="179" t="e">
        <f>Y100/Y12</f>
        <v>#DIV/0!</v>
      </c>
      <c r="AA100" s="286">
        <f t="shared" si="60"/>
        <v>0</v>
      </c>
      <c r="AB100" s="214" t="e">
        <f>AA100/AA12</f>
        <v>#DIV/0!</v>
      </c>
      <c r="AC100" s="209">
        <f t="shared" si="56"/>
        <v>0</v>
      </c>
      <c r="AD100" s="214" t="e">
        <f>AC100/AC12</f>
        <v>#DIV/0!</v>
      </c>
      <c r="AE100" s="75"/>
      <c r="AF100" s="169"/>
      <c r="AG100" s="75"/>
      <c r="AH100" s="209">
        <v>0</v>
      </c>
      <c r="AI100" s="255">
        <f>AH100/AH12</f>
        <v>0</v>
      </c>
      <c r="AJ100" s="293">
        <f t="shared" si="54"/>
        <v>0</v>
      </c>
      <c r="AK100" s="53">
        <f t="shared" si="55"/>
        <v>0</v>
      </c>
      <c r="AL100" s="53">
        <f t="shared" si="57"/>
        <v>0</v>
      </c>
      <c r="AM100" s="53">
        <f t="shared" si="59"/>
        <v>0</v>
      </c>
      <c r="AN100" s="53" t="e">
        <f>#REF!-AM100</f>
        <v>#REF!</v>
      </c>
      <c r="AO100" s="53"/>
    </row>
    <row r="101" spans="1:41">
      <c r="A101" s="2">
        <v>6308</v>
      </c>
      <c r="B101" s="2" t="s">
        <v>130</v>
      </c>
      <c r="C101" s="183"/>
      <c r="D101" s="49" t="e">
        <f>C101/C$12</f>
        <v>#DIV/0!</v>
      </c>
      <c r="E101" s="178"/>
      <c r="F101" s="179" t="e">
        <f>E101/E12</f>
        <v>#DIV/0!</v>
      </c>
      <c r="G101" s="183"/>
      <c r="H101" s="49" t="e">
        <f>G101/G12</f>
        <v>#DIV/0!</v>
      </c>
      <c r="I101" s="178"/>
      <c r="J101" s="179" t="e">
        <f>I101/I12</f>
        <v>#DIV/0!</v>
      </c>
      <c r="K101" s="183">
        <v>0</v>
      </c>
      <c r="L101" s="49" t="e">
        <f>K101/K12</f>
        <v>#DIV/0!</v>
      </c>
      <c r="M101" s="183">
        <v>0</v>
      </c>
      <c r="N101" s="179" t="e">
        <f>M101/M12</f>
        <v>#DIV/0!</v>
      </c>
      <c r="O101" s="183">
        <v>0</v>
      </c>
      <c r="P101" s="49" t="e">
        <f>O101/O12</f>
        <v>#DIV/0!</v>
      </c>
      <c r="Q101" s="183">
        <v>0</v>
      </c>
      <c r="R101" s="179" t="e">
        <f>Q101/Q12</f>
        <v>#DIV/0!</v>
      </c>
      <c r="S101" s="183">
        <v>0</v>
      </c>
      <c r="T101" s="49" t="e">
        <f>S101/S12</f>
        <v>#DIV/0!</v>
      </c>
      <c r="U101" s="183">
        <v>0</v>
      </c>
      <c r="V101" s="179" t="e">
        <f>U101/U12</f>
        <v>#DIV/0!</v>
      </c>
      <c r="W101" s="183">
        <v>0</v>
      </c>
      <c r="X101" s="49" t="e">
        <f>W101/W12</f>
        <v>#DIV/0!</v>
      </c>
      <c r="Y101" s="183">
        <v>0</v>
      </c>
      <c r="Z101" s="179" t="e">
        <f>Y101/Y12</f>
        <v>#DIV/0!</v>
      </c>
      <c r="AA101" s="286">
        <f t="shared" si="60"/>
        <v>0</v>
      </c>
      <c r="AB101" s="214" t="e">
        <f>AA101/AA12</f>
        <v>#DIV/0!</v>
      </c>
      <c r="AC101" s="209">
        <f t="shared" si="56"/>
        <v>0</v>
      </c>
      <c r="AD101" s="214" t="e">
        <f>AC101/AC12</f>
        <v>#DIV/0!</v>
      </c>
      <c r="AE101" s="75"/>
      <c r="AF101" s="169"/>
      <c r="AG101" s="75"/>
      <c r="AH101" s="209">
        <v>5263.5292553191493</v>
      </c>
      <c r="AI101" s="255">
        <f>AH101/AH12</f>
        <v>6.5366768188190039E-3</v>
      </c>
      <c r="AJ101" s="293">
        <f t="shared" si="54"/>
        <v>5263.5292553191493</v>
      </c>
      <c r="AK101" s="53">
        <f t="shared" si="55"/>
        <v>0</v>
      </c>
      <c r="AL101" s="53">
        <f t="shared" si="57"/>
        <v>0</v>
      </c>
      <c r="AM101" s="53">
        <f t="shared" si="59"/>
        <v>0</v>
      </c>
      <c r="AN101" s="53" t="e">
        <f>#REF!-AM101</f>
        <v>#REF!</v>
      </c>
      <c r="AO101" s="53"/>
    </row>
    <row r="102" spans="1:41">
      <c r="A102" s="2">
        <v>6309</v>
      </c>
      <c r="B102" s="2" t="s">
        <v>131</v>
      </c>
      <c r="C102" s="183"/>
      <c r="D102" s="49" t="e">
        <f>C102/C$12</f>
        <v>#DIV/0!</v>
      </c>
      <c r="E102" s="178"/>
      <c r="F102" s="179" t="e">
        <f>E102/E$12</f>
        <v>#DIV/0!</v>
      </c>
      <c r="G102" s="183"/>
      <c r="H102" s="49" t="e">
        <f>G102/G$12</f>
        <v>#DIV/0!</v>
      </c>
      <c r="I102" s="178"/>
      <c r="J102" s="179" t="e">
        <f>I102/I$12</f>
        <v>#DIV/0!</v>
      </c>
      <c r="K102" s="183">
        <v>0</v>
      </c>
      <c r="L102" s="49" t="e">
        <f>K102/K$12</f>
        <v>#DIV/0!</v>
      </c>
      <c r="M102" s="183">
        <v>0</v>
      </c>
      <c r="N102" s="179" t="e">
        <f>M102/M$12</f>
        <v>#DIV/0!</v>
      </c>
      <c r="O102" s="183">
        <v>0</v>
      </c>
      <c r="P102" s="49" t="e">
        <f>O102/O$12</f>
        <v>#DIV/0!</v>
      </c>
      <c r="Q102" s="183">
        <v>0</v>
      </c>
      <c r="R102" s="179" t="e">
        <f>Q102/Q$12</f>
        <v>#DIV/0!</v>
      </c>
      <c r="S102" s="183">
        <v>0</v>
      </c>
      <c r="T102" s="49" t="e">
        <f>S102/S$12</f>
        <v>#DIV/0!</v>
      </c>
      <c r="U102" s="183">
        <v>0</v>
      </c>
      <c r="V102" s="179" t="e">
        <f>U102/U$12</f>
        <v>#DIV/0!</v>
      </c>
      <c r="W102" s="183">
        <v>0</v>
      </c>
      <c r="X102" s="49" t="e">
        <f>W102/W$12</f>
        <v>#DIV/0!</v>
      </c>
      <c r="Y102" s="183">
        <v>0</v>
      </c>
      <c r="Z102" s="179" t="e">
        <f>Y102/Y$12</f>
        <v>#DIV/0!</v>
      </c>
      <c r="AA102" s="286">
        <f t="shared" si="60"/>
        <v>0</v>
      </c>
      <c r="AB102" s="214" t="e">
        <f>AA102/AA$12</f>
        <v>#DIV/0!</v>
      </c>
      <c r="AC102" s="209">
        <f t="shared" si="56"/>
        <v>0</v>
      </c>
      <c r="AD102" s="214" t="e">
        <f>AC102/AC$12</f>
        <v>#DIV/0!</v>
      </c>
      <c r="AE102" s="75"/>
      <c r="AF102" s="169"/>
      <c r="AG102" s="75"/>
      <c r="AH102" s="209">
        <v>2500</v>
      </c>
      <c r="AI102" s="255">
        <f>AH102/AH12</f>
        <v>3.10470242575989E-3</v>
      </c>
      <c r="AJ102" s="293">
        <f t="shared" si="54"/>
        <v>2500</v>
      </c>
      <c r="AK102" s="53">
        <f t="shared" si="55"/>
        <v>0</v>
      </c>
      <c r="AL102" s="53">
        <f t="shared" si="57"/>
        <v>0</v>
      </c>
      <c r="AM102" s="53">
        <f t="shared" si="59"/>
        <v>0</v>
      </c>
      <c r="AN102" s="53" t="e">
        <f>#REF!-AM102</f>
        <v>#REF!</v>
      </c>
      <c r="AO102" s="53"/>
    </row>
    <row r="103" spans="1:41">
      <c r="A103" s="2">
        <v>6310</v>
      </c>
      <c r="B103" s="2" t="s">
        <v>132</v>
      </c>
      <c r="C103" s="183"/>
      <c r="D103" s="49" t="e">
        <f t="shared" ref="D103:D105" si="61">C103/C$12</f>
        <v>#DIV/0!</v>
      </c>
      <c r="E103" s="178"/>
      <c r="F103" s="179" t="e">
        <f t="shared" ref="F103:F105" si="62">E103/E$12</f>
        <v>#DIV/0!</v>
      </c>
      <c r="G103" s="183"/>
      <c r="H103" s="49" t="e">
        <f t="shared" ref="H103:H105" si="63">G103/G$12</f>
        <v>#DIV/0!</v>
      </c>
      <c r="I103" s="178"/>
      <c r="J103" s="179" t="e">
        <f t="shared" ref="J103:J105" si="64">I103/I$12</f>
        <v>#DIV/0!</v>
      </c>
      <c r="K103" s="183">
        <v>0</v>
      </c>
      <c r="L103" s="49" t="e">
        <f t="shared" ref="L103:L105" si="65">K103/K$12</f>
        <v>#DIV/0!</v>
      </c>
      <c r="M103" s="183">
        <v>0</v>
      </c>
      <c r="N103" s="179" t="e">
        <f t="shared" ref="N103:N105" si="66">M103/M$12</f>
        <v>#DIV/0!</v>
      </c>
      <c r="O103" s="183">
        <v>0</v>
      </c>
      <c r="P103" s="49" t="e">
        <f t="shared" ref="P103:P105" si="67">O103/O$12</f>
        <v>#DIV/0!</v>
      </c>
      <c r="Q103" s="183">
        <v>0</v>
      </c>
      <c r="R103" s="179" t="e">
        <f t="shared" ref="R103:R105" si="68">Q103/Q$12</f>
        <v>#DIV/0!</v>
      </c>
      <c r="S103" s="183">
        <v>0</v>
      </c>
      <c r="T103" s="49" t="e">
        <f t="shared" ref="T103:T105" si="69">S103/S$12</f>
        <v>#DIV/0!</v>
      </c>
      <c r="U103" s="183">
        <v>0</v>
      </c>
      <c r="V103" s="179" t="e">
        <f t="shared" ref="V103:V105" si="70">U103/U$12</f>
        <v>#DIV/0!</v>
      </c>
      <c r="W103" s="183">
        <v>0</v>
      </c>
      <c r="X103" s="49" t="e">
        <f t="shared" ref="X103:X105" si="71">W103/W$12</f>
        <v>#DIV/0!</v>
      </c>
      <c r="Y103" s="183">
        <v>0</v>
      </c>
      <c r="Z103" s="179" t="e">
        <f t="shared" ref="Z103:Z105" si="72">Y103/Y$12</f>
        <v>#DIV/0!</v>
      </c>
      <c r="AA103" s="286">
        <f t="shared" si="60"/>
        <v>0</v>
      </c>
      <c r="AB103" s="214" t="e">
        <f t="shared" ref="AB103:AB105" si="73">AA103/AA$12</f>
        <v>#DIV/0!</v>
      </c>
      <c r="AC103" s="209">
        <f t="shared" si="56"/>
        <v>0</v>
      </c>
      <c r="AD103" s="214" t="e">
        <f t="shared" ref="AD103:AD105" si="74">AC103/AC$12</f>
        <v>#DIV/0!</v>
      </c>
      <c r="AE103" s="75"/>
      <c r="AF103" s="169"/>
      <c r="AG103" s="75"/>
      <c r="AH103" s="209">
        <v>4644.4148936170222</v>
      </c>
      <c r="AI103" s="255">
        <f>AH103/AH12</f>
        <v>5.7678104745792517E-3</v>
      </c>
      <c r="AJ103" s="293">
        <f t="shared" si="54"/>
        <v>4644.4148936170222</v>
      </c>
      <c r="AK103" s="53">
        <f t="shared" si="55"/>
        <v>0</v>
      </c>
      <c r="AL103" s="53">
        <f t="shared" si="57"/>
        <v>0</v>
      </c>
      <c r="AM103" s="53">
        <f t="shared" si="59"/>
        <v>0</v>
      </c>
      <c r="AN103" s="53" t="e">
        <f>#REF!-AM103</f>
        <v>#REF!</v>
      </c>
      <c r="AO103" s="53"/>
    </row>
    <row r="104" spans="1:41">
      <c r="A104" s="2">
        <v>6311</v>
      </c>
      <c r="B104" s="2" t="s">
        <v>133</v>
      </c>
      <c r="C104" s="184"/>
      <c r="D104" s="49" t="e">
        <f t="shared" si="61"/>
        <v>#DIV/0!</v>
      </c>
      <c r="E104" s="178"/>
      <c r="F104" s="179" t="e">
        <f t="shared" si="62"/>
        <v>#DIV/0!</v>
      </c>
      <c r="G104" s="183"/>
      <c r="H104" s="49" t="e">
        <f t="shared" si="63"/>
        <v>#DIV/0!</v>
      </c>
      <c r="I104" s="178"/>
      <c r="J104" s="179" t="e">
        <f t="shared" si="64"/>
        <v>#DIV/0!</v>
      </c>
      <c r="K104" s="183">
        <v>0</v>
      </c>
      <c r="L104" s="49" t="e">
        <f t="shared" si="65"/>
        <v>#DIV/0!</v>
      </c>
      <c r="M104" s="183">
        <v>0</v>
      </c>
      <c r="N104" s="179" t="e">
        <f t="shared" si="66"/>
        <v>#DIV/0!</v>
      </c>
      <c r="O104" s="183">
        <v>0</v>
      </c>
      <c r="P104" s="49" t="e">
        <f t="shared" si="67"/>
        <v>#DIV/0!</v>
      </c>
      <c r="Q104" s="183">
        <v>0</v>
      </c>
      <c r="R104" s="179" t="e">
        <f t="shared" si="68"/>
        <v>#DIV/0!</v>
      </c>
      <c r="S104" s="183">
        <v>0</v>
      </c>
      <c r="T104" s="49" t="e">
        <f t="shared" si="69"/>
        <v>#DIV/0!</v>
      </c>
      <c r="U104" s="183">
        <v>0</v>
      </c>
      <c r="V104" s="179" t="e">
        <f t="shared" si="70"/>
        <v>#DIV/0!</v>
      </c>
      <c r="W104" s="183">
        <v>0</v>
      </c>
      <c r="X104" s="49" t="e">
        <f t="shared" si="71"/>
        <v>#DIV/0!</v>
      </c>
      <c r="Y104" s="183">
        <v>0</v>
      </c>
      <c r="Z104" s="179" t="e">
        <f t="shared" si="72"/>
        <v>#DIV/0!</v>
      </c>
      <c r="AA104" s="286">
        <f t="shared" si="60"/>
        <v>0</v>
      </c>
      <c r="AB104" s="214" t="e">
        <f t="shared" si="73"/>
        <v>#DIV/0!</v>
      </c>
      <c r="AC104" s="209">
        <f t="shared" si="56"/>
        <v>0</v>
      </c>
      <c r="AD104" s="214" t="e">
        <f t="shared" si="74"/>
        <v>#DIV/0!</v>
      </c>
      <c r="AE104" s="75"/>
      <c r="AF104" s="169"/>
      <c r="AG104" s="75"/>
      <c r="AH104" s="209">
        <v>12000</v>
      </c>
      <c r="AI104" s="255">
        <f>AH104/AH12</f>
        <v>1.490257164364747E-2</v>
      </c>
      <c r="AJ104" s="293">
        <f t="shared" si="54"/>
        <v>12000</v>
      </c>
      <c r="AK104" s="53">
        <f t="shared" si="55"/>
        <v>0</v>
      </c>
      <c r="AL104" s="53">
        <f t="shared" si="57"/>
        <v>0</v>
      </c>
      <c r="AM104" s="53">
        <f t="shared" si="59"/>
        <v>0</v>
      </c>
      <c r="AN104" s="53" t="e">
        <f>#REF!-AM104</f>
        <v>#REF!</v>
      </c>
      <c r="AO104" s="53"/>
    </row>
    <row r="105" spans="1:41">
      <c r="A105" s="2">
        <v>6312</v>
      </c>
      <c r="B105" s="2" t="s">
        <v>134</v>
      </c>
      <c r="C105" s="184"/>
      <c r="D105" s="49" t="e">
        <f t="shared" si="61"/>
        <v>#DIV/0!</v>
      </c>
      <c r="E105" s="178"/>
      <c r="F105" s="179" t="e">
        <f t="shared" si="62"/>
        <v>#DIV/0!</v>
      </c>
      <c r="G105" s="183"/>
      <c r="H105" s="49" t="e">
        <f t="shared" si="63"/>
        <v>#DIV/0!</v>
      </c>
      <c r="I105" s="178"/>
      <c r="J105" s="179" t="e">
        <f t="shared" si="64"/>
        <v>#DIV/0!</v>
      </c>
      <c r="K105" s="183">
        <v>0</v>
      </c>
      <c r="L105" s="49" t="e">
        <f t="shared" si="65"/>
        <v>#DIV/0!</v>
      </c>
      <c r="M105" s="183">
        <v>0</v>
      </c>
      <c r="N105" s="179" t="e">
        <f t="shared" si="66"/>
        <v>#DIV/0!</v>
      </c>
      <c r="O105" s="183">
        <v>0</v>
      </c>
      <c r="P105" s="49" t="e">
        <f t="shared" si="67"/>
        <v>#DIV/0!</v>
      </c>
      <c r="Q105" s="183">
        <v>0</v>
      </c>
      <c r="R105" s="179" t="e">
        <f t="shared" si="68"/>
        <v>#DIV/0!</v>
      </c>
      <c r="S105" s="183">
        <v>0</v>
      </c>
      <c r="T105" s="49" t="e">
        <f t="shared" si="69"/>
        <v>#DIV/0!</v>
      </c>
      <c r="U105" s="183">
        <v>0</v>
      </c>
      <c r="V105" s="179" t="e">
        <f t="shared" si="70"/>
        <v>#DIV/0!</v>
      </c>
      <c r="W105" s="183">
        <v>0</v>
      </c>
      <c r="X105" s="49" t="e">
        <f t="shared" si="71"/>
        <v>#DIV/0!</v>
      </c>
      <c r="Y105" s="183">
        <v>0</v>
      </c>
      <c r="Z105" s="179" t="e">
        <f t="shared" si="72"/>
        <v>#DIV/0!</v>
      </c>
      <c r="AA105" s="286">
        <f t="shared" si="60"/>
        <v>0</v>
      </c>
      <c r="AB105" s="214" t="e">
        <f t="shared" si="73"/>
        <v>#DIV/0!</v>
      </c>
      <c r="AC105" s="209">
        <f t="shared" si="56"/>
        <v>0</v>
      </c>
      <c r="AD105" s="214" t="e">
        <f t="shared" si="74"/>
        <v>#DIV/0!</v>
      </c>
      <c r="AE105" s="75"/>
      <c r="AF105" s="169"/>
      <c r="AG105" s="75"/>
      <c r="AH105" s="209"/>
      <c r="AI105" s="255"/>
      <c r="AJ105" s="293"/>
      <c r="AK105" s="53">
        <f t="shared" si="55"/>
        <v>0</v>
      </c>
      <c r="AL105" s="53">
        <f t="shared" si="57"/>
        <v>0</v>
      </c>
      <c r="AM105" s="53">
        <f t="shared" si="59"/>
        <v>0</v>
      </c>
      <c r="AN105" s="53"/>
      <c r="AO105" s="53"/>
    </row>
    <row r="106" spans="1:41" s="408" customFormat="1">
      <c r="A106" s="2">
        <v>6313</v>
      </c>
      <c r="B106" s="2" t="s">
        <v>135</v>
      </c>
      <c r="C106" s="184"/>
      <c r="D106" s="49"/>
      <c r="E106" s="321"/>
      <c r="F106" s="179"/>
      <c r="G106" s="183"/>
      <c r="H106" s="49"/>
      <c r="I106" s="321"/>
      <c r="J106" s="179"/>
      <c r="K106" s="183"/>
      <c r="L106" s="49"/>
      <c r="M106" s="183"/>
      <c r="N106" s="179"/>
      <c r="O106" s="183"/>
      <c r="P106" s="49"/>
      <c r="Q106" s="183"/>
      <c r="R106" s="179"/>
      <c r="S106" s="183"/>
      <c r="T106" s="49"/>
      <c r="U106" s="183"/>
      <c r="V106" s="179"/>
      <c r="W106" s="183"/>
      <c r="X106" s="49"/>
      <c r="Y106" s="183"/>
      <c r="Z106" s="179"/>
      <c r="AA106" s="286"/>
      <c r="AB106" s="214"/>
      <c r="AC106" s="209"/>
      <c r="AD106" s="214"/>
      <c r="AE106" s="75"/>
      <c r="AF106" s="169"/>
      <c r="AG106" s="75"/>
      <c r="AH106" s="209"/>
      <c r="AI106" s="255"/>
      <c r="AJ106" s="293"/>
      <c r="AK106" s="53"/>
      <c r="AL106" s="53"/>
      <c r="AM106" s="53"/>
      <c r="AN106" s="53"/>
      <c r="AO106" s="53"/>
    </row>
    <row r="107" spans="1:41" s="408" customFormat="1">
      <c r="A107" s="2">
        <v>6314</v>
      </c>
      <c r="B107" s="2" t="s">
        <v>247</v>
      </c>
      <c r="C107" s="184"/>
      <c r="D107" s="49"/>
      <c r="E107" s="321"/>
      <c r="F107" s="179"/>
      <c r="G107" s="183"/>
      <c r="H107" s="49"/>
      <c r="I107" s="321"/>
      <c r="J107" s="179"/>
      <c r="K107" s="183"/>
      <c r="L107" s="49"/>
      <c r="M107" s="183"/>
      <c r="N107" s="179"/>
      <c r="O107" s="183"/>
      <c r="P107" s="49"/>
      <c r="Q107" s="183"/>
      <c r="R107" s="179"/>
      <c r="S107" s="183"/>
      <c r="T107" s="49"/>
      <c r="U107" s="183"/>
      <c r="V107" s="179"/>
      <c r="W107" s="183"/>
      <c r="X107" s="49"/>
      <c r="Y107" s="183"/>
      <c r="Z107" s="179"/>
      <c r="AA107" s="286"/>
      <c r="AB107" s="214"/>
      <c r="AC107" s="209"/>
      <c r="AD107" s="214"/>
      <c r="AE107" s="75"/>
      <c r="AF107" s="169"/>
      <c r="AG107" s="75"/>
      <c r="AH107" s="209"/>
      <c r="AI107" s="255"/>
      <c r="AJ107" s="293"/>
      <c r="AK107" s="53"/>
      <c r="AL107" s="53"/>
      <c r="AM107" s="53"/>
      <c r="AN107" s="53"/>
      <c r="AO107" s="53"/>
    </row>
    <row r="108" spans="1:41" s="408" customFormat="1">
      <c r="A108" s="2">
        <v>6315</v>
      </c>
      <c r="B108" s="2" t="s">
        <v>325</v>
      </c>
      <c r="C108" s="184"/>
      <c r="D108" s="49"/>
      <c r="E108" s="321"/>
      <c r="F108" s="179"/>
      <c r="G108" s="183"/>
      <c r="H108" s="49"/>
      <c r="I108" s="321"/>
      <c r="J108" s="179"/>
      <c r="K108" s="183"/>
      <c r="L108" s="49"/>
      <c r="M108" s="183"/>
      <c r="N108" s="179"/>
      <c r="O108" s="183"/>
      <c r="P108" s="49"/>
      <c r="Q108" s="183"/>
      <c r="R108" s="179"/>
      <c r="S108" s="183"/>
      <c r="T108" s="49"/>
      <c r="U108" s="183"/>
      <c r="V108" s="179"/>
      <c r="W108" s="183"/>
      <c r="X108" s="49"/>
      <c r="Y108" s="183"/>
      <c r="Z108" s="179"/>
      <c r="AA108" s="286"/>
      <c r="AB108" s="214"/>
      <c r="AC108" s="209"/>
      <c r="AD108" s="214"/>
      <c r="AE108" s="75"/>
      <c r="AF108" s="169"/>
      <c r="AG108" s="75"/>
      <c r="AH108" s="209"/>
      <c r="AI108" s="255"/>
      <c r="AJ108" s="293"/>
      <c r="AK108" s="53"/>
      <c r="AL108" s="53"/>
      <c r="AM108" s="53"/>
      <c r="AN108" s="53"/>
      <c r="AO108" s="53"/>
    </row>
    <row r="109" spans="1:41" s="408" customFormat="1">
      <c r="A109" s="2">
        <v>6316</v>
      </c>
      <c r="B109" s="2" t="s">
        <v>326</v>
      </c>
      <c r="C109" s="184"/>
      <c r="D109" s="49"/>
      <c r="E109" s="321"/>
      <c r="F109" s="179"/>
      <c r="G109" s="183"/>
      <c r="H109" s="49"/>
      <c r="I109" s="321"/>
      <c r="J109" s="179"/>
      <c r="K109" s="183"/>
      <c r="L109" s="49"/>
      <c r="M109" s="183"/>
      <c r="N109" s="179"/>
      <c r="O109" s="183"/>
      <c r="P109" s="49"/>
      <c r="Q109" s="183"/>
      <c r="R109" s="179"/>
      <c r="S109" s="183"/>
      <c r="T109" s="49"/>
      <c r="U109" s="183"/>
      <c r="V109" s="179"/>
      <c r="W109" s="183"/>
      <c r="X109" s="49"/>
      <c r="Y109" s="183"/>
      <c r="Z109" s="179"/>
      <c r="AA109" s="286"/>
      <c r="AB109" s="214"/>
      <c r="AC109" s="209"/>
      <c r="AD109" s="214"/>
      <c r="AE109" s="75"/>
      <c r="AF109" s="169"/>
      <c r="AG109" s="75"/>
      <c r="AH109" s="209"/>
      <c r="AI109" s="255"/>
      <c r="AJ109" s="293"/>
      <c r="AK109" s="53"/>
      <c r="AL109" s="53"/>
      <c r="AM109" s="53"/>
      <c r="AN109" s="53"/>
      <c r="AO109" s="53"/>
    </row>
    <row r="110" spans="1:41" s="408" customFormat="1">
      <c r="A110" s="2">
        <v>6317</v>
      </c>
      <c r="B110" s="2" t="s">
        <v>327</v>
      </c>
      <c r="C110" s="184"/>
      <c r="D110" s="49"/>
      <c r="E110" s="321"/>
      <c r="F110" s="179"/>
      <c r="G110" s="183"/>
      <c r="H110" s="49"/>
      <c r="I110" s="321"/>
      <c r="J110" s="179"/>
      <c r="K110" s="183"/>
      <c r="L110" s="49"/>
      <c r="M110" s="183"/>
      <c r="N110" s="179"/>
      <c r="O110" s="183"/>
      <c r="P110" s="49"/>
      <c r="Q110" s="183"/>
      <c r="R110" s="179"/>
      <c r="S110" s="183"/>
      <c r="T110" s="49"/>
      <c r="U110" s="183"/>
      <c r="V110" s="179"/>
      <c r="W110" s="183"/>
      <c r="X110" s="49"/>
      <c r="Y110" s="183"/>
      <c r="Z110" s="179"/>
      <c r="AA110" s="286"/>
      <c r="AB110" s="214"/>
      <c r="AC110" s="209"/>
      <c r="AD110" s="214"/>
      <c r="AE110" s="75"/>
      <c r="AF110" s="169"/>
      <c r="AG110" s="75"/>
      <c r="AH110" s="209"/>
      <c r="AI110" s="255"/>
      <c r="AJ110" s="293"/>
      <c r="AK110" s="53"/>
      <c r="AL110" s="53"/>
      <c r="AM110" s="53"/>
      <c r="AN110" s="53"/>
      <c r="AO110" s="53"/>
    </row>
    <row r="111" spans="1:41" s="408" customFormat="1">
      <c r="A111" s="2">
        <v>6318</v>
      </c>
      <c r="B111" s="2" t="s">
        <v>328</v>
      </c>
      <c r="C111" s="184"/>
      <c r="D111" s="49"/>
      <c r="E111" s="321"/>
      <c r="F111" s="179"/>
      <c r="G111" s="183"/>
      <c r="H111" s="49"/>
      <c r="I111" s="321"/>
      <c r="J111" s="179"/>
      <c r="K111" s="183"/>
      <c r="L111" s="49"/>
      <c r="M111" s="183"/>
      <c r="N111" s="179"/>
      <c r="O111" s="183"/>
      <c r="P111" s="49"/>
      <c r="Q111" s="183"/>
      <c r="R111" s="179"/>
      <c r="S111" s="183"/>
      <c r="T111" s="49"/>
      <c r="U111" s="183"/>
      <c r="V111" s="179"/>
      <c r="W111" s="183"/>
      <c r="X111" s="49"/>
      <c r="Y111" s="183"/>
      <c r="Z111" s="179"/>
      <c r="AA111" s="286"/>
      <c r="AB111" s="214"/>
      <c r="AC111" s="209"/>
      <c r="AD111" s="214"/>
      <c r="AE111" s="75"/>
      <c r="AF111" s="169"/>
      <c r="AG111" s="75"/>
      <c r="AH111" s="209"/>
      <c r="AI111" s="255"/>
      <c r="AJ111" s="293"/>
      <c r="AK111" s="53"/>
      <c r="AL111" s="53"/>
      <c r="AM111" s="53"/>
      <c r="AN111" s="53"/>
      <c r="AO111" s="53"/>
    </row>
    <row r="112" spans="1:41" s="408" customFormat="1">
      <c r="A112" s="2">
        <v>6319</v>
      </c>
      <c r="B112" s="2" t="s">
        <v>329</v>
      </c>
      <c r="C112" s="184"/>
      <c r="D112" s="49"/>
      <c r="E112" s="321"/>
      <c r="F112" s="179"/>
      <c r="G112" s="183"/>
      <c r="H112" s="49"/>
      <c r="I112" s="321"/>
      <c r="J112" s="179"/>
      <c r="K112" s="183"/>
      <c r="L112" s="49"/>
      <c r="M112" s="183"/>
      <c r="N112" s="179"/>
      <c r="O112" s="183"/>
      <c r="P112" s="49"/>
      <c r="Q112" s="183"/>
      <c r="R112" s="179"/>
      <c r="S112" s="183"/>
      <c r="T112" s="49"/>
      <c r="U112" s="183"/>
      <c r="V112" s="179"/>
      <c r="W112" s="183"/>
      <c r="X112" s="49"/>
      <c r="Y112" s="183"/>
      <c r="Z112" s="179"/>
      <c r="AA112" s="286"/>
      <c r="AB112" s="214"/>
      <c r="AC112" s="209"/>
      <c r="AD112" s="214"/>
      <c r="AE112" s="75"/>
      <c r="AF112" s="169"/>
      <c r="AG112" s="75"/>
      <c r="AH112" s="209"/>
      <c r="AI112" s="255"/>
      <c r="AJ112" s="293"/>
      <c r="AK112" s="53"/>
      <c r="AL112" s="53"/>
      <c r="AM112" s="53"/>
      <c r="AN112" s="53"/>
      <c r="AO112" s="53"/>
    </row>
    <row r="113" spans="1:42" s="408" customFormat="1">
      <c r="A113" s="2">
        <v>6320</v>
      </c>
      <c r="B113" s="2" t="s">
        <v>330</v>
      </c>
      <c r="C113" s="184"/>
      <c r="D113" s="49"/>
      <c r="E113" s="321"/>
      <c r="F113" s="179"/>
      <c r="G113" s="183"/>
      <c r="H113" s="49"/>
      <c r="I113" s="321"/>
      <c r="J113" s="179"/>
      <c r="K113" s="183"/>
      <c r="L113" s="49"/>
      <c r="M113" s="183"/>
      <c r="N113" s="179"/>
      <c r="O113" s="183"/>
      <c r="P113" s="49"/>
      <c r="Q113" s="183"/>
      <c r="R113" s="179"/>
      <c r="S113" s="183"/>
      <c r="T113" s="49"/>
      <c r="U113" s="183"/>
      <c r="V113" s="179"/>
      <c r="W113" s="183"/>
      <c r="X113" s="49"/>
      <c r="Y113" s="183"/>
      <c r="Z113" s="179"/>
      <c r="AA113" s="286"/>
      <c r="AB113" s="214"/>
      <c r="AC113" s="209"/>
      <c r="AD113" s="214"/>
      <c r="AE113" s="75"/>
      <c r="AF113" s="169"/>
      <c r="AG113" s="75"/>
      <c r="AH113" s="209"/>
      <c r="AI113" s="255"/>
      <c r="AJ113" s="293"/>
      <c r="AK113" s="53"/>
      <c r="AL113" s="53"/>
      <c r="AM113" s="53"/>
      <c r="AN113" s="53"/>
      <c r="AO113" s="53"/>
    </row>
    <row r="114" spans="1:42" s="408" customFormat="1">
      <c r="A114" s="2">
        <v>6321</v>
      </c>
      <c r="B114" s="2" t="s">
        <v>331</v>
      </c>
      <c r="C114" s="184"/>
      <c r="D114" s="49"/>
      <c r="E114" s="321"/>
      <c r="F114" s="179"/>
      <c r="G114" s="183"/>
      <c r="H114" s="49"/>
      <c r="I114" s="321"/>
      <c r="J114" s="179"/>
      <c r="K114" s="183"/>
      <c r="L114" s="49"/>
      <c r="M114" s="183"/>
      <c r="N114" s="179"/>
      <c r="O114" s="183"/>
      <c r="P114" s="49"/>
      <c r="Q114" s="183"/>
      <c r="R114" s="179"/>
      <c r="S114" s="183"/>
      <c r="T114" s="49"/>
      <c r="U114" s="183"/>
      <c r="V114" s="179"/>
      <c r="W114" s="183"/>
      <c r="X114" s="49"/>
      <c r="Y114" s="183"/>
      <c r="Z114" s="179"/>
      <c r="AA114" s="286"/>
      <c r="AB114" s="214"/>
      <c r="AC114" s="209"/>
      <c r="AD114" s="214"/>
      <c r="AE114" s="75"/>
      <c r="AF114" s="169"/>
      <c r="AG114" s="75"/>
      <c r="AH114" s="209"/>
      <c r="AI114" s="255"/>
      <c r="AJ114" s="293"/>
      <c r="AK114" s="53"/>
      <c r="AL114" s="53"/>
      <c r="AM114" s="53"/>
      <c r="AN114" s="53"/>
      <c r="AO114" s="53"/>
    </row>
    <row r="115" spans="1:42" ht="15.75" thickBot="1">
      <c r="A115" s="4">
        <v>6399</v>
      </c>
      <c r="B115" s="113" t="s">
        <v>101</v>
      </c>
      <c r="C115" s="175">
        <f>SUM(C94:C114)</f>
        <v>0</v>
      </c>
      <c r="D115" s="173" t="e">
        <f>C115/C12</f>
        <v>#DIV/0!</v>
      </c>
      <c r="E115" s="175">
        <f>SUM(E94:E114)</f>
        <v>0</v>
      </c>
      <c r="F115" s="173" t="e">
        <f>E115/E12</f>
        <v>#DIV/0!</v>
      </c>
      <c r="G115" s="175">
        <f>SUM(G94:G114)</f>
        <v>0</v>
      </c>
      <c r="H115" s="173" t="e">
        <f>G115/G12</f>
        <v>#DIV/0!</v>
      </c>
      <c r="I115" s="176">
        <f>SUM(I94:I114)</f>
        <v>0</v>
      </c>
      <c r="J115" s="173" t="e">
        <f>I115/I12</f>
        <v>#DIV/0!</v>
      </c>
      <c r="K115" s="174">
        <f>SUM(K94:K114)</f>
        <v>0</v>
      </c>
      <c r="L115" s="173" t="e">
        <f>K115/K12</f>
        <v>#DIV/0!</v>
      </c>
      <c r="M115" s="176">
        <f>SUM(M94:M114)</f>
        <v>0</v>
      </c>
      <c r="N115" s="173" t="e">
        <f>M115/M12</f>
        <v>#DIV/0!</v>
      </c>
      <c r="O115" s="176">
        <f>SUM(O94:O114)</f>
        <v>0</v>
      </c>
      <c r="P115" s="173" t="e">
        <f>O115/O12</f>
        <v>#DIV/0!</v>
      </c>
      <c r="Q115" s="176">
        <f>SUM(Q94:Q114)</f>
        <v>0</v>
      </c>
      <c r="R115" s="173" t="e">
        <f>Q115/Q12</f>
        <v>#DIV/0!</v>
      </c>
      <c r="S115" s="176">
        <f>SUM(S94:S114)</f>
        <v>0</v>
      </c>
      <c r="T115" s="173" t="e">
        <f>S115/S12</f>
        <v>#DIV/0!</v>
      </c>
      <c r="U115" s="174">
        <f>SUM(U94:U114)</f>
        <v>0</v>
      </c>
      <c r="V115" s="173" t="e">
        <f>U115/U12</f>
        <v>#DIV/0!</v>
      </c>
      <c r="W115" s="177">
        <f>SUM(W94:W114)</f>
        <v>0</v>
      </c>
      <c r="X115" s="173" t="e">
        <f>W115/W12</f>
        <v>#DIV/0!</v>
      </c>
      <c r="Y115" s="174">
        <f>SUM(Y94:Y114)</f>
        <v>0</v>
      </c>
      <c r="Z115" s="227" t="e">
        <f>Y115/Y12</f>
        <v>#DIV/0!</v>
      </c>
      <c r="AA115" s="211">
        <f>SUM(AA94:AA114)</f>
        <v>0</v>
      </c>
      <c r="AB115" s="245" t="e">
        <f>AA115/AA12</f>
        <v>#DIV/0!</v>
      </c>
      <c r="AC115" s="210">
        <f t="shared" si="56"/>
        <v>0</v>
      </c>
      <c r="AD115" s="245" t="e">
        <f>AC115/AC12</f>
        <v>#DIV/0!</v>
      </c>
      <c r="AE115" s="75"/>
      <c r="AF115" s="169"/>
      <c r="AG115" s="75"/>
      <c r="AH115" s="210">
        <f>SUM(AH94:AH114)</f>
        <v>36469.838933130704</v>
      </c>
      <c r="AI115" s="259">
        <f>AH115/AH12</f>
        <v>4.5291198961105346E-2</v>
      </c>
      <c r="AJ115" s="297">
        <f t="shared" si="54"/>
        <v>36469.838933130704</v>
      </c>
      <c r="AK115" s="53">
        <f t="shared" si="55"/>
        <v>0</v>
      </c>
      <c r="AL115" s="53">
        <f t="shared" si="57"/>
        <v>0</v>
      </c>
      <c r="AM115" s="53">
        <f t="shared" si="59"/>
        <v>0</v>
      </c>
      <c r="AN115" s="53" t="e">
        <f>#REF!-AM115</f>
        <v>#REF!</v>
      </c>
      <c r="AO115" s="53"/>
    </row>
    <row r="116" spans="1:42" ht="15.75" thickTop="1">
      <c r="A116" s="16">
        <v>6401</v>
      </c>
      <c r="B116" s="111" t="s">
        <v>89</v>
      </c>
      <c r="C116" s="61"/>
      <c r="D116" s="49" t="e">
        <f>C116/C12</f>
        <v>#DIV/0!</v>
      </c>
      <c r="E116" s="61"/>
      <c r="F116" s="49" t="e">
        <f>E116/E12</f>
        <v>#DIV/0!</v>
      </c>
      <c r="G116" s="80"/>
      <c r="H116" s="49" t="e">
        <f>G116/G12</f>
        <v>#DIV/0!</v>
      </c>
      <c r="J116" s="49" t="e">
        <f>I116/I12</f>
        <v>#DIV/0!</v>
      </c>
      <c r="K116" s="61"/>
      <c r="L116" s="49" t="e">
        <f>K116/K12</f>
        <v>#DIV/0!</v>
      </c>
      <c r="N116" s="49" t="e">
        <f>M116/M12</f>
        <v>#DIV/0!</v>
      </c>
      <c r="P116" s="49" t="e">
        <f>O116/O12</f>
        <v>#DIV/0!</v>
      </c>
      <c r="R116" s="49" t="e">
        <f>Q116/Q12</f>
        <v>#DIV/0!</v>
      </c>
      <c r="T116" s="49" t="e">
        <f>S116/S12</f>
        <v>#DIV/0!</v>
      </c>
      <c r="U116" s="24"/>
      <c r="V116" s="49" t="e">
        <f>U116/U12</f>
        <v>#DIV/0!</v>
      </c>
      <c r="W116" s="24"/>
      <c r="X116" s="49" t="e">
        <f>W116/W12</f>
        <v>#DIV/0!</v>
      </c>
      <c r="Y116" s="24"/>
      <c r="Z116" s="179" t="e">
        <f>Y116/Y12</f>
        <v>#DIV/0!</v>
      </c>
      <c r="AA116" s="286">
        <f t="shared" ref="AA116:AA127" si="75">C116+E116+G116+I116+K116+M116+O116+Q116+S116+U116+W116+Y116</f>
        <v>0</v>
      </c>
      <c r="AB116" s="214" t="e">
        <f>AA116/AA12</f>
        <v>#DIV/0!</v>
      </c>
      <c r="AC116" s="205">
        <f t="shared" si="56"/>
        <v>0</v>
      </c>
      <c r="AD116" s="214" t="e">
        <f>AC116/AC12</f>
        <v>#DIV/0!</v>
      </c>
      <c r="AE116" s="75"/>
      <c r="AF116" s="169"/>
      <c r="AG116" s="75"/>
      <c r="AH116" s="205"/>
      <c r="AI116" s="255">
        <f>AH116/AH12</f>
        <v>0</v>
      </c>
      <c r="AJ116" s="293">
        <f t="shared" ref="AJ116:AJ151" si="76">SUM(AA116+AC116+AH116)</f>
        <v>0</v>
      </c>
      <c r="AK116" s="53">
        <f t="shared" si="55"/>
        <v>0</v>
      </c>
      <c r="AL116" s="53">
        <f t="shared" si="57"/>
        <v>0</v>
      </c>
      <c r="AM116" s="53">
        <f t="shared" si="59"/>
        <v>0</v>
      </c>
      <c r="AN116" s="53" t="e">
        <f>#REF!-AM116</f>
        <v>#REF!</v>
      </c>
      <c r="AO116" s="53"/>
    </row>
    <row r="117" spans="1:42">
      <c r="A117" s="99">
        <v>6402</v>
      </c>
      <c r="B117" s="2" t="s">
        <v>75</v>
      </c>
      <c r="C117" s="23"/>
      <c r="D117" s="49" t="e">
        <f>C117/C12</f>
        <v>#DIV/0!</v>
      </c>
      <c r="E117" s="23"/>
      <c r="F117" s="49" t="e">
        <f>E117/E12</f>
        <v>#DIV/0!</v>
      </c>
      <c r="G117" s="23"/>
      <c r="H117" s="49" t="e">
        <f>G117/G12</f>
        <v>#DIV/0!</v>
      </c>
      <c r="I117" s="23"/>
      <c r="J117" s="49" t="e">
        <f>I117/I12</f>
        <v>#DIV/0!</v>
      </c>
      <c r="K117" s="23"/>
      <c r="L117" s="49" t="e">
        <f>K117/K12</f>
        <v>#DIV/0!</v>
      </c>
      <c r="M117" s="23">
        <v>0</v>
      </c>
      <c r="N117" s="49" t="e">
        <f>M117/M12</f>
        <v>#DIV/0!</v>
      </c>
      <c r="O117" s="23">
        <v>0</v>
      </c>
      <c r="P117" s="49" t="e">
        <f>O117/O12</f>
        <v>#DIV/0!</v>
      </c>
      <c r="Q117" s="23">
        <v>0</v>
      </c>
      <c r="R117" s="49" t="e">
        <f>Q117/Q12</f>
        <v>#DIV/0!</v>
      </c>
      <c r="S117" s="23">
        <v>0</v>
      </c>
      <c r="T117" s="49" t="e">
        <f>S117/S12</f>
        <v>#DIV/0!</v>
      </c>
      <c r="U117" s="23">
        <v>0</v>
      </c>
      <c r="V117" s="49" t="e">
        <f>U117/U12</f>
        <v>#DIV/0!</v>
      </c>
      <c r="W117" s="23">
        <v>0</v>
      </c>
      <c r="X117" s="49" t="e">
        <f>W117/W12</f>
        <v>#DIV/0!</v>
      </c>
      <c r="Y117" s="23">
        <v>0</v>
      </c>
      <c r="Z117" s="179" t="e">
        <f>Y117/Y12</f>
        <v>#DIV/0!</v>
      </c>
      <c r="AA117" s="286">
        <f t="shared" si="75"/>
        <v>0</v>
      </c>
      <c r="AB117" s="214" t="e">
        <f>AA117/AA12</f>
        <v>#DIV/0!</v>
      </c>
      <c r="AC117" s="207">
        <f t="shared" si="56"/>
        <v>0</v>
      </c>
      <c r="AD117" s="214" t="e">
        <f>AC117/AC12</f>
        <v>#DIV/0!</v>
      </c>
      <c r="AE117" s="170"/>
      <c r="AF117" s="238"/>
      <c r="AG117" s="75"/>
      <c r="AH117" s="207">
        <v>1100.269</v>
      </c>
      <c r="AI117" s="255">
        <f>AH117/AH12</f>
        <v>1.3664031333153633E-3</v>
      </c>
      <c r="AJ117" s="293">
        <f t="shared" si="76"/>
        <v>1100.269</v>
      </c>
      <c r="AK117" s="53">
        <f t="shared" si="55"/>
        <v>0</v>
      </c>
      <c r="AL117" s="53">
        <f t="shared" si="57"/>
        <v>0</v>
      </c>
      <c r="AM117" s="53">
        <f t="shared" si="59"/>
        <v>0</v>
      </c>
      <c r="AN117" s="53" t="e">
        <f>#REF!-AM117</f>
        <v>#REF!</v>
      </c>
      <c r="AO117" s="53"/>
    </row>
    <row r="118" spans="1:42">
      <c r="A118" s="99">
        <v>6404</v>
      </c>
      <c r="B118" s="2" t="s">
        <v>91</v>
      </c>
      <c r="C118" s="23"/>
      <c r="D118" s="49" t="e">
        <f>C118/C12</f>
        <v>#DIV/0!</v>
      </c>
      <c r="E118" s="23"/>
      <c r="F118" s="49" t="e">
        <f>E118/E12</f>
        <v>#DIV/0!</v>
      </c>
      <c r="G118" s="23"/>
      <c r="H118" s="49" t="e">
        <f>G118/G12</f>
        <v>#DIV/0!</v>
      </c>
      <c r="I118" s="23"/>
      <c r="J118" s="49" t="e">
        <f>I118/I12</f>
        <v>#DIV/0!</v>
      </c>
      <c r="K118" s="23"/>
      <c r="L118" s="49" t="e">
        <f>K118/K12</f>
        <v>#DIV/0!</v>
      </c>
      <c r="M118" s="23">
        <v>0</v>
      </c>
      <c r="N118" s="49" t="e">
        <f>M118/M12</f>
        <v>#DIV/0!</v>
      </c>
      <c r="O118" s="23">
        <v>0</v>
      </c>
      <c r="P118" s="49" t="e">
        <f>O118/O12</f>
        <v>#DIV/0!</v>
      </c>
      <c r="Q118" s="23">
        <v>0</v>
      </c>
      <c r="R118" s="49" t="e">
        <f>Q118/Q12</f>
        <v>#DIV/0!</v>
      </c>
      <c r="S118" s="23">
        <v>0</v>
      </c>
      <c r="T118" s="49" t="e">
        <f>S118/S12</f>
        <v>#DIV/0!</v>
      </c>
      <c r="U118" s="23">
        <v>0</v>
      </c>
      <c r="V118" s="49" t="e">
        <f>U118/U12</f>
        <v>#DIV/0!</v>
      </c>
      <c r="W118" s="23">
        <v>0</v>
      </c>
      <c r="X118" s="49" t="e">
        <f>W118/W12</f>
        <v>#DIV/0!</v>
      </c>
      <c r="Y118" s="23">
        <v>0</v>
      </c>
      <c r="Z118" s="179" t="e">
        <f>Y118/Y12</f>
        <v>#DIV/0!</v>
      </c>
      <c r="AA118" s="286">
        <f t="shared" si="75"/>
        <v>0</v>
      </c>
      <c r="AB118" s="214" t="e">
        <f>AA118/AA12</f>
        <v>#DIV/0!</v>
      </c>
      <c r="AC118" s="207">
        <f t="shared" si="56"/>
        <v>0</v>
      </c>
      <c r="AD118" s="214" t="e">
        <f>AC118/AC12</f>
        <v>#DIV/0!</v>
      </c>
      <c r="AE118" s="170"/>
      <c r="AF118" s="238"/>
      <c r="AG118" s="75"/>
      <c r="AH118" s="207">
        <v>0</v>
      </c>
      <c r="AI118" s="255">
        <f>AH118/AH12</f>
        <v>0</v>
      </c>
      <c r="AJ118" s="293">
        <f t="shared" si="76"/>
        <v>0</v>
      </c>
      <c r="AK118" s="53">
        <f t="shared" si="55"/>
        <v>0</v>
      </c>
      <c r="AL118" s="53">
        <f t="shared" si="57"/>
        <v>0</v>
      </c>
      <c r="AM118" s="53">
        <f t="shared" si="59"/>
        <v>0</v>
      </c>
      <c r="AN118" s="53" t="e">
        <f>#REF!-AM118</f>
        <v>#REF!</v>
      </c>
      <c r="AO118" s="53"/>
    </row>
    <row r="119" spans="1:42">
      <c r="A119" s="99">
        <v>6406</v>
      </c>
      <c r="B119" s="2" t="s">
        <v>73</v>
      </c>
      <c r="C119" s="18"/>
      <c r="D119" s="49" t="e">
        <f>C119/C12</f>
        <v>#DIV/0!</v>
      </c>
      <c r="E119" s="18"/>
      <c r="F119" s="49" t="e">
        <f>E119/E12</f>
        <v>#DIV/0!</v>
      </c>
      <c r="G119" s="18"/>
      <c r="H119" s="49" t="e">
        <f>G119/G12</f>
        <v>#DIV/0!</v>
      </c>
      <c r="I119" s="18"/>
      <c r="J119" s="49" t="e">
        <f>I119/I12</f>
        <v>#DIV/0!</v>
      </c>
      <c r="K119" s="18"/>
      <c r="L119" s="49" t="e">
        <f>K119/K12</f>
        <v>#DIV/0!</v>
      </c>
      <c r="M119" s="18">
        <v>0</v>
      </c>
      <c r="N119" s="49" t="e">
        <f>M119/M12</f>
        <v>#DIV/0!</v>
      </c>
      <c r="O119" s="18">
        <v>0</v>
      </c>
      <c r="P119" s="49" t="e">
        <f>O119/O12</f>
        <v>#DIV/0!</v>
      </c>
      <c r="Q119" s="18">
        <v>0</v>
      </c>
      <c r="R119" s="49" t="e">
        <f>Q119/Q12</f>
        <v>#DIV/0!</v>
      </c>
      <c r="S119" s="18">
        <v>0</v>
      </c>
      <c r="T119" s="49" t="e">
        <f>S119/S12</f>
        <v>#DIV/0!</v>
      </c>
      <c r="U119" s="18">
        <v>0</v>
      </c>
      <c r="V119" s="49" t="e">
        <f>U119/U12</f>
        <v>#DIV/0!</v>
      </c>
      <c r="W119" s="18">
        <v>0</v>
      </c>
      <c r="X119" s="49" t="e">
        <f>W119/W12</f>
        <v>#DIV/0!</v>
      </c>
      <c r="Y119" s="18">
        <v>0</v>
      </c>
      <c r="Z119" s="179" t="e">
        <f>Y119/Y12</f>
        <v>#DIV/0!</v>
      </c>
      <c r="AA119" s="286">
        <f t="shared" si="75"/>
        <v>0</v>
      </c>
      <c r="AB119" s="214" t="e">
        <f>AA119/AA12</f>
        <v>#DIV/0!</v>
      </c>
      <c r="AC119" s="205">
        <f t="shared" si="56"/>
        <v>0</v>
      </c>
      <c r="AD119" s="214" t="e">
        <f>AC119/AC12</f>
        <v>#DIV/0!</v>
      </c>
      <c r="AE119" s="170"/>
      <c r="AF119" s="238"/>
      <c r="AG119" s="75"/>
      <c r="AH119" s="205">
        <v>0</v>
      </c>
      <c r="AI119" s="255">
        <f>AH119/AH12</f>
        <v>0</v>
      </c>
      <c r="AJ119" s="293">
        <f t="shared" si="76"/>
        <v>0</v>
      </c>
      <c r="AK119" s="53">
        <f t="shared" si="55"/>
        <v>0</v>
      </c>
      <c r="AL119" s="53">
        <f t="shared" si="57"/>
        <v>0</v>
      </c>
      <c r="AM119" s="53">
        <f t="shared" si="59"/>
        <v>0</v>
      </c>
      <c r="AN119" s="53" t="e">
        <f>#REF!-AM119</f>
        <v>#REF!</v>
      </c>
      <c r="AO119" s="53"/>
    </row>
    <row r="120" spans="1:42">
      <c r="A120" s="2">
        <v>6407</v>
      </c>
      <c r="B120" s="112" t="s">
        <v>74</v>
      </c>
      <c r="C120" s="43"/>
      <c r="D120" s="49" t="e">
        <f>C120/C12</f>
        <v>#DIV/0!</v>
      </c>
      <c r="E120" s="43"/>
      <c r="F120" s="49" t="e">
        <f>E120/E12</f>
        <v>#DIV/0!</v>
      </c>
      <c r="G120" s="80"/>
      <c r="H120" s="49" t="e">
        <f>G120/G12</f>
        <v>#DIV/0!</v>
      </c>
      <c r="I120" s="18"/>
      <c r="J120" s="49" t="e">
        <f>I120/I12</f>
        <v>#DIV/0!</v>
      </c>
      <c r="K120" s="43"/>
      <c r="L120" s="49" t="e">
        <f>K120/K12</f>
        <v>#DIV/0!</v>
      </c>
      <c r="M120" s="18">
        <v>0</v>
      </c>
      <c r="N120" s="49" t="e">
        <f>M120/M12</f>
        <v>#DIV/0!</v>
      </c>
      <c r="O120" s="18">
        <v>0</v>
      </c>
      <c r="P120" s="49" t="e">
        <f>O120/O12</f>
        <v>#DIV/0!</v>
      </c>
      <c r="Q120" s="18">
        <v>0</v>
      </c>
      <c r="R120" s="49" t="e">
        <f>Q120/Q12</f>
        <v>#DIV/0!</v>
      </c>
      <c r="S120" s="18">
        <v>0</v>
      </c>
      <c r="T120" s="49" t="e">
        <f>S120/S12</f>
        <v>#DIV/0!</v>
      </c>
      <c r="U120" s="18">
        <v>0</v>
      </c>
      <c r="V120" s="49" t="e">
        <f>U120/U12</f>
        <v>#DIV/0!</v>
      </c>
      <c r="W120" s="18">
        <v>0</v>
      </c>
      <c r="X120" s="49" t="e">
        <f>W120/W12</f>
        <v>#DIV/0!</v>
      </c>
      <c r="Y120" s="18">
        <v>0</v>
      </c>
      <c r="Z120" s="179" t="e">
        <f>Y120/Y12</f>
        <v>#DIV/0!</v>
      </c>
      <c r="AA120" s="286">
        <f t="shared" si="75"/>
        <v>0</v>
      </c>
      <c r="AB120" s="214" t="e">
        <f>AA120/AA12</f>
        <v>#DIV/0!</v>
      </c>
      <c r="AC120" s="205">
        <f t="shared" si="56"/>
        <v>0</v>
      </c>
      <c r="AD120" s="214" t="e">
        <f>AC120/AC12</f>
        <v>#DIV/0!</v>
      </c>
      <c r="AE120" s="170"/>
      <c r="AF120" s="238"/>
      <c r="AG120" s="75"/>
      <c r="AH120" s="205">
        <v>0</v>
      </c>
      <c r="AI120" s="255">
        <f>AH120/AH12</f>
        <v>0</v>
      </c>
      <c r="AJ120" s="293">
        <f t="shared" si="76"/>
        <v>0</v>
      </c>
      <c r="AK120" s="53">
        <f t="shared" si="55"/>
        <v>0</v>
      </c>
      <c r="AL120" s="53">
        <f t="shared" si="57"/>
        <v>0</v>
      </c>
      <c r="AM120" s="53">
        <f t="shared" si="59"/>
        <v>0</v>
      </c>
      <c r="AN120" s="53" t="e">
        <f>#REF!-AM120</f>
        <v>#REF!</v>
      </c>
      <c r="AO120" s="53"/>
    </row>
    <row r="121" spans="1:42">
      <c r="A121" s="2">
        <v>6408</v>
      </c>
      <c r="B121" s="112" t="s">
        <v>43</v>
      </c>
      <c r="C121" s="43"/>
      <c r="D121" s="49" t="e">
        <f>C121/C12</f>
        <v>#DIV/0!</v>
      </c>
      <c r="E121" s="43"/>
      <c r="F121" s="49" t="e">
        <f>E121/E12</f>
        <v>#DIV/0!</v>
      </c>
      <c r="G121" s="80"/>
      <c r="H121" s="49" t="e">
        <f>G121/G12</f>
        <v>#DIV/0!</v>
      </c>
      <c r="I121" s="18"/>
      <c r="J121" s="49" t="e">
        <f>I121/I12</f>
        <v>#DIV/0!</v>
      </c>
      <c r="K121" s="43"/>
      <c r="L121" s="49" t="e">
        <f>K121/K12</f>
        <v>#DIV/0!</v>
      </c>
      <c r="M121" s="18">
        <v>0</v>
      </c>
      <c r="N121" s="49" t="e">
        <f>M121/M12</f>
        <v>#DIV/0!</v>
      </c>
      <c r="O121" s="18">
        <v>0</v>
      </c>
      <c r="P121" s="49" t="e">
        <f>O121/O12</f>
        <v>#DIV/0!</v>
      </c>
      <c r="Q121" s="18">
        <v>0</v>
      </c>
      <c r="R121" s="49" t="e">
        <f>Q121/Q12</f>
        <v>#DIV/0!</v>
      </c>
      <c r="S121" s="18">
        <v>0</v>
      </c>
      <c r="T121" s="49" t="e">
        <f>S121/S12</f>
        <v>#DIV/0!</v>
      </c>
      <c r="U121" s="18">
        <v>0</v>
      </c>
      <c r="V121" s="49" t="e">
        <f>U121/U12</f>
        <v>#DIV/0!</v>
      </c>
      <c r="W121" s="18">
        <v>0</v>
      </c>
      <c r="X121" s="49" t="e">
        <f>W121/W12</f>
        <v>#DIV/0!</v>
      </c>
      <c r="Y121" s="18">
        <v>0</v>
      </c>
      <c r="Z121" s="179" t="e">
        <f>Y121/Y12</f>
        <v>#DIV/0!</v>
      </c>
      <c r="AA121" s="286">
        <f t="shared" si="75"/>
        <v>0</v>
      </c>
      <c r="AB121" s="214" t="e">
        <f>AA121/AA12</f>
        <v>#DIV/0!</v>
      </c>
      <c r="AC121" s="205">
        <f t="shared" si="56"/>
        <v>0</v>
      </c>
      <c r="AD121" s="214" t="e">
        <f>AC121/AC12</f>
        <v>#DIV/0!</v>
      </c>
      <c r="AE121" s="170"/>
      <c r="AF121" s="238"/>
      <c r="AG121" s="75"/>
      <c r="AH121" s="205">
        <v>0</v>
      </c>
      <c r="AI121" s="255">
        <f>AH121/AH12</f>
        <v>0</v>
      </c>
      <c r="AJ121" s="293">
        <f t="shared" si="76"/>
        <v>0</v>
      </c>
      <c r="AK121" s="53">
        <f t="shared" si="55"/>
        <v>0</v>
      </c>
      <c r="AL121" s="53">
        <f t="shared" si="57"/>
        <v>0</v>
      </c>
      <c r="AM121" s="53">
        <f t="shared" si="59"/>
        <v>0</v>
      </c>
      <c r="AN121" s="53" t="e">
        <f>#REF!-AM121</f>
        <v>#REF!</v>
      </c>
      <c r="AO121" s="53"/>
    </row>
    <row r="122" spans="1:42">
      <c r="A122" s="2">
        <v>6410</v>
      </c>
      <c r="B122" s="112" t="s">
        <v>105</v>
      </c>
      <c r="C122" s="43"/>
      <c r="D122" s="49"/>
      <c r="E122" s="43"/>
      <c r="F122" s="49"/>
      <c r="G122" s="80"/>
      <c r="H122" s="49"/>
      <c r="I122" s="18"/>
      <c r="J122" s="49"/>
      <c r="K122" s="43"/>
      <c r="L122" s="49"/>
      <c r="M122" s="18"/>
      <c r="N122" s="49"/>
      <c r="O122" s="18"/>
      <c r="P122" s="49"/>
      <c r="Q122" s="18"/>
      <c r="R122" s="49"/>
      <c r="S122" s="18"/>
      <c r="T122" s="49"/>
      <c r="U122" s="18"/>
      <c r="V122" s="49"/>
      <c r="W122" s="18"/>
      <c r="X122" s="49"/>
      <c r="Y122" s="18"/>
      <c r="Z122" s="179"/>
      <c r="AA122" s="286">
        <f t="shared" si="75"/>
        <v>0</v>
      </c>
      <c r="AB122" s="214"/>
      <c r="AC122" s="205">
        <f t="shared" si="56"/>
        <v>0</v>
      </c>
      <c r="AD122" s="214"/>
      <c r="AE122" s="170"/>
      <c r="AF122" s="238"/>
      <c r="AG122" s="75"/>
      <c r="AH122" s="205">
        <v>0</v>
      </c>
      <c r="AI122" s="255"/>
      <c r="AJ122" s="293">
        <f t="shared" si="76"/>
        <v>0</v>
      </c>
      <c r="AK122" s="53">
        <f t="shared" si="55"/>
        <v>0</v>
      </c>
      <c r="AL122" s="53">
        <f t="shared" si="57"/>
        <v>0</v>
      </c>
      <c r="AM122" s="53">
        <f t="shared" si="59"/>
        <v>0</v>
      </c>
      <c r="AN122" s="53" t="e">
        <f>#REF!-AM122</f>
        <v>#REF!</v>
      </c>
      <c r="AO122" s="53"/>
    </row>
    <row r="123" spans="1:42">
      <c r="A123" s="2">
        <v>6411</v>
      </c>
      <c r="B123" s="112" t="s">
        <v>107</v>
      </c>
      <c r="C123" s="43"/>
      <c r="D123" s="49"/>
      <c r="E123" s="43"/>
      <c r="F123" s="49"/>
      <c r="G123" s="80"/>
      <c r="H123" s="49"/>
      <c r="I123" s="18"/>
      <c r="J123" s="49"/>
      <c r="K123" s="43"/>
      <c r="L123" s="49"/>
      <c r="M123" s="18"/>
      <c r="N123" s="49"/>
      <c r="O123" s="18"/>
      <c r="P123" s="49"/>
      <c r="Q123" s="18"/>
      <c r="R123" s="49"/>
      <c r="S123" s="18"/>
      <c r="T123" s="49"/>
      <c r="U123" s="18"/>
      <c r="V123" s="49"/>
      <c r="W123" s="18"/>
      <c r="X123" s="49"/>
      <c r="Y123" s="18"/>
      <c r="Z123" s="179"/>
      <c r="AA123" s="286">
        <f t="shared" si="75"/>
        <v>0</v>
      </c>
      <c r="AB123" s="214"/>
      <c r="AC123" s="205">
        <f t="shared" si="56"/>
        <v>0</v>
      </c>
      <c r="AD123" s="214"/>
      <c r="AE123" s="170"/>
      <c r="AF123" s="238"/>
      <c r="AG123" s="75"/>
      <c r="AH123" s="205">
        <v>0</v>
      </c>
      <c r="AI123" s="255"/>
      <c r="AJ123" s="293">
        <f t="shared" si="76"/>
        <v>0</v>
      </c>
      <c r="AK123" s="53">
        <f t="shared" si="55"/>
        <v>0</v>
      </c>
      <c r="AL123" s="53">
        <f t="shared" si="57"/>
        <v>0</v>
      </c>
      <c r="AM123" s="53">
        <f t="shared" si="59"/>
        <v>0</v>
      </c>
      <c r="AN123" s="53" t="e">
        <f>#REF!-AM123</f>
        <v>#REF!</v>
      </c>
      <c r="AO123" s="53"/>
    </row>
    <row r="124" spans="1:42">
      <c r="A124" s="2">
        <v>6412</v>
      </c>
      <c r="B124" s="112" t="s">
        <v>92</v>
      </c>
      <c r="C124" s="43"/>
      <c r="D124" s="49" t="e">
        <f>C124/C12</f>
        <v>#DIV/0!</v>
      </c>
      <c r="E124" s="43"/>
      <c r="F124" s="49" t="e">
        <f>E124/E12</f>
        <v>#DIV/0!</v>
      </c>
      <c r="G124" s="80"/>
      <c r="H124" s="49" t="e">
        <f>G124/G12</f>
        <v>#DIV/0!</v>
      </c>
      <c r="I124" s="18"/>
      <c r="J124" s="49" t="e">
        <f>I124/I12</f>
        <v>#DIV/0!</v>
      </c>
      <c r="K124" s="43"/>
      <c r="L124" s="49" t="e">
        <f>K124/K12</f>
        <v>#DIV/0!</v>
      </c>
      <c r="M124" s="18"/>
      <c r="N124" s="49" t="e">
        <f>M124/M12</f>
        <v>#DIV/0!</v>
      </c>
      <c r="O124" s="18"/>
      <c r="P124" s="49" t="e">
        <f>O124/O12</f>
        <v>#DIV/0!</v>
      </c>
      <c r="Q124" s="18"/>
      <c r="R124" s="49" t="e">
        <f>Q124/Q12</f>
        <v>#DIV/0!</v>
      </c>
      <c r="S124" s="18"/>
      <c r="T124" s="49" t="e">
        <f>S124/S12</f>
        <v>#DIV/0!</v>
      </c>
      <c r="U124" s="18"/>
      <c r="V124" s="49" t="e">
        <f>U124/U12</f>
        <v>#DIV/0!</v>
      </c>
      <c r="W124" s="18"/>
      <c r="X124" s="49" t="e">
        <f>W124/W12</f>
        <v>#DIV/0!</v>
      </c>
      <c r="Y124" s="18"/>
      <c r="Z124" s="179" t="e">
        <f>Y124/Y12</f>
        <v>#DIV/0!</v>
      </c>
      <c r="AA124" s="286">
        <f t="shared" si="75"/>
        <v>0</v>
      </c>
      <c r="AB124" s="214" t="e">
        <f>AA124/AA12</f>
        <v>#DIV/0!</v>
      </c>
      <c r="AC124" s="205">
        <f t="shared" si="56"/>
        <v>0</v>
      </c>
      <c r="AD124" s="214" t="e">
        <f>AC124/AC12</f>
        <v>#DIV/0!</v>
      </c>
      <c r="AE124" s="170"/>
      <c r="AF124" s="238"/>
      <c r="AG124" s="75"/>
      <c r="AH124" s="205">
        <v>0</v>
      </c>
      <c r="AI124" s="255">
        <f>AH124/AH12</f>
        <v>0</v>
      </c>
      <c r="AJ124" s="293">
        <f t="shared" si="76"/>
        <v>0</v>
      </c>
      <c r="AK124" s="53">
        <f t="shared" si="55"/>
        <v>0</v>
      </c>
      <c r="AL124" s="53">
        <f t="shared" si="57"/>
        <v>0</v>
      </c>
      <c r="AM124" s="53">
        <f t="shared" si="59"/>
        <v>0</v>
      </c>
      <c r="AN124" s="53" t="e">
        <f>#REF!-AM124</f>
        <v>#REF!</v>
      </c>
      <c r="AO124" s="53"/>
    </row>
    <row r="125" spans="1:42">
      <c r="A125" s="2">
        <v>6413</v>
      </c>
      <c r="B125" s="2" t="s">
        <v>42</v>
      </c>
      <c r="C125" s="18"/>
      <c r="D125" s="49" t="e">
        <f>C125/C12</f>
        <v>#DIV/0!</v>
      </c>
      <c r="E125" s="18"/>
      <c r="F125" s="49" t="e">
        <f>E125/E12</f>
        <v>#DIV/0!</v>
      </c>
      <c r="G125" s="18"/>
      <c r="H125" s="49" t="e">
        <f>G125/G12</f>
        <v>#DIV/0!</v>
      </c>
      <c r="I125" s="18"/>
      <c r="J125" s="49" t="e">
        <f>I125/I12</f>
        <v>#DIV/0!</v>
      </c>
      <c r="K125" s="18"/>
      <c r="L125" s="49" t="e">
        <f>K125/K12</f>
        <v>#DIV/0!</v>
      </c>
      <c r="M125" s="18">
        <v>0</v>
      </c>
      <c r="N125" s="49" t="e">
        <f>M125/M12</f>
        <v>#DIV/0!</v>
      </c>
      <c r="O125" s="18">
        <v>0</v>
      </c>
      <c r="P125" s="49" t="e">
        <f>O125/O12</f>
        <v>#DIV/0!</v>
      </c>
      <c r="Q125" s="18">
        <v>0</v>
      </c>
      <c r="R125" s="49" t="e">
        <f>Q125/Q12</f>
        <v>#DIV/0!</v>
      </c>
      <c r="S125" s="18">
        <v>0</v>
      </c>
      <c r="T125" s="49" t="e">
        <f>S125/S12</f>
        <v>#DIV/0!</v>
      </c>
      <c r="U125" s="18">
        <v>0</v>
      </c>
      <c r="V125" s="49" t="e">
        <f>U125/U12</f>
        <v>#DIV/0!</v>
      </c>
      <c r="W125" s="18">
        <v>0</v>
      </c>
      <c r="X125" s="49" t="e">
        <f>W125/W12</f>
        <v>#DIV/0!</v>
      </c>
      <c r="Y125" s="18">
        <v>0</v>
      </c>
      <c r="Z125" s="179" t="e">
        <f>Y125/Y12</f>
        <v>#DIV/0!</v>
      </c>
      <c r="AA125" s="286">
        <f t="shared" si="75"/>
        <v>0</v>
      </c>
      <c r="AB125" s="214" t="e">
        <f>AA125/AA12</f>
        <v>#DIV/0!</v>
      </c>
      <c r="AC125" s="205">
        <f t="shared" si="56"/>
        <v>0</v>
      </c>
      <c r="AD125" s="214" t="e">
        <f>AC125/AC12</f>
        <v>#DIV/0!</v>
      </c>
      <c r="AE125" s="170"/>
      <c r="AF125" s="249"/>
      <c r="AG125" s="171"/>
      <c r="AH125" s="205">
        <v>12000</v>
      </c>
      <c r="AI125" s="255">
        <f>AH125/AH12</f>
        <v>1.490257164364747E-2</v>
      </c>
      <c r="AJ125" s="293">
        <f t="shared" si="76"/>
        <v>12000</v>
      </c>
      <c r="AK125" s="53">
        <f t="shared" si="55"/>
        <v>0</v>
      </c>
      <c r="AL125" s="53">
        <f t="shared" si="57"/>
        <v>0</v>
      </c>
      <c r="AM125" s="53">
        <f t="shared" si="59"/>
        <v>0</v>
      </c>
      <c r="AN125" s="53" t="e">
        <f>#REF!-AM125</f>
        <v>#REF!</v>
      </c>
      <c r="AO125" s="53"/>
    </row>
    <row r="126" spans="1:42">
      <c r="A126" s="2">
        <v>6414</v>
      </c>
      <c r="B126" s="2" t="s">
        <v>44</v>
      </c>
      <c r="C126" s="18"/>
      <c r="D126" s="49" t="e">
        <f>C126/C12</f>
        <v>#DIV/0!</v>
      </c>
      <c r="E126" s="18"/>
      <c r="F126" s="49" t="e">
        <f>E126/E12</f>
        <v>#DIV/0!</v>
      </c>
      <c r="G126" s="18"/>
      <c r="H126" s="49" t="e">
        <f>G126/G12</f>
        <v>#DIV/0!</v>
      </c>
      <c r="I126" s="18"/>
      <c r="J126" s="49" t="e">
        <f>I126/I12</f>
        <v>#DIV/0!</v>
      </c>
      <c r="K126" s="18"/>
      <c r="L126" s="49" t="e">
        <f>K126/K12</f>
        <v>#DIV/0!</v>
      </c>
      <c r="M126" s="18">
        <v>0</v>
      </c>
      <c r="N126" s="49" t="e">
        <f>M126/M12</f>
        <v>#DIV/0!</v>
      </c>
      <c r="O126" s="18">
        <v>0</v>
      </c>
      <c r="P126" s="49" t="e">
        <f>O126/O12</f>
        <v>#DIV/0!</v>
      </c>
      <c r="Q126" s="18">
        <v>0</v>
      </c>
      <c r="R126" s="49" t="e">
        <f>Q126/Q12</f>
        <v>#DIV/0!</v>
      </c>
      <c r="S126" s="18">
        <v>0</v>
      </c>
      <c r="T126" s="49" t="e">
        <f>S126/S12</f>
        <v>#DIV/0!</v>
      </c>
      <c r="U126" s="18">
        <v>0</v>
      </c>
      <c r="V126" s="49" t="e">
        <f>U126/U12</f>
        <v>#DIV/0!</v>
      </c>
      <c r="W126" s="18">
        <v>0</v>
      </c>
      <c r="X126" s="49" t="e">
        <f>W126/W12</f>
        <v>#DIV/0!</v>
      </c>
      <c r="Y126" s="18">
        <v>0</v>
      </c>
      <c r="Z126" s="179" t="e">
        <f>Y126/Y12</f>
        <v>#DIV/0!</v>
      </c>
      <c r="AA126" s="286">
        <f t="shared" si="75"/>
        <v>0</v>
      </c>
      <c r="AB126" s="214" t="e">
        <f>AA126/AA12</f>
        <v>#DIV/0!</v>
      </c>
      <c r="AC126" s="205">
        <f t="shared" si="56"/>
        <v>0</v>
      </c>
      <c r="AD126" s="214" t="e">
        <f>AC126/AC12</f>
        <v>#DIV/0!</v>
      </c>
      <c r="AE126" s="170"/>
      <c r="AF126" s="238"/>
      <c r="AG126" s="75"/>
      <c r="AH126" s="205">
        <v>15</v>
      </c>
      <c r="AI126" s="255">
        <f>AH126/AH12</f>
        <v>1.8628214554559339E-5</v>
      </c>
      <c r="AJ126" s="293">
        <f t="shared" si="76"/>
        <v>15</v>
      </c>
      <c r="AK126" s="53">
        <f t="shared" si="55"/>
        <v>0</v>
      </c>
      <c r="AL126" s="53">
        <f t="shared" si="57"/>
        <v>0</v>
      </c>
      <c r="AM126" s="53">
        <f t="shared" si="59"/>
        <v>0</v>
      </c>
      <c r="AN126" s="53" t="e">
        <f>#REF!-AM126</f>
        <v>#REF!</v>
      </c>
      <c r="AO126" s="53"/>
    </row>
    <row r="127" spans="1:42">
      <c r="A127" s="2">
        <v>6415</v>
      </c>
      <c r="B127" s="112" t="s">
        <v>45</v>
      </c>
      <c r="C127" s="18"/>
      <c r="D127" s="49" t="e">
        <f>C127/C12</f>
        <v>#DIV/0!</v>
      </c>
      <c r="E127" s="136"/>
      <c r="F127" s="49" t="e">
        <f>E127/E12</f>
        <v>#DIV/0!</v>
      </c>
      <c r="G127" s="136"/>
      <c r="H127" s="49" t="e">
        <f>G127/G12</f>
        <v>#DIV/0!</v>
      </c>
      <c r="I127" s="136"/>
      <c r="J127" s="49" t="e">
        <f>I127/I12</f>
        <v>#DIV/0!</v>
      </c>
      <c r="K127" s="136"/>
      <c r="L127" s="49" t="e">
        <f>K127/K12</f>
        <v>#DIV/0!</v>
      </c>
      <c r="M127" s="136">
        <v>0</v>
      </c>
      <c r="N127" s="49" t="e">
        <f>M127/M12</f>
        <v>#DIV/0!</v>
      </c>
      <c r="O127" s="136">
        <v>0</v>
      </c>
      <c r="P127" s="49" t="e">
        <f>O127/O12</f>
        <v>#DIV/0!</v>
      </c>
      <c r="Q127" s="136">
        <v>0</v>
      </c>
      <c r="R127" s="49" t="e">
        <f>Q127/Q12</f>
        <v>#DIV/0!</v>
      </c>
      <c r="S127" s="136">
        <v>0</v>
      </c>
      <c r="T127" s="49" t="e">
        <f>S127/S12</f>
        <v>#DIV/0!</v>
      </c>
      <c r="U127" s="136">
        <v>0</v>
      </c>
      <c r="V127" s="49" t="e">
        <f>U127/U12</f>
        <v>#DIV/0!</v>
      </c>
      <c r="W127" s="136">
        <v>0</v>
      </c>
      <c r="X127" s="49" t="e">
        <f>W127/W12</f>
        <v>#DIV/0!</v>
      </c>
      <c r="Y127" s="136">
        <v>0</v>
      </c>
      <c r="Z127" s="179" t="e">
        <f>Y127/Y12</f>
        <v>#DIV/0!</v>
      </c>
      <c r="AA127" s="286">
        <f t="shared" si="75"/>
        <v>0</v>
      </c>
      <c r="AB127" s="214" t="e">
        <f>AA127/AA12</f>
        <v>#DIV/0!</v>
      </c>
      <c r="AC127" s="205">
        <f t="shared" si="56"/>
        <v>0</v>
      </c>
      <c r="AD127" s="214" t="e">
        <f>AC127/AC12</f>
        <v>#DIV/0!</v>
      </c>
      <c r="AE127" s="170"/>
      <c r="AF127" s="238"/>
      <c r="AG127" s="170"/>
      <c r="AH127" s="205">
        <v>1160</v>
      </c>
      <c r="AI127" s="255">
        <f>AH127/AH12</f>
        <v>1.4405819255525888E-3</v>
      </c>
      <c r="AJ127" s="293">
        <f t="shared" si="76"/>
        <v>1160</v>
      </c>
      <c r="AK127" s="53">
        <f t="shared" si="55"/>
        <v>0</v>
      </c>
      <c r="AL127" s="53">
        <f t="shared" si="57"/>
        <v>0</v>
      </c>
      <c r="AM127" s="53">
        <f t="shared" si="59"/>
        <v>0</v>
      </c>
      <c r="AN127" s="53" t="e">
        <f>#REF!-AM127</f>
        <v>#REF!</v>
      </c>
      <c r="AO127" s="53"/>
    </row>
    <row r="128" spans="1:42" ht="15.75" thickBot="1">
      <c r="A128" s="4">
        <v>6499</v>
      </c>
      <c r="B128" s="113" t="s">
        <v>102</v>
      </c>
      <c r="C128" s="27"/>
      <c r="D128" s="68" t="e">
        <f>C128/C12</f>
        <v>#DIV/0!</v>
      </c>
      <c r="E128" s="300"/>
      <c r="F128" s="68" t="e">
        <f>E128/E12</f>
        <v>#DIV/0!</v>
      </c>
      <c r="G128" s="82">
        <f>SUM(G116:G127)</f>
        <v>0</v>
      </c>
      <c r="H128" s="68" t="e">
        <f>G128/G12</f>
        <v>#DIV/0!</v>
      </c>
      <c r="I128" s="20">
        <f>SUM(I116:I127)</f>
        <v>0</v>
      </c>
      <c r="J128" s="68" t="e">
        <f>I128/I12</f>
        <v>#DIV/0!</v>
      </c>
      <c r="K128" s="55">
        <f>SUM(K116:K127)</f>
        <v>0</v>
      </c>
      <c r="L128" s="68" t="e">
        <f>K128/K12</f>
        <v>#DIV/0!</v>
      </c>
      <c r="M128" s="20">
        <f>SUM(M116:M127)</f>
        <v>0</v>
      </c>
      <c r="N128" s="68" t="e">
        <f>M128/M12</f>
        <v>#DIV/0!</v>
      </c>
      <c r="O128" s="20">
        <f>SUM(O116:O127)</f>
        <v>0</v>
      </c>
      <c r="P128" s="68" t="e">
        <f>O128/O12</f>
        <v>#DIV/0!</v>
      </c>
      <c r="Q128" s="20">
        <f>SUM(Q116:Q127)</f>
        <v>0</v>
      </c>
      <c r="R128" s="68" t="e">
        <f>Q128/Q12</f>
        <v>#DIV/0!</v>
      </c>
      <c r="S128" s="20">
        <f>SUM(S116:S127)</f>
        <v>0</v>
      </c>
      <c r="T128" s="68" t="e">
        <f>S128/S12</f>
        <v>#DIV/0!</v>
      </c>
      <c r="U128" s="55">
        <f>SUM(U116:U127)</f>
        <v>0</v>
      </c>
      <c r="V128" s="68" t="e">
        <f>U128/U12</f>
        <v>#DIV/0!</v>
      </c>
      <c r="W128" s="34">
        <f>SUM(W116:W127)</f>
        <v>0</v>
      </c>
      <c r="X128" s="68" t="e">
        <f>W128/W12</f>
        <v>#DIV/0!</v>
      </c>
      <c r="Y128" s="55">
        <f>SUM(Y116:Y127)</f>
        <v>0</v>
      </c>
      <c r="Z128" s="223" t="e">
        <f>Y128/Y12</f>
        <v>#DIV/0!</v>
      </c>
      <c r="AA128" s="211">
        <f>SUM(AA116:AA127)</f>
        <v>0</v>
      </c>
      <c r="AB128" s="245" t="e">
        <f>AA128/AA12</f>
        <v>#DIV/0!</v>
      </c>
      <c r="AC128" s="210">
        <f t="shared" si="56"/>
        <v>0</v>
      </c>
      <c r="AD128" s="245" t="e">
        <f>AC128/AC12</f>
        <v>#DIV/0!</v>
      </c>
      <c r="AE128" s="75"/>
      <c r="AF128" s="169"/>
      <c r="AG128" s="75"/>
      <c r="AH128" s="210">
        <f>SUM(AH116:AH127)</f>
        <v>14275.269</v>
      </c>
      <c r="AI128" s="259">
        <f>AH128/AH12</f>
        <v>1.7728184917069983E-2</v>
      </c>
      <c r="AJ128" s="297">
        <f t="shared" si="76"/>
        <v>14275.269</v>
      </c>
      <c r="AK128" s="53">
        <f t="shared" si="55"/>
        <v>0</v>
      </c>
      <c r="AL128" s="53">
        <f t="shared" si="57"/>
        <v>0</v>
      </c>
      <c r="AM128" s="53">
        <f t="shared" si="59"/>
        <v>0</v>
      </c>
      <c r="AN128" s="53" t="e">
        <f>#REF!-AM128</f>
        <v>#REF!</v>
      </c>
      <c r="AO128" s="53"/>
      <c r="AP128" s="319"/>
    </row>
    <row r="129" spans="1:42" ht="15.75" thickTop="1">
      <c r="A129" s="109"/>
      <c r="B129" s="114"/>
      <c r="C129" s="136"/>
      <c r="D129" s="70"/>
      <c r="E129" s="61"/>
      <c r="F129" s="70"/>
      <c r="G129" s="80"/>
      <c r="H129" s="70"/>
      <c r="J129" s="70"/>
      <c r="K129" s="61"/>
      <c r="L129" s="70"/>
      <c r="N129" s="70"/>
      <c r="P129" s="70"/>
      <c r="R129" s="70"/>
      <c r="T129" s="70"/>
      <c r="U129" s="61"/>
      <c r="V129" s="70"/>
      <c r="W129" s="42"/>
      <c r="X129" s="70"/>
      <c r="Y129" s="61"/>
      <c r="AA129" s="204"/>
      <c r="AB129" s="213"/>
      <c r="AC129" s="205">
        <f t="shared" si="56"/>
        <v>0</v>
      </c>
      <c r="AD129" s="213"/>
      <c r="AE129" s="75"/>
      <c r="AF129" s="169"/>
      <c r="AG129" s="75"/>
      <c r="AH129" s="205"/>
      <c r="AI129" s="254"/>
      <c r="AJ129" s="293">
        <f t="shared" si="76"/>
        <v>0</v>
      </c>
      <c r="AK129" s="53">
        <f t="shared" si="55"/>
        <v>0</v>
      </c>
      <c r="AL129" s="53">
        <f t="shared" si="57"/>
        <v>0</v>
      </c>
      <c r="AM129" s="53">
        <f t="shared" si="59"/>
        <v>0</v>
      </c>
      <c r="AN129" s="53" t="e">
        <f>#REF!-AM129</f>
        <v>#REF!</v>
      </c>
      <c r="AO129" s="53"/>
    </row>
    <row r="130" spans="1:42" ht="15.75" thickBot="1">
      <c r="A130" s="4"/>
      <c r="B130" s="113" t="s">
        <v>118</v>
      </c>
      <c r="C130" s="131"/>
      <c r="D130" s="126" t="e">
        <f>C130/C12</f>
        <v>#DIV/0!</v>
      </c>
      <c r="E130" s="125"/>
      <c r="F130" s="126" t="e">
        <f>E130/E12</f>
        <v>#DIV/0!</v>
      </c>
      <c r="G130" s="125">
        <f>G37-G41-G76-G93-G115-G128</f>
        <v>0</v>
      </c>
      <c r="H130" s="126" t="e">
        <f>G130/G12</f>
        <v>#DIV/0!</v>
      </c>
      <c r="I130" s="131">
        <f>I37-I41-I76-I93-I115-I128</f>
        <v>0</v>
      </c>
      <c r="J130" s="126" t="e">
        <f>I130/I12</f>
        <v>#DIV/0!</v>
      </c>
      <c r="K130" s="125">
        <f>K37-K41-K76-K93-K115-K128</f>
        <v>0</v>
      </c>
      <c r="L130" s="126" t="e">
        <f>K130/K12</f>
        <v>#DIV/0!</v>
      </c>
      <c r="M130" s="131">
        <f>M37-M41-M76-M93-M115-M128</f>
        <v>0</v>
      </c>
      <c r="N130" s="126" t="e">
        <f>M130/M12</f>
        <v>#DIV/0!</v>
      </c>
      <c r="O130" s="131">
        <f>O37-O41-O76-O93-O115-O128</f>
        <v>0</v>
      </c>
      <c r="P130" s="126" t="e">
        <f>O130/O12</f>
        <v>#DIV/0!</v>
      </c>
      <c r="Q130" s="131">
        <f>Q37-Q41-Q76-Q93-Q115-Q128</f>
        <v>0</v>
      </c>
      <c r="R130" s="126" t="e">
        <f>Q130/Q12</f>
        <v>#DIV/0!</v>
      </c>
      <c r="S130" s="131">
        <f>S37-S41-S76-S93-S115-S128</f>
        <v>0</v>
      </c>
      <c r="T130" s="126" t="e">
        <f>S130/S12</f>
        <v>#DIV/0!</v>
      </c>
      <c r="U130" s="125">
        <f>U37-U41-U76-U93-U115-U128</f>
        <v>0</v>
      </c>
      <c r="V130" s="126" t="e">
        <f>U130/U12</f>
        <v>#DIV/0!</v>
      </c>
      <c r="W130" s="125">
        <f>W37-W41-W76-W93-W115-W128</f>
        <v>0</v>
      </c>
      <c r="X130" s="126" t="e">
        <f>W130/W12</f>
        <v>#DIV/0!</v>
      </c>
      <c r="Y130" s="125">
        <f>Y37-Y41-Y76-Y93-Y115-Y128</f>
        <v>0</v>
      </c>
      <c r="Z130" s="126" t="e">
        <f>Y130/Y12</f>
        <v>#DIV/0!</v>
      </c>
      <c r="AA130" s="289">
        <f>AA37-AA41-AA76-AA93-AA115-AA128</f>
        <v>0</v>
      </c>
      <c r="AB130" s="250" t="e">
        <f>AA130/AA12</f>
        <v>#DIV/0!</v>
      </c>
      <c r="AC130" s="251">
        <f t="shared" si="56"/>
        <v>0</v>
      </c>
      <c r="AD130" s="250" t="e">
        <f>AC130/AC12</f>
        <v>#DIV/0!</v>
      </c>
      <c r="AE130" s="75"/>
      <c r="AF130" s="169"/>
      <c r="AG130" s="75"/>
      <c r="AH130" s="251">
        <f>AH37-AH76-AH93-AH115-AH128</f>
        <v>65865.596066869301</v>
      </c>
      <c r="AI130" s="261">
        <f>AH130/AH12</f>
        <v>8.1797230353172073E-2</v>
      </c>
      <c r="AJ130" s="297">
        <f t="shared" si="76"/>
        <v>65865.596066869301</v>
      </c>
      <c r="AK130" s="53">
        <f t="shared" si="55"/>
        <v>0</v>
      </c>
      <c r="AL130" s="53">
        <f t="shared" si="57"/>
        <v>0</v>
      </c>
      <c r="AM130" s="53">
        <f t="shared" si="59"/>
        <v>0</v>
      </c>
      <c r="AN130" s="53" t="e">
        <f>#REF!-AM130</f>
        <v>#REF!</v>
      </c>
      <c r="AO130" s="53"/>
    </row>
    <row r="131" spans="1:42" ht="15.75" thickTop="1">
      <c r="A131" s="109"/>
      <c r="B131" s="114"/>
      <c r="C131" s="136"/>
      <c r="D131" s="70"/>
      <c r="E131" s="61"/>
      <c r="F131" s="70"/>
      <c r="G131" s="80"/>
      <c r="H131" s="70"/>
      <c r="J131" s="70"/>
      <c r="K131" s="61"/>
      <c r="L131" s="70"/>
      <c r="N131" s="70"/>
      <c r="P131" s="70"/>
      <c r="R131" s="70"/>
      <c r="T131" s="70"/>
      <c r="U131" s="61"/>
      <c r="V131" s="70"/>
      <c r="W131" s="42"/>
      <c r="X131" s="70"/>
      <c r="Y131" s="61"/>
      <c r="AA131" s="204"/>
      <c r="AB131" s="213"/>
      <c r="AC131" s="205">
        <f t="shared" si="56"/>
        <v>0</v>
      </c>
      <c r="AD131" s="213"/>
      <c r="AE131" s="75"/>
      <c r="AF131" s="169"/>
      <c r="AG131" s="75"/>
      <c r="AH131" s="205"/>
      <c r="AI131" s="254"/>
      <c r="AJ131" s="293">
        <f t="shared" si="76"/>
        <v>0</v>
      </c>
      <c r="AK131" s="53">
        <f t="shared" si="55"/>
        <v>0</v>
      </c>
      <c r="AL131" s="53">
        <f t="shared" si="57"/>
        <v>0</v>
      </c>
      <c r="AM131" s="53">
        <f t="shared" si="59"/>
        <v>0</v>
      </c>
      <c r="AN131" s="53" t="e">
        <f>#REF!-AM131</f>
        <v>#REF!</v>
      </c>
      <c r="AO131" s="53"/>
    </row>
    <row r="132" spans="1:42" ht="15.75" thickBot="1">
      <c r="A132" s="4"/>
      <c r="B132" s="274" t="s">
        <v>128</v>
      </c>
      <c r="C132" s="132"/>
      <c r="D132" s="275"/>
      <c r="E132" s="132"/>
      <c r="F132" s="275"/>
      <c r="G132" s="132"/>
      <c r="H132" s="275"/>
      <c r="I132" s="132"/>
      <c r="J132" s="275"/>
      <c r="K132" s="132"/>
      <c r="L132" s="275"/>
      <c r="M132" s="132"/>
      <c r="N132" s="275"/>
      <c r="O132" s="132"/>
      <c r="P132" s="275"/>
      <c r="Q132" s="132"/>
      <c r="R132" s="275"/>
      <c r="S132" s="132"/>
      <c r="T132" s="275"/>
      <c r="U132" s="132"/>
      <c r="V132" s="275"/>
      <c r="W132" s="132"/>
      <c r="X132" s="275"/>
      <c r="Y132" s="132"/>
      <c r="Z132" s="276"/>
      <c r="AA132" s="287">
        <f>C132+E132+G132+I132+K132+M132+O132+Q132+S132+U132+W132+Y132</f>
        <v>0</v>
      </c>
      <c r="AB132" s="277"/>
      <c r="AC132" s="278">
        <f t="shared" si="56"/>
        <v>0</v>
      </c>
      <c r="AD132" s="277"/>
      <c r="AE132" s="273"/>
      <c r="AF132" s="272"/>
      <c r="AG132" s="273"/>
      <c r="AH132" s="278"/>
      <c r="AI132" s="279"/>
      <c r="AJ132" s="293">
        <f t="shared" si="76"/>
        <v>0</v>
      </c>
      <c r="AK132" s="53">
        <f t="shared" si="55"/>
        <v>0</v>
      </c>
      <c r="AL132" s="53">
        <f t="shared" si="57"/>
        <v>0</v>
      </c>
      <c r="AM132" s="53">
        <f t="shared" si="59"/>
        <v>0</v>
      </c>
      <c r="AN132" s="53" t="e">
        <f>#REF!-AM132</f>
        <v>#REF!</v>
      </c>
      <c r="AO132" s="53"/>
    </row>
    <row r="133" spans="1:42" ht="15.75" thickTop="1">
      <c r="A133" s="109"/>
      <c r="B133" s="109"/>
      <c r="C133" s="136"/>
      <c r="D133" s="70"/>
      <c r="E133" s="61"/>
      <c r="F133" s="70"/>
      <c r="G133" s="80"/>
      <c r="H133" s="70"/>
      <c r="J133" s="70"/>
      <c r="K133" s="61"/>
      <c r="L133" s="70"/>
      <c r="N133" s="70"/>
      <c r="P133" s="70"/>
      <c r="R133" s="70"/>
      <c r="T133" s="70"/>
      <c r="U133" s="61"/>
      <c r="V133" s="70"/>
      <c r="W133" s="42"/>
      <c r="X133" s="70"/>
      <c r="Y133" s="61"/>
      <c r="AA133" s="204"/>
      <c r="AB133" s="213"/>
      <c r="AC133" s="205">
        <f t="shared" si="56"/>
        <v>0</v>
      </c>
      <c r="AD133" s="213"/>
      <c r="AE133" s="75"/>
      <c r="AF133" s="169"/>
      <c r="AG133" s="75"/>
      <c r="AH133" s="205"/>
      <c r="AI133" s="254"/>
      <c r="AJ133" s="293">
        <f t="shared" si="76"/>
        <v>0</v>
      </c>
      <c r="AK133" s="53">
        <f t="shared" si="55"/>
        <v>0</v>
      </c>
      <c r="AL133" s="53">
        <f t="shared" si="57"/>
        <v>0</v>
      </c>
      <c r="AM133" s="53">
        <f t="shared" si="59"/>
        <v>0</v>
      </c>
      <c r="AN133" s="53" t="e">
        <f>#REF!-AM133</f>
        <v>#REF!</v>
      </c>
      <c r="AO133" s="53"/>
    </row>
    <row r="134" spans="1:42" ht="15.75" thickBot="1">
      <c r="A134" s="4"/>
      <c r="B134" s="4" t="s">
        <v>125</v>
      </c>
      <c r="C134" s="27"/>
      <c r="D134" s="68" t="e">
        <f>C134/C12</f>
        <v>#DIV/0!</v>
      </c>
      <c r="E134" s="34"/>
      <c r="F134" s="68" t="e">
        <f>E134/E12</f>
        <v>#DIV/0!</v>
      </c>
      <c r="G134" s="34">
        <f>G130-G132</f>
        <v>0</v>
      </c>
      <c r="H134" s="68" t="e">
        <f>G134/G12</f>
        <v>#DIV/0!</v>
      </c>
      <c r="I134" s="20">
        <f>I130-I132</f>
        <v>0</v>
      </c>
      <c r="J134" s="68" t="e">
        <f>I134/I12</f>
        <v>#DIV/0!</v>
      </c>
      <c r="K134" s="34">
        <f>K130-K132</f>
        <v>0</v>
      </c>
      <c r="L134" s="68" t="e">
        <f>K134/K12</f>
        <v>#DIV/0!</v>
      </c>
      <c r="M134" s="20">
        <f>M130-M132</f>
        <v>0</v>
      </c>
      <c r="N134" s="68" t="e">
        <f>M134/M12</f>
        <v>#DIV/0!</v>
      </c>
      <c r="O134" s="20">
        <f>O130-O132</f>
        <v>0</v>
      </c>
      <c r="P134" s="68" t="e">
        <f>O134/O12</f>
        <v>#DIV/0!</v>
      </c>
      <c r="Q134" s="20">
        <f>Q130-Q132</f>
        <v>0</v>
      </c>
      <c r="R134" s="68" t="e">
        <f>Q134/Q12</f>
        <v>#DIV/0!</v>
      </c>
      <c r="S134" s="20">
        <f>S130-S132</f>
        <v>0</v>
      </c>
      <c r="T134" s="68" t="e">
        <f>S134/S12</f>
        <v>#DIV/0!</v>
      </c>
      <c r="U134" s="34">
        <f>U130-U132</f>
        <v>0</v>
      </c>
      <c r="V134" s="68" t="e">
        <f>U134/U12</f>
        <v>#DIV/0!</v>
      </c>
      <c r="W134" s="34">
        <f>W130-W132</f>
        <v>0</v>
      </c>
      <c r="X134" s="68" t="e">
        <f>W134/W12</f>
        <v>#DIV/0!</v>
      </c>
      <c r="Y134" s="34">
        <f>Y130-Y132</f>
        <v>0</v>
      </c>
      <c r="Z134" s="223" t="e">
        <f>Y134/Y12</f>
        <v>#DIV/0!</v>
      </c>
      <c r="AA134" s="211">
        <f>AA130-AA132</f>
        <v>0</v>
      </c>
      <c r="AB134" s="245" t="e">
        <f>AA134/AA12</f>
        <v>#DIV/0!</v>
      </c>
      <c r="AC134" s="217">
        <f t="shared" si="56"/>
        <v>0</v>
      </c>
      <c r="AD134" s="245" t="e">
        <f>AC134/AC12</f>
        <v>#DIV/0!</v>
      </c>
      <c r="AE134" s="75"/>
      <c r="AF134" s="169"/>
      <c r="AG134" s="75"/>
      <c r="AH134" s="217">
        <f>AH130</f>
        <v>65865.596066869301</v>
      </c>
      <c r="AI134" s="259">
        <f>AH134/AH12</f>
        <v>8.1797230353172073E-2</v>
      </c>
      <c r="AJ134" s="297">
        <f t="shared" si="76"/>
        <v>65865.596066869301</v>
      </c>
      <c r="AK134" s="53">
        <f t="shared" si="55"/>
        <v>0</v>
      </c>
      <c r="AL134" s="53">
        <f t="shared" si="57"/>
        <v>0</v>
      </c>
      <c r="AM134" s="53">
        <f t="shared" si="59"/>
        <v>0</v>
      </c>
      <c r="AN134" s="53" t="e">
        <f>#REF!-AM134</f>
        <v>#REF!</v>
      </c>
      <c r="AO134" s="53"/>
    </row>
    <row r="135" spans="1:42" ht="15.75" thickTop="1">
      <c r="A135" s="16">
        <v>6501</v>
      </c>
      <c r="B135" s="115"/>
      <c r="C135" s="136"/>
      <c r="D135" s="49" t="e">
        <f>C135/C12</f>
        <v>#DIV/0!</v>
      </c>
      <c r="E135" s="61"/>
      <c r="F135" s="49" t="e">
        <f>E135/E12</f>
        <v>#DIV/0!</v>
      </c>
      <c r="G135" s="80"/>
      <c r="H135" s="49" t="e">
        <f>G135/G12</f>
        <v>#DIV/0!</v>
      </c>
      <c r="J135" s="49" t="e">
        <f>I135/I12</f>
        <v>#DIV/0!</v>
      </c>
      <c r="K135" s="61"/>
      <c r="L135" s="49" t="e">
        <f>K135/K12</f>
        <v>#DIV/0!</v>
      </c>
      <c r="N135" s="49" t="e">
        <f>M135/M12</f>
        <v>#DIV/0!</v>
      </c>
      <c r="P135" s="49" t="e">
        <f>O135/O12</f>
        <v>#DIV/0!</v>
      </c>
      <c r="R135" s="49" t="e">
        <f>Q135/Q12</f>
        <v>#DIV/0!</v>
      </c>
      <c r="T135" s="49" t="e">
        <f>S135/S12</f>
        <v>#DIV/0!</v>
      </c>
      <c r="U135" s="61"/>
      <c r="V135" s="49" t="e">
        <f>U135/U12</f>
        <v>#DIV/0!</v>
      </c>
      <c r="W135" s="42"/>
      <c r="X135" s="49" t="e">
        <f>W135/W12</f>
        <v>#DIV/0!</v>
      </c>
      <c r="Y135" s="61"/>
      <c r="Z135" s="179" t="e">
        <f>Y135/Y12</f>
        <v>#DIV/0!</v>
      </c>
      <c r="AA135" s="286">
        <f t="shared" ref="AA135:AA142" si="77">C135+E135+G135+I135+K135+M135+O135+Q135+S135+U135+W135+Y135</f>
        <v>0</v>
      </c>
      <c r="AB135" s="214" t="e">
        <f>AA135/AA12</f>
        <v>#DIV/0!</v>
      </c>
      <c r="AC135" s="205">
        <f t="shared" si="56"/>
        <v>0</v>
      </c>
      <c r="AD135" s="214" t="e">
        <f>AC135/AC12</f>
        <v>#DIV/0!</v>
      </c>
      <c r="AE135" s="75"/>
      <c r="AF135" s="169"/>
      <c r="AG135" s="75"/>
      <c r="AH135" s="205">
        <v>0</v>
      </c>
      <c r="AI135" s="255">
        <f>AH135/AH12</f>
        <v>0</v>
      </c>
      <c r="AJ135" s="293">
        <f t="shared" si="76"/>
        <v>0</v>
      </c>
      <c r="AK135" s="53">
        <f t="shared" si="55"/>
        <v>0</v>
      </c>
      <c r="AL135" s="53">
        <f t="shared" si="57"/>
        <v>0</v>
      </c>
      <c r="AM135" s="53">
        <f t="shared" si="59"/>
        <v>0</v>
      </c>
      <c r="AN135" s="53" t="e">
        <f>#REF!-AM135</f>
        <v>#REF!</v>
      </c>
      <c r="AO135" s="53"/>
    </row>
    <row r="136" spans="1:42">
      <c r="A136" s="2">
        <v>6502</v>
      </c>
      <c r="B136" s="115" t="s">
        <v>121</v>
      </c>
      <c r="C136" s="18"/>
      <c r="D136" s="49" t="e">
        <f>C136/C12</f>
        <v>#DIV/0!</v>
      </c>
      <c r="E136" s="18"/>
      <c r="F136" s="49" t="e">
        <f>E136/E12</f>
        <v>#DIV/0!</v>
      </c>
      <c r="G136" s="18"/>
      <c r="H136" s="49" t="e">
        <f>G136/G12</f>
        <v>#DIV/0!</v>
      </c>
      <c r="I136" s="18"/>
      <c r="J136" s="49" t="e">
        <f>I136/I12</f>
        <v>#DIV/0!</v>
      </c>
      <c r="K136" s="18"/>
      <c r="L136" s="49" t="e">
        <f>K136/K12</f>
        <v>#DIV/0!</v>
      </c>
      <c r="M136" s="18">
        <v>0</v>
      </c>
      <c r="N136" s="49" t="e">
        <f>M136/M12</f>
        <v>#DIV/0!</v>
      </c>
      <c r="O136" s="18">
        <v>0</v>
      </c>
      <c r="P136" s="49" t="e">
        <f>O136/O12</f>
        <v>#DIV/0!</v>
      </c>
      <c r="Q136" s="18">
        <v>0</v>
      </c>
      <c r="R136" s="49" t="e">
        <f>Q136/Q12</f>
        <v>#DIV/0!</v>
      </c>
      <c r="S136" s="18">
        <v>0</v>
      </c>
      <c r="T136" s="49" t="e">
        <f>S136/S12</f>
        <v>#DIV/0!</v>
      </c>
      <c r="U136" s="18">
        <v>0</v>
      </c>
      <c r="V136" s="49" t="e">
        <f>U136/U12</f>
        <v>#DIV/0!</v>
      </c>
      <c r="W136" s="18">
        <v>0</v>
      </c>
      <c r="X136" s="49" t="e">
        <f>W136/W12</f>
        <v>#DIV/0!</v>
      </c>
      <c r="Y136" s="18">
        <v>0</v>
      </c>
      <c r="Z136" s="179" t="e">
        <f>Y136/Y12</f>
        <v>#DIV/0!</v>
      </c>
      <c r="AA136" s="286">
        <f t="shared" si="77"/>
        <v>0</v>
      </c>
      <c r="AB136" s="214" t="e">
        <f>AA136/AA12</f>
        <v>#DIV/0!</v>
      </c>
      <c r="AC136" s="212">
        <f t="shared" si="56"/>
        <v>0</v>
      </c>
      <c r="AD136" s="214" t="e">
        <f>AC136/AC12</f>
        <v>#DIV/0!</v>
      </c>
      <c r="AE136" s="75"/>
      <c r="AF136" s="169"/>
      <c r="AG136" s="75"/>
      <c r="AH136" s="212">
        <v>58510.638297872341</v>
      </c>
      <c r="AI136" s="255">
        <f>AH136/AH12</f>
        <v>7.2663248262465507E-2</v>
      </c>
      <c r="AJ136" s="293">
        <f t="shared" si="76"/>
        <v>58510.638297872341</v>
      </c>
      <c r="AK136" s="53">
        <f t="shared" si="55"/>
        <v>0</v>
      </c>
      <c r="AL136" s="53">
        <f t="shared" si="57"/>
        <v>0</v>
      </c>
      <c r="AM136" s="53">
        <f t="shared" si="59"/>
        <v>0</v>
      </c>
      <c r="AN136" s="53" t="e">
        <f>#REF!-AM136</f>
        <v>#REF!</v>
      </c>
      <c r="AO136" s="53"/>
    </row>
    <row r="137" spans="1:42">
      <c r="A137" s="2">
        <v>6503</v>
      </c>
      <c r="B137" s="115" t="s">
        <v>122</v>
      </c>
      <c r="C137" s="18"/>
      <c r="D137" s="49" t="e">
        <f>C137/C12</f>
        <v>#DIV/0!</v>
      </c>
      <c r="E137" s="18"/>
      <c r="F137" s="49" t="e">
        <f>E137/E12</f>
        <v>#DIV/0!</v>
      </c>
      <c r="G137" s="18"/>
      <c r="H137" s="49" t="e">
        <f>G137/G12</f>
        <v>#DIV/0!</v>
      </c>
      <c r="I137" s="18"/>
      <c r="J137" s="49" t="e">
        <f>I137/I12</f>
        <v>#DIV/0!</v>
      </c>
      <c r="K137" s="18"/>
      <c r="L137" s="49" t="e">
        <f>K137/K12</f>
        <v>#DIV/0!</v>
      </c>
      <c r="M137" s="18">
        <v>0</v>
      </c>
      <c r="N137" s="49" t="e">
        <f>M137/M12</f>
        <v>#DIV/0!</v>
      </c>
      <c r="O137" s="18">
        <v>0</v>
      </c>
      <c r="P137" s="49" t="e">
        <f>O137/O12</f>
        <v>#DIV/0!</v>
      </c>
      <c r="Q137" s="18">
        <v>0</v>
      </c>
      <c r="R137" s="49" t="e">
        <f>Q137/Q12</f>
        <v>#DIV/0!</v>
      </c>
      <c r="S137" s="18">
        <v>0</v>
      </c>
      <c r="T137" s="49" t="e">
        <f>S137/S12</f>
        <v>#DIV/0!</v>
      </c>
      <c r="U137" s="18">
        <v>0</v>
      </c>
      <c r="V137" s="49" t="e">
        <f>U137/U12</f>
        <v>#DIV/0!</v>
      </c>
      <c r="W137" s="18">
        <v>0</v>
      </c>
      <c r="X137" s="49" t="e">
        <f>W137/W12</f>
        <v>#DIV/0!</v>
      </c>
      <c r="Y137" s="18">
        <v>0</v>
      </c>
      <c r="Z137" s="179" t="e">
        <f>Y137/Y12</f>
        <v>#DIV/0!</v>
      </c>
      <c r="AA137" s="286">
        <f t="shared" si="77"/>
        <v>0</v>
      </c>
      <c r="AB137" s="214" t="e">
        <f>AA137/AA12</f>
        <v>#DIV/0!</v>
      </c>
      <c r="AC137" s="212">
        <f t="shared" si="56"/>
        <v>0</v>
      </c>
      <c r="AD137" s="214" t="e">
        <f>AC137/AC12</f>
        <v>#DIV/0!</v>
      </c>
      <c r="AE137" s="75"/>
      <c r="AF137" s="169"/>
      <c r="AG137" s="75"/>
      <c r="AH137" s="212">
        <v>5319.1489361702124</v>
      </c>
      <c r="AI137" s="255">
        <f>AH137/AH12</f>
        <v>6.605749842042318E-3</v>
      </c>
      <c r="AJ137" s="293">
        <f t="shared" si="76"/>
        <v>5319.1489361702124</v>
      </c>
      <c r="AK137" s="53">
        <f t="shared" si="55"/>
        <v>0</v>
      </c>
      <c r="AL137" s="53">
        <f t="shared" si="57"/>
        <v>0</v>
      </c>
      <c r="AM137" s="53">
        <f t="shared" si="59"/>
        <v>0</v>
      </c>
      <c r="AN137" s="53" t="e">
        <f>#REF!-AM137</f>
        <v>#REF!</v>
      </c>
      <c r="AO137" s="53"/>
    </row>
    <row r="138" spans="1:42">
      <c r="A138" s="2">
        <v>6504</v>
      </c>
      <c r="B138" s="115" t="s">
        <v>123</v>
      </c>
      <c r="C138" s="25"/>
      <c r="D138" s="49" t="e">
        <f>C138/C12</f>
        <v>#DIV/0!</v>
      </c>
      <c r="E138" s="62"/>
      <c r="F138" s="49" t="e">
        <f>E138/E12</f>
        <v>#DIV/0!</v>
      </c>
      <c r="G138" s="62"/>
      <c r="H138" s="49" t="e">
        <f>G138/G12</f>
        <v>#DIV/0!</v>
      </c>
      <c r="I138" s="25"/>
      <c r="J138" s="49" t="e">
        <f>I138/I12</f>
        <v>#DIV/0!</v>
      </c>
      <c r="K138" s="62"/>
      <c r="L138" s="49" t="e">
        <f>K138/K12</f>
        <v>#DIV/0!</v>
      </c>
      <c r="M138" s="25"/>
      <c r="N138" s="49" t="e">
        <f>M138/M12</f>
        <v>#DIV/0!</v>
      </c>
      <c r="O138" s="25"/>
      <c r="P138" s="49" t="e">
        <f>O138/O12</f>
        <v>#DIV/0!</v>
      </c>
      <c r="Q138" s="25"/>
      <c r="R138" s="49" t="e">
        <f>Q138/Q12</f>
        <v>#DIV/0!</v>
      </c>
      <c r="S138" s="25"/>
      <c r="T138" s="49" t="e">
        <f>S138/S12</f>
        <v>#DIV/0!</v>
      </c>
      <c r="U138" s="62"/>
      <c r="V138" s="49" t="e">
        <f>U138/U12</f>
        <v>#DIV/0!</v>
      </c>
      <c r="W138" s="62"/>
      <c r="X138" s="49" t="e">
        <f>W138/W12</f>
        <v>#DIV/0!</v>
      </c>
      <c r="Y138" s="62"/>
      <c r="Z138" s="179" t="e">
        <f>Y138/Y12</f>
        <v>#DIV/0!</v>
      </c>
      <c r="AA138" s="286">
        <f t="shared" si="77"/>
        <v>0</v>
      </c>
      <c r="AB138" s="214" t="e">
        <f>AA138/AA12</f>
        <v>#DIV/0!</v>
      </c>
      <c r="AC138" s="76">
        <f t="shared" si="56"/>
        <v>0</v>
      </c>
      <c r="AD138" s="214" t="e">
        <f>AC138/AC12</f>
        <v>#DIV/0!</v>
      </c>
      <c r="AE138" s="75"/>
      <c r="AF138" s="169"/>
      <c r="AG138" s="75"/>
      <c r="AH138" s="76"/>
      <c r="AI138" s="255">
        <f>AH138/AH12</f>
        <v>0</v>
      </c>
      <c r="AJ138" s="293">
        <f t="shared" si="76"/>
        <v>0</v>
      </c>
      <c r="AK138" s="53">
        <f t="shared" si="55"/>
        <v>0</v>
      </c>
      <c r="AL138" s="53">
        <f t="shared" si="57"/>
        <v>0</v>
      </c>
      <c r="AM138" s="53">
        <f t="shared" si="59"/>
        <v>0</v>
      </c>
      <c r="AN138" s="53" t="e">
        <f>#REF!-AM138</f>
        <v>#REF!</v>
      </c>
      <c r="AO138" s="53"/>
    </row>
    <row r="139" spans="1:42">
      <c r="A139" s="99">
        <v>6505</v>
      </c>
      <c r="B139" s="2" t="s">
        <v>124</v>
      </c>
      <c r="C139" s="25"/>
      <c r="D139" s="49" t="e">
        <f>C139/C12</f>
        <v>#DIV/0!</v>
      </c>
      <c r="E139" s="62"/>
      <c r="F139" s="49" t="e">
        <f>E139/E12</f>
        <v>#DIV/0!</v>
      </c>
      <c r="G139" s="62"/>
      <c r="H139" s="49" t="e">
        <f>G139/G12</f>
        <v>#DIV/0!</v>
      </c>
      <c r="I139" s="25"/>
      <c r="J139" s="49" t="e">
        <f>I139/I12</f>
        <v>#DIV/0!</v>
      </c>
      <c r="K139" s="62"/>
      <c r="L139" s="49" t="e">
        <f>K139/K12</f>
        <v>#DIV/0!</v>
      </c>
      <c r="M139" s="25"/>
      <c r="N139" s="49" t="e">
        <f>M139/M12</f>
        <v>#DIV/0!</v>
      </c>
      <c r="O139" s="25"/>
      <c r="P139" s="49" t="e">
        <f>O139/O12</f>
        <v>#DIV/0!</v>
      </c>
      <c r="Q139" s="25"/>
      <c r="R139" s="49" t="e">
        <f>Q139/Q12</f>
        <v>#DIV/0!</v>
      </c>
      <c r="S139" s="25">
        <v>0</v>
      </c>
      <c r="T139" s="49" t="e">
        <f>S139/S12</f>
        <v>#DIV/0!</v>
      </c>
      <c r="U139" s="62"/>
      <c r="V139" s="49" t="e">
        <f>U139/U12</f>
        <v>#DIV/0!</v>
      </c>
      <c r="W139" s="62"/>
      <c r="X139" s="49" t="e">
        <f>W139/W12</f>
        <v>#DIV/0!</v>
      </c>
      <c r="Y139" s="62"/>
      <c r="Z139" s="179" t="e">
        <f>Y139/Y12</f>
        <v>#DIV/0!</v>
      </c>
      <c r="AA139" s="286">
        <f t="shared" si="77"/>
        <v>0</v>
      </c>
      <c r="AB139" s="214" t="e">
        <f>AA139/AA12</f>
        <v>#DIV/0!</v>
      </c>
      <c r="AC139" s="76">
        <f t="shared" si="56"/>
        <v>0</v>
      </c>
      <c r="AD139" s="214" t="e">
        <f>AC139/AC12</f>
        <v>#DIV/0!</v>
      </c>
      <c r="AE139" s="75"/>
      <c r="AF139" s="169"/>
      <c r="AG139" s="75"/>
      <c r="AH139" s="76"/>
      <c r="AI139" s="255">
        <f>AH139/AH12</f>
        <v>0</v>
      </c>
      <c r="AJ139" s="293">
        <f t="shared" si="76"/>
        <v>0</v>
      </c>
      <c r="AK139" s="53">
        <f t="shared" si="55"/>
        <v>0</v>
      </c>
      <c r="AL139" s="53">
        <f t="shared" si="57"/>
        <v>0</v>
      </c>
      <c r="AM139" s="53">
        <f t="shared" si="59"/>
        <v>0</v>
      </c>
      <c r="AN139" s="53" t="e">
        <f>#REF!-AM139</f>
        <v>#REF!</v>
      </c>
      <c r="AO139" s="53"/>
    </row>
    <row r="140" spans="1:42">
      <c r="A140" s="2">
        <v>6506</v>
      </c>
      <c r="B140" s="2" t="s">
        <v>212</v>
      </c>
      <c r="C140" s="140"/>
      <c r="D140" s="49" t="e">
        <f t="shared" ref="D140:AD140" si="78">C140/C$12</f>
        <v>#DIV/0!</v>
      </c>
      <c r="E140" s="140"/>
      <c r="F140" s="49" t="e">
        <f t="shared" si="78"/>
        <v>#DIV/0!</v>
      </c>
      <c r="G140" s="140"/>
      <c r="H140" s="49" t="e">
        <f t="shared" si="78"/>
        <v>#DIV/0!</v>
      </c>
      <c r="I140" s="140"/>
      <c r="J140" s="49" t="e">
        <f t="shared" si="78"/>
        <v>#DIV/0!</v>
      </c>
      <c r="K140" s="140"/>
      <c r="L140" s="49" t="e">
        <f t="shared" si="78"/>
        <v>#DIV/0!</v>
      </c>
      <c r="M140" s="140"/>
      <c r="N140" s="49" t="e">
        <f t="shared" ref="N140:Z140" si="79">M140/M$12</f>
        <v>#DIV/0!</v>
      </c>
      <c r="O140" s="140"/>
      <c r="P140" s="49" t="e">
        <f t="shared" si="79"/>
        <v>#DIV/0!</v>
      </c>
      <c r="Q140" s="140"/>
      <c r="R140" s="49" t="e">
        <f t="shared" si="79"/>
        <v>#DIV/0!</v>
      </c>
      <c r="S140" s="140"/>
      <c r="T140" s="49" t="e">
        <f t="shared" si="79"/>
        <v>#DIV/0!</v>
      </c>
      <c r="U140" s="140"/>
      <c r="V140" s="49" t="e">
        <f t="shared" si="79"/>
        <v>#DIV/0!</v>
      </c>
      <c r="W140" s="140"/>
      <c r="X140" s="49" t="e">
        <f t="shared" si="79"/>
        <v>#DIV/0!</v>
      </c>
      <c r="Y140" s="140"/>
      <c r="Z140" s="179" t="e">
        <f t="shared" si="79"/>
        <v>#DIV/0!</v>
      </c>
      <c r="AA140" s="286">
        <f t="shared" si="77"/>
        <v>0</v>
      </c>
      <c r="AB140" s="214" t="e">
        <f t="shared" si="78"/>
        <v>#DIV/0!</v>
      </c>
      <c r="AC140" s="205">
        <f t="shared" si="56"/>
        <v>0</v>
      </c>
      <c r="AD140" s="214" t="e">
        <f t="shared" si="78"/>
        <v>#DIV/0!</v>
      </c>
      <c r="AE140" s="170"/>
      <c r="AF140" s="215"/>
      <c r="AG140" s="215"/>
      <c r="AH140" s="205"/>
      <c r="AI140" s="255">
        <f t="shared" ref="AI140" si="80">AH140/AH$12</f>
        <v>0</v>
      </c>
      <c r="AJ140" s="293">
        <f t="shared" si="76"/>
        <v>0</v>
      </c>
      <c r="AK140" s="53">
        <f t="shared" si="55"/>
        <v>0</v>
      </c>
      <c r="AL140" s="53">
        <f t="shared" si="57"/>
        <v>0</v>
      </c>
      <c r="AM140" s="53">
        <f t="shared" si="59"/>
        <v>0</v>
      </c>
      <c r="AN140" s="1"/>
      <c r="AO140" s="1"/>
    </row>
    <row r="141" spans="1:42">
      <c r="A141" s="130">
        <v>6604</v>
      </c>
      <c r="B141" s="2" t="s">
        <v>127</v>
      </c>
      <c r="C141" s="18"/>
      <c r="D141" s="73" t="e">
        <f>C141/C12</f>
        <v>#DIV/0!</v>
      </c>
      <c r="E141" s="18"/>
      <c r="F141" s="73" t="e">
        <f>E141/E12</f>
        <v>#DIV/0!</v>
      </c>
      <c r="G141" s="18"/>
      <c r="H141" s="73" t="e">
        <f>G141/G12</f>
        <v>#DIV/0!</v>
      </c>
      <c r="I141" s="18"/>
      <c r="J141" s="73" t="e">
        <f>I141/I12</f>
        <v>#DIV/0!</v>
      </c>
      <c r="K141" s="18"/>
      <c r="L141" s="73" t="e">
        <f>K141/K12</f>
        <v>#DIV/0!</v>
      </c>
      <c r="M141" s="18">
        <v>0</v>
      </c>
      <c r="N141" s="73" t="e">
        <f>M141/M12</f>
        <v>#DIV/0!</v>
      </c>
      <c r="O141" s="18">
        <v>0</v>
      </c>
      <c r="P141" s="73" t="e">
        <f>O141/O12</f>
        <v>#DIV/0!</v>
      </c>
      <c r="Q141" s="18">
        <v>0</v>
      </c>
      <c r="R141" s="73" t="e">
        <f>Q141/Q12</f>
        <v>#DIV/0!</v>
      </c>
      <c r="S141" s="18">
        <v>0</v>
      </c>
      <c r="T141" s="73" t="e">
        <f>S141/S12</f>
        <v>#DIV/0!</v>
      </c>
      <c r="U141" s="18">
        <v>0</v>
      </c>
      <c r="V141" s="73" t="e">
        <f>U141/U12</f>
        <v>#DIV/0!</v>
      </c>
      <c r="W141" s="18">
        <v>0</v>
      </c>
      <c r="X141" s="73" t="e">
        <f>W141/W12</f>
        <v>#DIV/0!</v>
      </c>
      <c r="Y141" s="18">
        <v>0</v>
      </c>
      <c r="Z141" s="228" t="e">
        <f>Y141/Y12</f>
        <v>#DIV/0!</v>
      </c>
      <c r="AA141" s="286">
        <f t="shared" si="77"/>
        <v>0</v>
      </c>
      <c r="AB141" s="214" t="e">
        <f>AA141/AA12</f>
        <v>#DIV/0!</v>
      </c>
      <c r="AC141" s="216">
        <f t="shared" si="56"/>
        <v>0</v>
      </c>
      <c r="AD141" s="214" t="e">
        <f>AC141/AC12</f>
        <v>#DIV/0!</v>
      </c>
      <c r="AE141" s="170"/>
      <c r="AF141" s="238"/>
      <c r="AG141" s="170"/>
      <c r="AH141" s="216"/>
      <c r="AI141" s="255">
        <f>AH141/AH12</f>
        <v>0</v>
      </c>
      <c r="AJ141" s="293">
        <f t="shared" si="76"/>
        <v>0</v>
      </c>
      <c r="AK141" s="53">
        <f t="shared" si="55"/>
        <v>0</v>
      </c>
      <c r="AL141" s="53">
        <f t="shared" si="57"/>
        <v>0</v>
      </c>
      <c r="AM141" s="53">
        <f t="shared" si="59"/>
        <v>0</v>
      </c>
      <c r="AN141" s="53" t="e">
        <f>#REF!-AM141</f>
        <v>#REF!</v>
      </c>
      <c r="AO141" s="53"/>
    </row>
    <row r="142" spans="1:42">
      <c r="A142" s="2"/>
      <c r="B142" s="2"/>
      <c r="C142" s="136"/>
      <c r="D142" s="49" t="e">
        <f>C142/C12</f>
        <v>#DIV/0!</v>
      </c>
      <c r="E142" s="43"/>
      <c r="F142" s="49" t="e">
        <f>E142/E12</f>
        <v>#DIV/0!</v>
      </c>
      <c r="G142" s="80"/>
      <c r="H142" s="49" t="e">
        <f>G142/G12</f>
        <v>#DIV/0!</v>
      </c>
      <c r="I142" s="18"/>
      <c r="J142" s="49" t="e">
        <f>I142/I12</f>
        <v>#DIV/0!</v>
      </c>
      <c r="K142" s="43"/>
      <c r="L142" s="49" t="e">
        <f>K142/K12</f>
        <v>#DIV/0!</v>
      </c>
      <c r="M142" s="18"/>
      <c r="N142" s="49" t="e">
        <f>M142/M12</f>
        <v>#DIV/0!</v>
      </c>
      <c r="O142" s="18"/>
      <c r="P142" s="49" t="e">
        <f>O142/O12</f>
        <v>#DIV/0!</v>
      </c>
      <c r="Q142" s="18"/>
      <c r="R142" s="49" t="e">
        <f>Q142/Q12</f>
        <v>#DIV/0!</v>
      </c>
      <c r="S142" s="18"/>
      <c r="T142" s="49" t="e">
        <f>S142/S12</f>
        <v>#DIV/0!</v>
      </c>
      <c r="U142" s="43"/>
      <c r="V142" s="49" t="e">
        <f>U142/U12</f>
        <v>#DIV/0!</v>
      </c>
      <c r="W142" s="33"/>
      <c r="X142" s="49" t="e">
        <f>W142/W12</f>
        <v>#DIV/0!</v>
      </c>
      <c r="Y142" s="43"/>
      <c r="Z142" s="179" t="e">
        <f>Y142/Y12</f>
        <v>#DIV/0!</v>
      </c>
      <c r="AA142" s="286">
        <f t="shared" si="77"/>
        <v>0</v>
      </c>
      <c r="AB142" s="214" t="e">
        <f>AA142/AA12</f>
        <v>#DIV/0!</v>
      </c>
      <c r="AC142" s="216">
        <f t="shared" si="56"/>
        <v>0</v>
      </c>
      <c r="AD142" s="214" t="e">
        <f>AC142/AC12</f>
        <v>#DIV/0!</v>
      </c>
      <c r="AE142" s="170"/>
      <c r="AF142" s="238"/>
      <c r="AG142" s="170"/>
      <c r="AH142" s="216">
        <f>AF142/12</f>
        <v>0</v>
      </c>
      <c r="AI142" s="255">
        <f>AH142/AH12</f>
        <v>0</v>
      </c>
      <c r="AJ142" s="293">
        <f t="shared" si="76"/>
        <v>0</v>
      </c>
      <c r="AK142" s="53">
        <f t="shared" si="55"/>
        <v>0</v>
      </c>
      <c r="AL142" s="53">
        <f t="shared" si="57"/>
        <v>0</v>
      </c>
      <c r="AM142" s="53">
        <f t="shared" si="59"/>
        <v>0</v>
      </c>
      <c r="AN142" s="53" t="e">
        <f>#REF!-AM142</f>
        <v>#REF!</v>
      </c>
      <c r="AO142" s="53"/>
    </row>
    <row r="143" spans="1:42" ht="15" customHeight="1">
      <c r="A143" s="45">
        <v>6798</v>
      </c>
      <c r="B143" s="45" t="s">
        <v>196</v>
      </c>
      <c r="C143" s="58"/>
      <c r="D143" s="66" t="e">
        <f>C143/C12</f>
        <v>#DIV/0!</v>
      </c>
      <c r="E143" s="58"/>
      <c r="F143" s="66" t="e">
        <f>E143/E12</f>
        <v>#DIV/0!</v>
      </c>
      <c r="G143" s="58">
        <f>SUM(G135:G142)</f>
        <v>0</v>
      </c>
      <c r="H143" s="66" t="e">
        <f>G143/G12</f>
        <v>#DIV/0!</v>
      </c>
      <c r="I143" s="58">
        <f>SUM(I135:I142)</f>
        <v>0</v>
      </c>
      <c r="J143" s="66" t="e">
        <f>I143/I12</f>
        <v>#DIV/0!</v>
      </c>
      <c r="K143" s="58">
        <f>SUM(K135:K142)</f>
        <v>0</v>
      </c>
      <c r="L143" s="66" t="e">
        <f>K143/K12</f>
        <v>#DIV/0!</v>
      </c>
      <c r="M143" s="58">
        <f>SUM(M135:M142)</f>
        <v>0</v>
      </c>
      <c r="N143" s="66" t="e">
        <f>M143/M12</f>
        <v>#DIV/0!</v>
      </c>
      <c r="O143" s="58">
        <f>SUM(O135:O142)</f>
        <v>0</v>
      </c>
      <c r="P143" s="66" t="e">
        <f>O143/O12</f>
        <v>#DIV/0!</v>
      </c>
      <c r="Q143" s="58">
        <f>SUM(Q135:Q142)</f>
        <v>0</v>
      </c>
      <c r="R143" s="66" t="e">
        <f>Q143/Q12</f>
        <v>#DIV/0!</v>
      </c>
      <c r="S143" s="58">
        <f>SUM(S135:S142)</f>
        <v>0</v>
      </c>
      <c r="T143" s="66" t="e">
        <f t="shared" ref="T143" si="81">S143/S$12</f>
        <v>#DIV/0!</v>
      </c>
      <c r="U143" s="58">
        <f>SUM(U135:U142)</f>
        <v>0</v>
      </c>
      <c r="V143" s="66" t="e">
        <f>U143/U12</f>
        <v>#DIV/0!</v>
      </c>
      <c r="W143" s="58">
        <f>SUM(W135:W142)</f>
        <v>0</v>
      </c>
      <c r="X143" s="66" t="e">
        <f>W143/W12</f>
        <v>#DIV/0!</v>
      </c>
      <c r="Y143" s="58">
        <f>SUM(Y135:Y142)</f>
        <v>0</v>
      </c>
      <c r="Z143" s="224" t="e">
        <f t="shared" ref="Z143" si="82">Y143/Y$12</f>
        <v>#DIV/0!</v>
      </c>
      <c r="AA143" s="287">
        <f>SUM(AA135:AA142)</f>
        <v>0</v>
      </c>
      <c r="AB143" s="241" t="e">
        <f t="shared" ref="AB143" si="83">AA143/AA$12</f>
        <v>#DIV/0!</v>
      </c>
      <c r="AC143" s="240">
        <f t="shared" si="56"/>
        <v>0</v>
      </c>
      <c r="AD143" s="241" t="e">
        <f t="shared" ref="AD143" si="84">AC143/AC$12</f>
        <v>#DIV/0!</v>
      </c>
      <c r="AE143" s="241"/>
      <c r="AF143" s="272"/>
      <c r="AG143" s="273"/>
      <c r="AH143" s="240">
        <f>SUM(AH135:AH142)</f>
        <v>63829.787234042553</v>
      </c>
      <c r="AI143" s="257">
        <f t="shared" ref="AI143" si="85">AH143/AH$12</f>
        <v>7.9268998104507826E-2</v>
      </c>
      <c r="AJ143" s="297">
        <f t="shared" si="76"/>
        <v>63829.787234042553</v>
      </c>
      <c r="AK143" s="53">
        <f t="shared" si="55"/>
        <v>0</v>
      </c>
      <c r="AL143" s="53">
        <f t="shared" si="57"/>
        <v>0</v>
      </c>
      <c r="AM143" s="53">
        <f t="shared" si="59"/>
        <v>0</v>
      </c>
      <c r="AN143" s="53" t="e">
        <f>#REF!-AM143</f>
        <v>#REF!</v>
      </c>
      <c r="AO143" s="53"/>
    </row>
    <row r="144" spans="1:42">
      <c r="A144" s="45">
        <v>6799</v>
      </c>
      <c r="B144" s="45" t="s">
        <v>119</v>
      </c>
      <c r="C144" s="29"/>
      <c r="D144" s="66" t="e">
        <f>C144/C12</f>
        <v>#DIV/0!</v>
      </c>
      <c r="E144" s="85"/>
      <c r="F144" s="66" t="e">
        <f>E144/E12</f>
        <v>#DIV/0!</v>
      </c>
      <c r="G144" s="85">
        <f>G41+G76+G93+G115+G128+G143+G132</f>
        <v>0</v>
      </c>
      <c r="H144" s="66" t="e">
        <f>G144/G12</f>
        <v>#DIV/0!</v>
      </c>
      <c r="I144" s="29">
        <f>I41+I76+I93+I115+I128+I143+I132</f>
        <v>0</v>
      </c>
      <c r="J144" s="66" t="e">
        <f>I144/I12</f>
        <v>#DIV/0!</v>
      </c>
      <c r="K144" s="85">
        <f>K41+K76+K93+K115+K128+K143+K132</f>
        <v>0</v>
      </c>
      <c r="L144" s="66" t="e">
        <f>K144/K12</f>
        <v>#DIV/0!</v>
      </c>
      <c r="M144" s="29">
        <f>M41+M76+M93+M115+M128+M143+M132</f>
        <v>0</v>
      </c>
      <c r="N144" s="66" t="e">
        <f>M144/M12</f>
        <v>#DIV/0!</v>
      </c>
      <c r="O144" s="29">
        <f>O41+O76+O93+O115+O128+O143+O132</f>
        <v>0</v>
      </c>
      <c r="P144" s="66" t="e">
        <f>O144/O12</f>
        <v>#DIV/0!</v>
      </c>
      <c r="Q144" s="29">
        <f>Q41+Q76+Q93+Q115+Q128+Q143+Q132</f>
        <v>0</v>
      </c>
      <c r="R144" s="66" t="e">
        <f>Q144/Q12</f>
        <v>#DIV/0!</v>
      </c>
      <c r="S144" s="29">
        <f>S41+S76+S93+S115+S128+S143+S132</f>
        <v>0</v>
      </c>
      <c r="T144" s="66" t="e">
        <f>S144/S12</f>
        <v>#DIV/0!</v>
      </c>
      <c r="U144" s="85">
        <f>U41+U76+U93+U115+U128+U143+U132</f>
        <v>0</v>
      </c>
      <c r="V144" s="66" t="e">
        <f>U144/U12</f>
        <v>#DIV/0!</v>
      </c>
      <c r="W144" s="85">
        <f>W41+W76+W93+W115+W128+W143+W132</f>
        <v>0</v>
      </c>
      <c r="X144" s="66" t="e">
        <f>W144/W12</f>
        <v>#DIV/0!</v>
      </c>
      <c r="Y144" s="85">
        <f>Y41+Y76+Y93+Y115+Y128+Y143+Y132</f>
        <v>0</v>
      </c>
      <c r="Z144" s="224" t="e">
        <f>Y144/Y12</f>
        <v>#DIV/0!</v>
      </c>
      <c r="AA144" s="211">
        <f>AA41+AA76+AA93+AA115+AA128+AA143+AA132</f>
        <v>0</v>
      </c>
      <c r="AB144" s="245" t="e">
        <f>AA144/AA12</f>
        <v>#DIV/0!</v>
      </c>
      <c r="AC144" s="211">
        <f t="shared" si="56"/>
        <v>0</v>
      </c>
      <c r="AD144" s="245" t="e">
        <f>AC144/AC12</f>
        <v>#DIV/0!</v>
      </c>
      <c r="AE144" s="75"/>
      <c r="AF144" s="169"/>
      <c r="AG144" s="75"/>
      <c r="AH144" s="211">
        <f>AH41+AH76+AH93+AH115+AH128+AH143+AH132</f>
        <v>399979.26616717328</v>
      </c>
      <c r="AI144" s="259">
        <f>AH144/AH12</f>
        <v>0.49672663916915338</v>
      </c>
      <c r="AJ144" s="297">
        <f t="shared" si="76"/>
        <v>399979.26616717328</v>
      </c>
      <c r="AK144" s="53">
        <f t="shared" si="55"/>
        <v>0</v>
      </c>
      <c r="AL144" s="53">
        <f t="shared" si="57"/>
        <v>0</v>
      </c>
      <c r="AM144" s="53">
        <f t="shared" si="59"/>
        <v>0</v>
      </c>
      <c r="AN144" s="53" t="e">
        <f>#REF!-AM144</f>
        <v>#REF!</v>
      </c>
      <c r="AO144" s="53">
        <f>AC144*9.61</f>
        <v>0</v>
      </c>
      <c r="AP144" s="1" t="s">
        <v>227</v>
      </c>
    </row>
    <row r="145" spans="1:41" ht="15.75" thickBot="1">
      <c r="A145" s="10">
        <v>6999</v>
      </c>
      <c r="B145" s="10" t="s">
        <v>126</v>
      </c>
      <c r="C145" s="28"/>
      <c r="D145" s="67" t="e">
        <f>C145/C12</f>
        <v>#DIV/0!</v>
      </c>
      <c r="E145" s="41"/>
      <c r="F145" s="165" t="e">
        <f>E145/E12</f>
        <v>#DIV/0!</v>
      </c>
      <c r="G145" s="41">
        <f>G134-G143</f>
        <v>0</v>
      </c>
      <c r="H145" s="67" t="e">
        <f>G145/G12</f>
        <v>#DIV/0!</v>
      </c>
      <c r="I145" s="22">
        <f>I134-I143</f>
        <v>0</v>
      </c>
      <c r="J145" s="67" t="e">
        <f>I145/I12</f>
        <v>#DIV/0!</v>
      </c>
      <c r="K145" s="41">
        <f>K134-K143</f>
        <v>0</v>
      </c>
      <c r="L145" s="67" t="e">
        <f>K145/K12</f>
        <v>#DIV/0!</v>
      </c>
      <c r="M145" s="22">
        <f>M134-M143</f>
        <v>0</v>
      </c>
      <c r="N145" s="67" t="e">
        <f>M145/M12</f>
        <v>#DIV/0!</v>
      </c>
      <c r="O145" s="22">
        <f>O134-O143</f>
        <v>0</v>
      </c>
      <c r="P145" s="67" t="e">
        <f>O145/O12</f>
        <v>#DIV/0!</v>
      </c>
      <c r="Q145" s="46">
        <f>Q134-Q143</f>
        <v>0</v>
      </c>
      <c r="R145" s="67" t="e">
        <f>Q145/Q12</f>
        <v>#DIV/0!</v>
      </c>
      <c r="S145" s="22">
        <f>S134-S143</f>
        <v>0</v>
      </c>
      <c r="T145" s="67" t="e">
        <f>S145/S12</f>
        <v>#DIV/0!</v>
      </c>
      <c r="U145" s="41">
        <f>U134-U143</f>
        <v>0</v>
      </c>
      <c r="V145" s="67" t="e">
        <f>U145/U12</f>
        <v>#DIV/0!</v>
      </c>
      <c r="W145" s="50">
        <f>W134-W143</f>
        <v>0</v>
      </c>
      <c r="X145" s="67" t="e">
        <f>W145/W12</f>
        <v>#DIV/0!</v>
      </c>
      <c r="Y145" s="41">
        <f>Y134-Y143</f>
        <v>0</v>
      </c>
      <c r="Z145" s="225" t="e">
        <f>Y145/Y12</f>
        <v>#DIV/0!</v>
      </c>
      <c r="AA145" s="290">
        <f>AA134-AA143</f>
        <v>0</v>
      </c>
      <c r="AB145" s="247" t="e">
        <f>AA145/AA12</f>
        <v>#DIV/0!</v>
      </c>
      <c r="AC145" s="290">
        <f t="shared" si="56"/>
        <v>0</v>
      </c>
      <c r="AD145" s="247" t="e">
        <f>AC145/AC12</f>
        <v>#DIV/0!</v>
      </c>
      <c r="AE145" s="271"/>
      <c r="AF145" s="270"/>
      <c r="AG145" s="271"/>
      <c r="AH145" s="290">
        <f>AH134-AH143</f>
        <v>2035.8088328267477</v>
      </c>
      <c r="AI145" s="260">
        <f>AH145/AH12</f>
        <v>2.5282322486642455E-3</v>
      </c>
      <c r="AJ145" s="298">
        <f t="shared" si="76"/>
        <v>2035.8088328267477</v>
      </c>
      <c r="AK145" s="53">
        <f t="shared" si="55"/>
        <v>0</v>
      </c>
      <c r="AL145" s="53">
        <f t="shared" si="57"/>
        <v>0</v>
      </c>
      <c r="AM145" s="53">
        <f t="shared" si="59"/>
        <v>0</v>
      </c>
      <c r="AN145" s="53" t="e">
        <f>#REF!-AM145</f>
        <v>#REF!</v>
      </c>
      <c r="AO145" s="53"/>
    </row>
    <row r="146" spans="1:41" ht="15.75" thickTop="1">
      <c r="A146" s="1"/>
      <c r="B146" s="1"/>
      <c r="C146" s="30"/>
      <c r="D146" s="72"/>
      <c r="E146" s="62"/>
      <c r="F146" s="72"/>
      <c r="G146" s="87"/>
      <c r="H146" s="72"/>
      <c r="I146" s="25"/>
      <c r="J146" s="72"/>
      <c r="K146" s="62"/>
      <c r="L146" s="72"/>
      <c r="M146" s="25"/>
      <c r="N146" s="72"/>
      <c r="O146" s="25"/>
      <c r="P146" s="72"/>
      <c r="Q146" s="25"/>
      <c r="R146" s="72"/>
      <c r="S146" s="25"/>
      <c r="T146" s="72"/>
      <c r="U146" s="62"/>
      <c r="V146" s="72"/>
      <c r="W146" s="44"/>
      <c r="X146" s="72"/>
      <c r="Y146" s="62"/>
      <c r="Z146" s="107"/>
      <c r="AA146" s="204"/>
      <c r="AB146" s="213"/>
      <c r="AC146" s="208">
        <f t="shared" si="56"/>
        <v>0</v>
      </c>
      <c r="AD146" s="213"/>
      <c r="AE146" s="170"/>
      <c r="AF146" s="238"/>
      <c r="AG146" s="170"/>
      <c r="AH146" s="208"/>
      <c r="AI146" s="262"/>
      <c r="AJ146" s="293">
        <f t="shared" si="76"/>
        <v>0</v>
      </c>
      <c r="AK146" s="53">
        <f t="shared" si="55"/>
        <v>0</v>
      </c>
      <c r="AL146" s="53">
        <f t="shared" si="57"/>
        <v>0</v>
      </c>
      <c r="AM146" s="53">
        <f t="shared" si="59"/>
        <v>0</v>
      </c>
      <c r="AN146" s="53" t="e">
        <f>#REF!-AM146</f>
        <v>#REF!</v>
      </c>
      <c r="AO146" s="53"/>
    </row>
    <row r="147" spans="1:41" ht="15.75" thickBot="1">
      <c r="A147" s="196"/>
      <c r="B147" s="10" t="s">
        <v>220</v>
      </c>
      <c r="C147" s="197"/>
      <c r="D147" s="198" t="e">
        <f t="shared" ref="D147" si="86">C147/C$12</f>
        <v>#DIV/0!</v>
      </c>
      <c r="E147" s="197"/>
      <c r="F147" s="198" t="e">
        <f t="shared" ref="F147" si="87">E147/E$12</f>
        <v>#DIV/0!</v>
      </c>
      <c r="G147" s="303"/>
      <c r="H147" s="198" t="e">
        <f t="shared" ref="H147" si="88">G147/G$12</f>
        <v>#DIV/0!</v>
      </c>
      <c r="I147" s="197"/>
      <c r="J147" s="198" t="e">
        <f t="shared" ref="J147" si="89">I147/I$12</f>
        <v>#DIV/0!</v>
      </c>
      <c r="K147" s="197"/>
      <c r="L147" s="198" t="e">
        <f t="shared" ref="L147" si="90">K147/K$12</f>
        <v>#DIV/0!</v>
      </c>
      <c r="M147" s="197"/>
      <c r="N147" s="198" t="e">
        <f t="shared" ref="N147" si="91">M147/M$12</f>
        <v>#DIV/0!</v>
      </c>
      <c r="O147" s="197"/>
      <c r="P147" s="198" t="e">
        <f t="shared" ref="P147" si="92">O147/O$12</f>
        <v>#DIV/0!</v>
      </c>
      <c r="Q147" s="197"/>
      <c r="R147" s="198" t="e">
        <f t="shared" ref="R147" si="93">Q147/Q$12</f>
        <v>#DIV/0!</v>
      </c>
      <c r="S147" s="197"/>
      <c r="T147" s="198" t="e">
        <f t="shared" ref="T147" si="94">S147/S$12</f>
        <v>#DIV/0!</v>
      </c>
      <c r="U147" s="197"/>
      <c r="V147" s="198" t="e">
        <f t="shared" ref="V147" si="95">U147/U$12</f>
        <v>#DIV/0!</v>
      </c>
      <c r="W147" s="197"/>
      <c r="X147" s="198" t="e">
        <f t="shared" ref="X147" si="96">W147/W$12</f>
        <v>#DIV/0!</v>
      </c>
      <c r="Y147" s="197"/>
      <c r="Z147" s="229" t="e">
        <f t="shared" ref="Z147" si="97">Y147/Y$12</f>
        <v>#DIV/0!</v>
      </c>
      <c r="AA147" s="290">
        <f t="shared" ref="AA147:AA149" si="98">C147+E147+G147+I147+K147+M147+O147+Q147+S147+U147+W147+Y147</f>
        <v>0</v>
      </c>
      <c r="AB147" s="252" t="e">
        <f t="shared" ref="AB147" si="99">AA147/AA$12</f>
        <v>#DIV/0!</v>
      </c>
      <c r="AC147" s="218">
        <f t="shared" si="56"/>
        <v>0</v>
      </c>
      <c r="AD147" s="252" t="e">
        <f t="shared" ref="AD147" si="100">AC147/AC$12</f>
        <v>#DIV/0!</v>
      </c>
      <c r="AE147" s="75"/>
      <c r="AF147" s="76"/>
      <c r="AG147" s="76"/>
      <c r="AH147" s="218">
        <v>0</v>
      </c>
      <c r="AI147" s="263">
        <f t="shared" ref="AI147" si="101">AH147/AH$12</f>
        <v>0</v>
      </c>
      <c r="AJ147" s="293">
        <f t="shared" si="76"/>
        <v>0</v>
      </c>
      <c r="AK147" s="53">
        <f t="shared" si="55"/>
        <v>0</v>
      </c>
      <c r="AL147" s="53">
        <f t="shared" si="57"/>
        <v>0</v>
      </c>
      <c r="AM147" s="1"/>
      <c r="AN147" s="1"/>
      <c r="AO147" s="1"/>
    </row>
    <row r="148" spans="1:41" ht="15.75" thickTop="1">
      <c r="A148" s="1"/>
      <c r="B148" s="269"/>
      <c r="C148" s="136"/>
      <c r="D148" s="49"/>
      <c r="E148" s="136"/>
      <c r="F148" s="70"/>
      <c r="G148" s="136"/>
      <c r="H148" s="70"/>
      <c r="I148" s="136"/>
      <c r="J148" s="70"/>
      <c r="K148" s="136"/>
      <c r="L148" s="70"/>
      <c r="M148" s="136"/>
      <c r="N148" s="70"/>
      <c r="O148" s="136"/>
      <c r="P148" s="70"/>
      <c r="Q148" s="136"/>
      <c r="R148" s="70"/>
      <c r="S148" s="136"/>
      <c r="T148" s="70"/>
      <c r="U148" s="136"/>
      <c r="V148" s="70"/>
      <c r="W148" s="136"/>
      <c r="X148" s="70"/>
      <c r="Y148" s="136"/>
      <c r="AA148" s="204"/>
      <c r="AB148" s="213"/>
      <c r="AC148" s="170">
        <f t="shared" ref="AC148:AC151" si="102">AA148/7</f>
        <v>0</v>
      </c>
      <c r="AD148" s="213"/>
      <c r="AE148" s="170"/>
      <c r="AF148" s="215"/>
      <c r="AG148" s="215"/>
      <c r="AH148" s="170"/>
      <c r="AI148" s="254"/>
      <c r="AJ148" s="293">
        <f t="shared" si="76"/>
        <v>0</v>
      </c>
      <c r="AK148" s="53">
        <f t="shared" ref="AK148:AK151" si="103">AA148-AL148</f>
        <v>0</v>
      </c>
      <c r="AL148" s="53">
        <f t="shared" si="57"/>
        <v>0</v>
      </c>
      <c r="AM148" s="1"/>
      <c r="AN148" s="1"/>
      <c r="AO148" s="1"/>
    </row>
    <row r="149" spans="1:41" ht="15.75" thickBot="1">
      <c r="A149" s="196"/>
      <c r="B149" s="10" t="s">
        <v>215</v>
      </c>
      <c r="C149" s="197"/>
      <c r="D149" s="198" t="e">
        <f t="shared" ref="D149" si="104">C149/C$12</f>
        <v>#DIV/0!</v>
      </c>
      <c r="E149" s="197"/>
      <c r="F149" s="198" t="e">
        <f t="shared" ref="F149" si="105">E149/E$12</f>
        <v>#DIV/0!</v>
      </c>
      <c r="G149" s="197"/>
      <c r="H149" s="198" t="e">
        <f t="shared" ref="H149" si="106">G149/G$12</f>
        <v>#DIV/0!</v>
      </c>
      <c r="I149" s="197">
        <v>0</v>
      </c>
      <c r="J149" s="198" t="e">
        <f t="shared" ref="J149" si="107">I149/I$12</f>
        <v>#DIV/0!</v>
      </c>
      <c r="K149" s="197">
        <v>0</v>
      </c>
      <c r="L149" s="198" t="e">
        <f t="shared" ref="L149" si="108">K149/K$12</f>
        <v>#DIV/0!</v>
      </c>
      <c r="M149" s="197">
        <v>0</v>
      </c>
      <c r="N149" s="198" t="e">
        <f t="shared" ref="N149" si="109">M149/M$12</f>
        <v>#DIV/0!</v>
      </c>
      <c r="O149" s="197">
        <v>0</v>
      </c>
      <c r="P149" s="198" t="e">
        <f t="shared" ref="P149" si="110">O149/O$12</f>
        <v>#DIV/0!</v>
      </c>
      <c r="Q149" s="197">
        <v>0</v>
      </c>
      <c r="R149" s="198" t="e">
        <f t="shared" ref="R149" si="111">Q149/Q$12</f>
        <v>#DIV/0!</v>
      </c>
      <c r="S149" s="197">
        <v>0</v>
      </c>
      <c r="T149" s="198">
        <v>0</v>
      </c>
      <c r="U149" s="197">
        <v>0</v>
      </c>
      <c r="V149" s="198" t="e">
        <f t="shared" ref="V149" si="112">U149/U$12</f>
        <v>#DIV/0!</v>
      </c>
      <c r="W149" s="197">
        <v>0</v>
      </c>
      <c r="X149" s="198" t="e">
        <f t="shared" ref="X149" si="113">W149/W$12</f>
        <v>#DIV/0!</v>
      </c>
      <c r="Y149" s="197">
        <v>0</v>
      </c>
      <c r="Z149" s="229" t="e">
        <f t="shared" ref="Z149" si="114">Y149/Y$12</f>
        <v>#DIV/0!</v>
      </c>
      <c r="AA149" s="290">
        <f t="shared" si="98"/>
        <v>0</v>
      </c>
      <c r="AB149" s="252" t="e">
        <f t="shared" ref="AB149" si="115">AA149/AA$12</f>
        <v>#DIV/0!</v>
      </c>
      <c r="AC149" s="218">
        <f t="shared" si="102"/>
        <v>0</v>
      </c>
      <c r="AD149" s="252" t="e">
        <f t="shared" ref="AD149" si="116">AC149/AC$12</f>
        <v>#DIV/0!</v>
      </c>
      <c r="AE149" s="75"/>
      <c r="AF149" s="76"/>
      <c r="AG149" s="76"/>
      <c r="AH149" s="218">
        <v>0</v>
      </c>
      <c r="AI149" s="263">
        <f t="shared" ref="AI149" si="117">AH149/AH$12</f>
        <v>0</v>
      </c>
      <c r="AJ149" s="293">
        <f t="shared" si="76"/>
        <v>0</v>
      </c>
      <c r="AK149" s="53">
        <f t="shared" si="103"/>
        <v>0</v>
      </c>
      <c r="AL149" s="53">
        <f t="shared" ref="AL149:AL151" si="118">C149+E149+G149+I149+K149+M149+O149+Q149+S149+U149+W149+Y149</f>
        <v>0</v>
      </c>
      <c r="AM149" s="1"/>
      <c r="AN149" s="1"/>
      <c r="AO149" s="1"/>
    </row>
    <row r="150" spans="1:41" ht="15.75" thickTop="1">
      <c r="A150" s="1"/>
      <c r="B150" s="65"/>
      <c r="C150" s="136"/>
      <c r="D150" s="49"/>
      <c r="E150" s="136"/>
      <c r="F150" s="70"/>
      <c r="G150" s="136"/>
      <c r="H150" s="70"/>
      <c r="I150" s="136"/>
      <c r="J150" s="70"/>
      <c r="K150" s="136"/>
      <c r="L150" s="70"/>
      <c r="M150" s="136"/>
      <c r="N150" s="70"/>
      <c r="O150" s="136"/>
      <c r="P150" s="70"/>
      <c r="Q150" s="136"/>
      <c r="R150" s="70"/>
      <c r="S150" s="136"/>
      <c r="T150" s="70"/>
      <c r="U150" s="136"/>
      <c r="V150" s="70"/>
      <c r="W150" s="136"/>
      <c r="X150" s="72"/>
      <c r="Y150" s="136"/>
      <c r="Z150" s="107"/>
      <c r="AA150" s="204"/>
      <c r="AB150" s="213"/>
      <c r="AC150" s="170">
        <f t="shared" si="102"/>
        <v>0</v>
      </c>
      <c r="AD150" s="213"/>
      <c r="AE150" s="170"/>
      <c r="AF150" s="215"/>
      <c r="AG150" s="215"/>
      <c r="AH150" s="170"/>
      <c r="AI150" s="254"/>
      <c r="AJ150" s="293">
        <f t="shared" si="76"/>
        <v>0</v>
      </c>
      <c r="AK150" s="53">
        <f t="shared" si="103"/>
        <v>0</v>
      </c>
      <c r="AL150" s="53">
        <f t="shared" si="118"/>
        <v>0</v>
      </c>
      <c r="AM150" s="1"/>
      <c r="AN150" s="1"/>
      <c r="AO150" s="1"/>
    </row>
    <row r="151" spans="1:41" ht="15.75" thickBot="1">
      <c r="A151" s="110"/>
      <c r="B151" s="199" t="s">
        <v>214</v>
      </c>
      <c r="C151" s="302"/>
      <c r="D151" s="124" t="e">
        <f t="shared" ref="D151:F151" si="119">C151/C$12</f>
        <v>#DIV/0!</v>
      </c>
      <c r="E151" s="302"/>
      <c r="F151" s="124" t="e">
        <f t="shared" si="119"/>
        <v>#DIV/0!</v>
      </c>
      <c r="G151" s="302">
        <f>G145-G147-G149</f>
        <v>0</v>
      </c>
      <c r="H151" s="124" t="e">
        <f t="shared" ref="H151" si="120">G151/G$12</f>
        <v>#DIV/0!</v>
      </c>
      <c r="I151" s="302">
        <f>I145-I147-I149</f>
        <v>0</v>
      </c>
      <c r="J151" s="124" t="e">
        <f t="shared" ref="J151" si="121">I151/I$12</f>
        <v>#DIV/0!</v>
      </c>
      <c r="K151" s="200">
        <f>K145-K147-K149</f>
        <v>0</v>
      </c>
      <c r="L151" s="124" t="e">
        <f t="shared" ref="L151" si="122">K151/K$12</f>
        <v>#DIV/0!</v>
      </c>
      <c r="M151" s="200">
        <f>M145-M147-M149</f>
        <v>0</v>
      </c>
      <c r="N151" s="124" t="e">
        <f t="shared" ref="N151" si="123">M151/M$12</f>
        <v>#DIV/0!</v>
      </c>
      <c r="O151" s="200">
        <f>O145-O147-O149</f>
        <v>0</v>
      </c>
      <c r="P151" s="124" t="e">
        <f t="shared" ref="P151" si="124">O151/O$12</f>
        <v>#DIV/0!</v>
      </c>
      <c r="Q151" s="200">
        <f>Q145-Q147-Q149</f>
        <v>0</v>
      </c>
      <c r="R151" s="124" t="e">
        <f t="shared" ref="R151" si="125">Q151/Q$12</f>
        <v>#DIV/0!</v>
      </c>
      <c r="S151" s="200">
        <f>S145-S147-S149</f>
        <v>0</v>
      </c>
      <c r="T151" s="124" t="e">
        <f t="shared" ref="T151" si="126">S151/S$12</f>
        <v>#DIV/0!</v>
      </c>
      <c r="U151" s="200">
        <f>U145-U147-U149</f>
        <v>0</v>
      </c>
      <c r="V151" s="124" t="e">
        <f t="shared" ref="V151" si="127">U151/U$12</f>
        <v>#DIV/0!</v>
      </c>
      <c r="W151" s="200">
        <f>W145-W147-W149</f>
        <v>0</v>
      </c>
      <c r="X151" s="124" t="e">
        <f t="shared" ref="X151" si="128">W151/W$12</f>
        <v>#DIV/0!</v>
      </c>
      <c r="Y151" s="200">
        <f>Y145-Y147-Y149</f>
        <v>0</v>
      </c>
      <c r="Z151" s="230" t="e">
        <f t="shared" ref="Z151" si="129">Y151/Y$12</f>
        <v>#DIV/0!</v>
      </c>
      <c r="AA151" s="291">
        <f>AA145-AA147-AA149</f>
        <v>0</v>
      </c>
      <c r="AB151" s="264" t="e">
        <f t="shared" ref="AB151" si="130">AA151/AA$12</f>
        <v>#DIV/0!</v>
      </c>
      <c r="AC151" s="265">
        <f t="shared" si="102"/>
        <v>0</v>
      </c>
      <c r="AD151" s="264" t="e">
        <f t="shared" ref="AD151" si="131">AC151/AC$12</f>
        <v>#DIV/0!</v>
      </c>
      <c r="AE151" s="266"/>
      <c r="AF151" s="267"/>
      <c r="AG151" s="267"/>
      <c r="AH151" s="265">
        <f>AH145-AH147-AH149</f>
        <v>2035.8088328267477</v>
      </c>
      <c r="AI151" s="268">
        <f t="shared" ref="AI151" si="132">AH151/AH$12</f>
        <v>2.5282322486642455E-3</v>
      </c>
      <c r="AJ151" s="296">
        <f t="shared" si="76"/>
        <v>2035.8088328267477</v>
      </c>
      <c r="AK151" s="53">
        <f t="shared" si="103"/>
        <v>0</v>
      </c>
      <c r="AL151" s="53">
        <f t="shared" si="118"/>
        <v>0</v>
      </c>
      <c r="AM151" s="1"/>
      <c r="AN151" s="1"/>
      <c r="AO151" s="1"/>
    </row>
    <row r="152" spans="1:41" ht="15.75" thickTop="1">
      <c r="AA152" s="312">
        <f>AA151*9.61</f>
        <v>0</v>
      </c>
      <c r="AB152" s="313" t="s">
        <v>227</v>
      </c>
      <c r="AC152" s="312">
        <f>AC151*9.61</f>
        <v>0</v>
      </c>
    </row>
    <row r="153" spans="1:41">
      <c r="A153" s="1"/>
      <c r="B153" s="64" t="s">
        <v>216</v>
      </c>
      <c r="C153" s="63"/>
      <c r="D153" s="15"/>
      <c r="E153" s="63"/>
      <c r="F153" s="201"/>
      <c r="G153" s="301">
        <f>G151+E153</f>
        <v>0</v>
      </c>
      <c r="H153" s="201"/>
      <c r="I153" s="63">
        <f>I151+G153</f>
        <v>0</v>
      </c>
      <c r="J153" s="201"/>
      <c r="K153" s="63">
        <f>K151+I153</f>
        <v>0</v>
      </c>
      <c r="L153" s="201"/>
      <c r="M153" s="63">
        <f>M151+K153</f>
        <v>0</v>
      </c>
      <c r="N153" s="201"/>
      <c r="O153" s="63">
        <f>O151+M153</f>
        <v>0</v>
      </c>
      <c r="P153" s="201"/>
      <c r="Q153" s="63">
        <f>Q151+O153</f>
        <v>0</v>
      </c>
      <c r="R153" s="201"/>
      <c r="S153" s="63">
        <f>S151+Q153</f>
        <v>0</v>
      </c>
      <c r="T153" s="201"/>
      <c r="U153" s="63">
        <f>U151+S153</f>
        <v>0</v>
      </c>
      <c r="V153" s="201"/>
      <c r="W153" s="63">
        <f>W151+U153</f>
        <v>0</v>
      </c>
      <c r="X153" s="201"/>
      <c r="Y153" s="63"/>
      <c r="Z153" s="292"/>
      <c r="AA153" s="128"/>
      <c r="AJ153" s="100"/>
      <c r="AK153" s="1"/>
      <c r="AL153" s="202"/>
      <c r="AM153" s="202">
        <f t="shared" ref="AM153" si="133">C153*0.985+E153*0.985+G153*0.985+I153*0.985+K153*0.985+M153*0.985+O153*0.985+Q153*0.985+S153*0.985+U153*0.985+W153*0.985+Y153*0.985</f>
        <v>0</v>
      </c>
      <c r="AN153" s="202" t="e">
        <f>#REF!-AM153</f>
        <v>#REF!</v>
      </c>
      <c r="AO153" s="202"/>
    </row>
    <row r="154" spans="1:41">
      <c r="AA154" s="128"/>
    </row>
    <row r="155" spans="1:41">
      <c r="E155" s="316"/>
      <c r="AA155" s="128"/>
    </row>
    <row r="156" spans="1:41">
      <c r="E156" s="317"/>
      <c r="I156" s="24" t="s">
        <v>221</v>
      </c>
    </row>
    <row r="157" spans="1:41">
      <c r="I157" s="24" t="s">
        <v>221</v>
      </c>
    </row>
    <row r="158" spans="1:41">
      <c r="C158" s="25"/>
      <c r="I158" s="24" t="s">
        <v>221</v>
      </c>
    </row>
    <row r="159" spans="1:41" s="105" customFormat="1" hidden="1">
      <c r="B159" s="305" t="s">
        <v>126</v>
      </c>
      <c r="C159" s="25"/>
      <c r="D159" s="306"/>
      <c r="E159" s="306"/>
      <c r="F159" s="306"/>
      <c r="G159" s="306"/>
      <c r="H159" s="306"/>
      <c r="I159" s="306">
        <f>I151</f>
        <v>0</v>
      </c>
      <c r="J159" s="306"/>
      <c r="K159" s="306">
        <f>K151</f>
        <v>0</v>
      </c>
      <c r="L159" s="306"/>
      <c r="M159" s="306">
        <f>M151</f>
        <v>0</v>
      </c>
      <c r="N159" s="306"/>
      <c r="O159" s="306">
        <f>O151</f>
        <v>0</v>
      </c>
      <c r="P159" s="306"/>
      <c r="Q159" s="306">
        <f>Q151</f>
        <v>0</v>
      </c>
      <c r="R159" s="306"/>
      <c r="S159" s="306">
        <f>S151</f>
        <v>0</v>
      </c>
      <c r="T159" s="306"/>
      <c r="U159" s="306">
        <f>U151</f>
        <v>0</v>
      </c>
      <c r="V159" s="306"/>
      <c r="W159" s="306">
        <f>W151</f>
        <v>0</v>
      </c>
      <c r="X159" s="306"/>
      <c r="Y159" s="306">
        <f>Y151</f>
        <v>0</v>
      </c>
      <c r="Z159" s="306"/>
      <c r="AA159" s="306">
        <f>AA151</f>
        <v>0</v>
      </c>
      <c r="AB159" s="306"/>
      <c r="AC159" s="306">
        <f>AC151</f>
        <v>0</v>
      </c>
      <c r="AD159" s="306"/>
    </row>
    <row r="160" spans="1:41" s="105" customFormat="1" hidden="1">
      <c r="C160" s="106"/>
      <c r="D160" s="228"/>
      <c r="E160" s="106"/>
      <c r="F160" s="107"/>
      <c r="G160" s="106"/>
      <c r="H160" s="107"/>
      <c r="I160" s="106"/>
      <c r="J160" s="107"/>
      <c r="K160" s="106"/>
      <c r="L160" s="107"/>
      <c r="M160" s="106"/>
      <c r="N160" s="107"/>
      <c r="O160" s="106"/>
      <c r="P160" s="107"/>
      <c r="Q160" s="106"/>
      <c r="R160" s="107"/>
      <c r="S160" s="106"/>
      <c r="T160" s="107"/>
      <c r="U160" s="106"/>
      <c r="V160" s="107"/>
      <c r="W160" s="106"/>
      <c r="X160" s="107"/>
      <c r="Y160" s="106"/>
      <c r="Z160" s="107"/>
      <c r="AA160" s="104"/>
      <c r="AB160" s="108"/>
      <c r="AC160" s="104"/>
      <c r="AD160" s="108"/>
    </row>
    <row r="161" spans="2:30" s="105" customFormat="1" hidden="1">
      <c r="B161" s="105" t="s">
        <v>222</v>
      </c>
      <c r="C161" s="106"/>
      <c r="D161" s="228"/>
      <c r="E161" s="106"/>
      <c r="F161" s="107"/>
      <c r="G161" s="106"/>
      <c r="H161" s="107"/>
      <c r="I161" s="106">
        <f>I149</f>
        <v>0</v>
      </c>
      <c r="J161" s="107"/>
      <c r="K161" s="106">
        <f>K149</f>
        <v>0</v>
      </c>
      <c r="L161" s="107"/>
      <c r="M161" s="106">
        <f>M149</f>
        <v>0</v>
      </c>
      <c r="N161" s="107"/>
      <c r="O161" s="106">
        <f>O149</f>
        <v>0</v>
      </c>
      <c r="P161" s="107"/>
      <c r="Q161" s="106">
        <f>Q149</f>
        <v>0</v>
      </c>
      <c r="R161" s="107"/>
      <c r="S161" s="106">
        <f>S149</f>
        <v>0</v>
      </c>
      <c r="T161" s="107"/>
      <c r="U161" s="106">
        <f>U149</f>
        <v>0</v>
      </c>
      <c r="V161" s="107"/>
      <c r="W161" s="106">
        <f>W149</f>
        <v>0</v>
      </c>
      <c r="X161" s="107"/>
      <c r="Y161" s="106">
        <f>Y149</f>
        <v>0</v>
      </c>
      <c r="Z161" s="107"/>
      <c r="AA161" s="106">
        <f>AA149</f>
        <v>0</v>
      </c>
      <c r="AB161" s="108"/>
      <c r="AC161" s="106">
        <f>AC149</f>
        <v>0</v>
      </c>
      <c r="AD161" s="108"/>
    </row>
    <row r="162" spans="2:30" s="105" customFormat="1" hidden="1">
      <c r="C162" s="106"/>
      <c r="D162" s="228"/>
      <c r="E162" s="106"/>
      <c r="F162" s="107"/>
      <c r="G162" s="106"/>
      <c r="H162" s="107"/>
      <c r="I162" s="106"/>
      <c r="J162" s="107"/>
      <c r="K162" s="106"/>
      <c r="L162" s="107"/>
      <c r="M162" s="106"/>
      <c r="N162" s="107"/>
      <c r="O162" s="106"/>
      <c r="P162" s="107"/>
      <c r="Q162" s="106"/>
      <c r="R162" s="107"/>
      <c r="S162" s="106"/>
      <c r="T162" s="107"/>
      <c r="U162" s="106"/>
      <c r="V162" s="107"/>
      <c r="W162" s="106"/>
      <c r="X162" s="107"/>
      <c r="Y162" s="106"/>
      <c r="Z162" s="107"/>
      <c r="AA162" s="104"/>
      <c r="AB162" s="108"/>
      <c r="AC162" s="104"/>
      <c r="AD162" s="108"/>
    </row>
    <row r="163" spans="2:30" s="105" customFormat="1" hidden="1">
      <c r="B163" s="105" t="s">
        <v>223</v>
      </c>
      <c r="C163" s="106"/>
      <c r="D163" s="106"/>
      <c r="E163" s="106"/>
      <c r="F163" s="106"/>
      <c r="G163" s="106"/>
      <c r="H163" s="106"/>
      <c r="I163" s="106">
        <f>I141</f>
        <v>0</v>
      </c>
      <c r="J163" s="106"/>
      <c r="K163" s="106">
        <f>K141</f>
        <v>0</v>
      </c>
      <c r="L163" s="106"/>
      <c r="M163" s="106">
        <f>M141</f>
        <v>0</v>
      </c>
      <c r="N163" s="106"/>
      <c r="O163" s="106">
        <f>O141</f>
        <v>0</v>
      </c>
      <c r="P163" s="106"/>
      <c r="Q163" s="106">
        <f>Q141</f>
        <v>0</v>
      </c>
      <c r="R163" s="106"/>
      <c r="S163" s="106">
        <f>S141</f>
        <v>0</v>
      </c>
      <c r="T163" s="106"/>
      <c r="U163" s="106">
        <f>U141</f>
        <v>0</v>
      </c>
      <c r="V163" s="106"/>
      <c r="W163" s="106">
        <f>W141</f>
        <v>0</v>
      </c>
      <c r="X163" s="106"/>
      <c r="Y163" s="106">
        <f>Y141</f>
        <v>0</v>
      </c>
      <c r="Z163" s="106"/>
      <c r="AA163" s="106">
        <f>AA141</f>
        <v>0</v>
      </c>
      <c r="AB163" s="106"/>
      <c r="AC163" s="106">
        <f>AC141</f>
        <v>0</v>
      </c>
      <c r="AD163" s="106"/>
    </row>
    <row r="164" spans="2:30" s="105" customFormat="1" hidden="1">
      <c r="C164" s="106"/>
      <c r="D164" s="228"/>
      <c r="E164" s="106"/>
      <c r="F164" s="107"/>
      <c r="G164" s="106"/>
      <c r="H164" s="107"/>
      <c r="I164" s="106"/>
      <c r="J164" s="107"/>
      <c r="K164" s="106"/>
      <c r="L164" s="107"/>
      <c r="M164" s="106"/>
      <c r="N164" s="107"/>
      <c r="O164" s="106"/>
      <c r="P164" s="107"/>
      <c r="Q164" s="106"/>
      <c r="R164" s="107"/>
      <c r="S164" s="106"/>
      <c r="T164" s="107"/>
      <c r="U164" s="106"/>
      <c r="V164" s="107"/>
      <c r="W164" s="106"/>
      <c r="X164" s="107"/>
      <c r="Y164" s="106"/>
      <c r="Z164" s="107"/>
      <c r="AA164" s="106"/>
      <c r="AB164" s="108"/>
      <c r="AC164" s="106"/>
      <c r="AD164" s="108"/>
    </row>
    <row r="165" spans="2:30" s="105" customFormat="1" hidden="1">
      <c r="B165" s="105" t="s">
        <v>224</v>
      </c>
      <c r="C165" s="106"/>
      <c r="D165" s="106"/>
      <c r="E165" s="106"/>
      <c r="F165" s="106"/>
      <c r="G165" s="106"/>
      <c r="H165" s="106"/>
      <c r="I165" s="106">
        <f>I143-I141</f>
        <v>0</v>
      </c>
      <c r="J165" s="106"/>
      <c r="K165" s="106">
        <f>K143-K141</f>
        <v>0</v>
      </c>
      <c r="L165" s="106"/>
      <c r="M165" s="106">
        <f>M143-M141</f>
        <v>0</v>
      </c>
      <c r="N165" s="106"/>
      <c r="O165" s="106">
        <f>O143-O141</f>
        <v>0</v>
      </c>
      <c r="P165" s="106"/>
      <c r="Q165" s="106">
        <f>Q143-Q141</f>
        <v>0</v>
      </c>
      <c r="R165" s="106"/>
      <c r="S165" s="106">
        <f>S143-S141</f>
        <v>0</v>
      </c>
      <c r="T165" s="106"/>
      <c r="U165" s="106">
        <f>U143-U141</f>
        <v>0</v>
      </c>
      <c r="V165" s="106"/>
      <c r="W165" s="106">
        <f>W143-W141</f>
        <v>0</v>
      </c>
      <c r="X165" s="106"/>
      <c r="Y165" s="106">
        <f>Y143-Y141</f>
        <v>0</v>
      </c>
      <c r="Z165" s="106"/>
      <c r="AA165" s="106">
        <f>AA143-AA141</f>
        <v>0</v>
      </c>
      <c r="AB165" s="106"/>
      <c r="AC165" s="106">
        <f>AC143-AC141</f>
        <v>0</v>
      </c>
      <c r="AD165" s="106"/>
    </row>
    <row r="166" spans="2:30" s="105" customFormat="1" hidden="1">
      <c r="C166" s="106"/>
      <c r="D166" s="228"/>
      <c r="E166" s="106"/>
      <c r="F166" s="107"/>
      <c r="G166" s="106"/>
      <c r="H166" s="107"/>
      <c r="I166" s="106"/>
      <c r="J166" s="107"/>
      <c r="K166" s="106"/>
      <c r="L166" s="107"/>
      <c r="M166" s="106"/>
      <c r="N166" s="107"/>
      <c r="O166" s="106"/>
      <c r="P166" s="107"/>
      <c r="Q166" s="106"/>
      <c r="R166" s="107"/>
      <c r="S166" s="106"/>
      <c r="T166" s="107"/>
      <c r="U166" s="106"/>
      <c r="V166" s="107"/>
      <c r="W166" s="106"/>
      <c r="X166" s="107"/>
      <c r="Y166" s="106"/>
      <c r="Z166" s="107"/>
      <c r="AA166" s="104"/>
      <c r="AB166" s="108"/>
      <c r="AC166" s="106"/>
      <c r="AD166" s="108"/>
    </row>
    <row r="167" spans="2:30" s="105" customFormat="1" hidden="1">
      <c r="C167" s="106"/>
      <c r="D167" s="228"/>
      <c r="E167" s="106"/>
      <c r="F167" s="107"/>
      <c r="G167" s="106"/>
      <c r="H167" s="107"/>
      <c r="I167" s="106"/>
      <c r="J167" s="107"/>
      <c r="K167" s="106"/>
      <c r="L167" s="107"/>
      <c r="M167" s="106"/>
      <c r="N167" s="107"/>
      <c r="O167" s="106"/>
      <c r="P167" s="107"/>
      <c r="Q167" s="106"/>
      <c r="R167" s="107"/>
      <c r="S167" s="106"/>
      <c r="T167" s="107"/>
      <c r="U167" s="106"/>
      <c r="V167" s="107"/>
      <c r="W167" s="106"/>
      <c r="X167" s="107"/>
      <c r="Y167" s="106"/>
      <c r="Z167" s="107"/>
      <c r="AA167" s="104"/>
      <c r="AB167" s="108"/>
      <c r="AC167" s="104"/>
      <c r="AD167" s="108"/>
    </row>
    <row r="168" spans="2:30" s="105" customFormat="1" hidden="1">
      <c r="B168" s="307" t="s">
        <v>225</v>
      </c>
      <c r="C168" s="308"/>
      <c r="D168" s="309"/>
      <c r="E168" s="308"/>
      <c r="F168" s="308"/>
      <c r="G168" s="308"/>
      <c r="H168" s="308"/>
      <c r="I168" s="308">
        <f>I161+I159+I163+I165</f>
        <v>0</v>
      </c>
      <c r="J168" s="308"/>
      <c r="K168" s="308">
        <f>K161+K159+K163+K165</f>
        <v>0</v>
      </c>
      <c r="L168" s="308"/>
      <c r="M168" s="308">
        <f>M161+M159+M163+M165</f>
        <v>0</v>
      </c>
      <c r="N168" s="308"/>
      <c r="O168" s="308">
        <f>O161+O159+O163+O165</f>
        <v>0</v>
      </c>
      <c r="P168" s="308"/>
      <c r="Q168" s="308">
        <f>Q161+Q159+Q163+Q165</f>
        <v>0</v>
      </c>
      <c r="R168" s="308"/>
      <c r="S168" s="308">
        <f>S161+S159+S163+S165</f>
        <v>0</v>
      </c>
      <c r="T168" s="308"/>
      <c r="U168" s="308">
        <f>U161+U159+U163+U165</f>
        <v>0</v>
      </c>
      <c r="V168" s="308"/>
      <c r="W168" s="308">
        <f>W161+W159+W163+W165</f>
        <v>0</v>
      </c>
      <c r="X168" s="308"/>
      <c r="Y168" s="308">
        <f>Y161+Y159+Y163+Y165</f>
        <v>0</v>
      </c>
      <c r="Z168" s="308"/>
      <c r="AA168" s="308">
        <f>AA161+AA159+AA163+AA165</f>
        <v>0</v>
      </c>
      <c r="AB168" s="108"/>
      <c r="AC168" s="106">
        <f>AA168/12</f>
        <v>0</v>
      </c>
      <c r="AD168" s="108"/>
    </row>
    <row r="169" spans="2:30" s="105" customFormat="1" hidden="1">
      <c r="C169" s="106"/>
      <c r="D169" s="228"/>
      <c r="E169" s="106"/>
      <c r="F169" s="107"/>
      <c r="G169" s="106"/>
      <c r="H169" s="107"/>
      <c r="I169" s="106"/>
      <c r="J169" s="107"/>
      <c r="K169" s="106"/>
      <c r="L169" s="107"/>
      <c r="M169" s="106"/>
      <c r="N169" s="107"/>
      <c r="O169" s="106"/>
      <c r="P169" s="107"/>
      <c r="Q169" s="106"/>
      <c r="R169" s="107"/>
      <c r="S169" s="106"/>
      <c r="T169" s="107"/>
      <c r="U169" s="106"/>
      <c r="V169" s="107"/>
      <c r="W169" s="106"/>
      <c r="X169" s="107"/>
      <c r="Y169" s="106"/>
      <c r="Z169" s="107"/>
      <c r="AA169" s="104"/>
      <c r="AB169" s="108"/>
      <c r="AC169" s="104"/>
      <c r="AD169" s="108"/>
    </row>
    <row r="170" spans="2:30" s="105" customFormat="1" hidden="1">
      <c r="B170" s="310"/>
      <c r="C170" s="106"/>
      <c r="D170" s="228"/>
      <c r="E170" s="106"/>
      <c r="F170" s="107"/>
      <c r="G170" s="106"/>
      <c r="H170" s="107"/>
      <c r="I170" s="106"/>
      <c r="J170" s="107"/>
      <c r="K170" s="106"/>
      <c r="L170" s="107"/>
      <c r="M170" s="106"/>
      <c r="N170" s="107"/>
      <c r="O170" s="106"/>
      <c r="P170" s="107"/>
      <c r="Q170" s="106"/>
      <c r="R170" s="107"/>
      <c r="S170" s="106"/>
      <c r="T170" s="107"/>
      <c r="U170" s="106"/>
      <c r="V170" s="107"/>
      <c r="W170" s="106"/>
      <c r="X170" s="107"/>
      <c r="Y170" s="106"/>
      <c r="Z170" s="107"/>
      <c r="AA170" s="104"/>
      <c r="AB170" s="108"/>
      <c r="AC170" s="104"/>
      <c r="AD170" s="108"/>
    </row>
    <row r="171" spans="2:30" s="105" customFormat="1" hidden="1">
      <c r="B171" s="311" t="s">
        <v>226</v>
      </c>
      <c r="C171" s="306"/>
      <c r="D171" s="306"/>
      <c r="E171" s="306"/>
      <c r="F171" s="306"/>
      <c r="G171" s="306"/>
      <c r="H171" s="306"/>
      <c r="I171" s="306">
        <f>G171+I168</f>
        <v>0</v>
      </c>
      <c r="J171" s="306"/>
      <c r="K171" s="306">
        <f>I171+K168</f>
        <v>0</v>
      </c>
      <c r="L171" s="306"/>
      <c r="M171" s="306">
        <f>K171+M168</f>
        <v>0</v>
      </c>
      <c r="N171" s="306"/>
      <c r="O171" s="306">
        <f>M171+O168</f>
        <v>0</v>
      </c>
      <c r="P171" s="306"/>
      <c r="Q171" s="306">
        <f>O171+Q168</f>
        <v>0</v>
      </c>
      <c r="R171" s="306"/>
      <c r="S171" s="306">
        <f>Q171+S168</f>
        <v>0</v>
      </c>
      <c r="T171" s="306"/>
      <c r="U171" s="306">
        <f>S171+U168</f>
        <v>0</v>
      </c>
      <c r="V171" s="306"/>
      <c r="W171" s="306">
        <f>U171+W168</f>
        <v>0</v>
      </c>
      <c r="X171" s="306"/>
      <c r="Y171" s="306">
        <f>W171+Y168</f>
        <v>0</v>
      </c>
      <c r="Z171" s="306"/>
      <c r="AA171" s="306"/>
      <c r="AB171" s="306"/>
      <c r="AC171" s="306"/>
      <c r="AD171" s="306"/>
    </row>
    <row r="172" spans="2:30">
      <c r="C172" s="25"/>
    </row>
  </sheetData>
  <mergeCells count="14">
    <mergeCell ref="Y2:Z2"/>
    <mergeCell ref="AA2:AB2"/>
    <mergeCell ref="AC2:AD2"/>
    <mergeCell ref="AH2:AI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45 Q145">
    <cfRule type="cellIs" dxfId="2" priority="2" operator="lessThan">
      <formula>0</formula>
    </cfRule>
  </conditionalFormatting>
  <conditionalFormatting sqref="W145 Q145">
    <cfRule type="cellIs" dxfId="1" priority="1" operator="lessThan">
      <formula>0</formula>
    </cfRule>
  </conditionalFormatting>
  <printOptions gridLines="1"/>
  <pageMargins left="0.7" right="0.7" top="1.83" bottom="0.75" header="0.3" footer="0.3"/>
  <pageSetup paperSize="8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/>
  <dimension ref="A2:M44"/>
  <sheetViews>
    <sheetView topLeftCell="A15" workbookViewId="0">
      <selection activeCell="G23" sqref="G23"/>
    </sheetView>
  </sheetViews>
  <sheetFormatPr defaultRowHeight="15"/>
  <cols>
    <col min="2" max="2" width="9.140625" style="1"/>
    <col min="4" max="4" width="40.28515625" customWidth="1"/>
    <col min="5" max="5" width="13.28515625" bestFit="1" customWidth="1"/>
    <col min="6" max="6" width="18.28515625" bestFit="1" customWidth="1"/>
    <col min="7" max="7" width="14.140625" bestFit="1" customWidth="1"/>
    <col min="8" max="8" width="5.140625" customWidth="1"/>
    <col min="9" max="9" width="11.42578125" customWidth="1"/>
    <col min="10" max="10" width="12.7109375" bestFit="1" customWidth="1"/>
    <col min="11" max="11" width="18.28515625" bestFit="1" customWidth="1"/>
    <col min="12" max="12" width="18" bestFit="1" customWidth="1"/>
    <col min="13" max="13" width="10.7109375" bestFit="1" customWidth="1"/>
  </cols>
  <sheetData>
    <row r="2" spans="1:13">
      <c r="E2" s="63"/>
      <c r="M2" s="1"/>
    </row>
    <row r="3" spans="1:13">
      <c r="A3" s="1" t="s">
        <v>65</v>
      </c>
      <c r="D3" s="1"/>
      <c r="E3" s="62"/>
    </row>
    <row r="4" spans="1:13" s="1" customFormat="1">
      <c r="A4" s="1" t="s">
        <v>129</v>
      </c>
      <c r="C4" s="1">
        <v>1</v>
      </c>
      <c r="D4" s="1" t="s">
        <v>166</v>
      </c>
      <c r="E4" s="63"/>
      <c r="G4" s="1" t="s">
        <v>191</v>
      </c>
    </row>
    <row r="5" spans="1:13" s="1" customFormat="1">
      <c r="C5" s="1">
        <v>2</v>
      </c>
      <c r="D5" s="1" t="s">
        <v>167</v>
      </c>
      <c r="E5" s="63"/>
      <c r="G5" s="1" t="s">
        <v>192</v>
      </c>
    </row>
    <row r="6" spans="1:13" s="1" customFormat="1">
      <c r="E6" s="63"/>
    </row>
    <row r="7" spans="1:13" s="1" customFormat="1">
      <c r="C7" s="1">
        <v>1</v>
      </c>
      <c r="D7" s="1" t="s">
        <v>168</v>
      </c>
      <c r="E7" s="63"/>
      <c r="G7" s="1" t="s">
        <v>191</v>
      </c>
    </row>
    <row r="8" spans="1:13" s="1" customFormat="1">
      <c r="A8" s="1" t="s">
        <v>86</v>
      </c>
      <c r="C8" s="1">
        <v>2</v>
      </c>
      <c r="D8" s="1" t="s">
        <v>169</v>
      </c>
      <c r="E8" s="63"/>
      <c r="F8" s="63"/>
      <c r="G8" s="63" t="s">
        <v>191</v>
      </c>
      <c r="H8" s="63"/>
      <c r="I8" s="63"/>
      <c r="J8" s="63"/>
      <c r="K8" s="63"/>
      <c r="L8" s="63"/>
      <c r="M8" s="63"/>
    </row>
    <row r="9" spans="1:13" s="1" customFormat="1">
      <c r="C9" s="1">
        <v>3</v>
      </c>
      <c r="D9" s="1" t="s">
        <v>170</v>
      </c>
      <c r="E9" s="63"/>
      <c r="F9" s="63"/>
      <c r="G9" s="63" t="s">
        <v>191</v>
      </c>
      <c r="H9" s="63"/>
      <c r="I9" s="63"/>
      <c r="J9" s="63"/>
      <c r="K9" s="63"/>
      <c r="L9" s="63"/>
      <c r="M9" s="63"/>
    </row>
    <row r="10" spans="1:13" s="1" customFormat="1">
      <c r="C10" s="1">
        <v>4</v>
      </c>
      <c r="D10" s="1" t="s">
        <v>171</v>
      </c>
      <c r="E10" s="63"/>
      <c r="F10" s="63"/>
      <c r="G10" s="63" t="s">
        <v>192</v>
      </c>
      <c r="H10" s="63"/>
      <c r="I10" s="63"/>
      <c r="J10" s="63"/>
      <c r="K10" s="63"/>
      <c r="L10" s="63"/>
      <c r="M10" s="63"/>
    </row>
    <row r="11" spans="1:13" s="1" customFormat="1">
      <c r="C11" s="1">
        <v>5</v>
      </c>
      <c r="D11" s="1" t="s">
        <v>172</v>
      </c>
      <c r="E11" s="63"/>
      <c r="F11" s="63"/>
      <c r="G11" s="63" t="s">
        <v>191</v>
      </c>
      <c r="H11" s="63"/>
      <c r="I11" s="63"/>
      <c r="J11" s="63"/>
      <c r="K11" s="63"/>
      <c r="L11" s="63"/>
      <c r="M11" s="63"/>
    </row>
    <row r="12" spans="1:13" s="1" customFormat="1">
      <c r="A12" s="1" t="s">
        <v>120</v>
      </c>
      <c r="C12" s="1">
        <v>6</v>
      </c>
      <c r="D12" s="1" t="s">
        <v>173</v>
      </c>
      <c r="E12" s="63" t="s">
        <v>175</v>
      </c>
      <c r="F12" s="63"/>
      <c r="G12" s="63" t="s">
        <v>191</v>
      </c>
      <c r="H12" s="63"/>
      <c r="I12" s="63"/>
      <c r="J12" s="63"/>
      <c r="K12" s="63"/>
      <c r="L12" s="63"/>
      <c r="M12" s="63"/>
    </row>
    <row r="13" spans="1:13" s="1" customFormat="1">
      <c r="C13" s="1">
        <v>7</v>
      </c>
      <c r="D13" s="1" t="s">
        <v>174</v>
      </c>
      <c r="E13" s="63"/>
      <c r="F13" s="142"/>
      <c r="G13" s="63" t="s">
        <v>191</v>
      </c>
      <c r="H13" s="63"/>
      <c r="I13" s="63"/>
      <c r="J13" s="63"/>
      <c r="K13" s="63"/>
      <c r="L13" s="63"/>
      <c r="M13" s="63"/>
    </row>
    <row r="14" spans="1:13" s="1" customFormat="1">
      <c r="C14" s="1">
        <v>8</v>
      </c>
      <c r="D14" s="1" t="s">
        <v>187</v>
      </c>
      <c r="E14" s="63"/>
      <c r="F14" s="142"/>
      <c r="G14" s="63" t="s">
        <v>191</v>
      </c>
      <c r="H14" s="63"/>
      <c r="I14" s="63"/>
      <c r="J14" s="63"/>
      <c r="K14" s="63"/>
      <c r="L14" s="63"/>
      <c r="M14" s="63"/>
    </row>
    <row r="15" spans="1:13" s="1" customFormat="1">
      <c r="C15" s="13">
        <v>9</v>
      </c>
      <c r="D15" s="13" t="s">
        <v>188</v>
      </c>
      <c r="E15" s="63"/>
      <c r="F15" s="142"/>
      <c r="G15" s="63" t="s">
        <v>194</v>
      </c>
      <c r="H15" s="63"/>
      <c r="I15" s="63"/>
      <c r="J15" s="63"/>
      <c r="K15" s="63"/>
      <c r="L15" s="63"/>
      <c r="M15" s="63"/>
    </row>
    <row r="16" spans="1:13" s="1" customFormat="1">
      <c r="C16" s="13">
        <v>10</v>
      </c>
      <c r="D16" s="13" t="s">
        <v>189</v>
      </c>
      <c r="E16" s="63"/>
      <c r="G16" s="63" t="s">
        <v>191</v>
      </c>
      <c r="L16" s="63"/>
      <c r="M16" s="63"/>
    </row>
    <row r="17" spans="3:13" s="1" customFormat="1">
      <c r="C17" s="13">
        <v>11</v>
      </c>
      <c r="D17" s="13" t="s">
        <v>190</v>
      </c>
      <c r="E17" s="63"/>
      <c r="G17" s="63" t="s">
        <v>192</v>
      </c>
      <c r="L17" s="63"/>
      <c r="M17" s="63"/>
    </row>
    <row r="18" spans="3:13" s="1" customFormat="1">
      <c r="C18" s="13">
        <v>12</v>
      </c>
      <c r="D18" s="13" t="s">
        <v>193</v>
      </c>
      <c r="E18" s="63"/>
      <c r="G18" s="63" t="s">
        <v>191</v>
      </c>
      <c r="L18" s="63"/>
      <c r="M18" s="63"/>
    </row>
    <row r="19" spans="3:13" s="1" customFormat="1">
      <c r="E19" s="63"/>
      <c r="L19" s="63"/>
      <c r="M19" s="63"/>
    </row>
    <row r="20" spans="3:13" s="1" customFormat="1">
      <c r="E20" s="63"/>
      <c r="L20" s="63"/>
      <c r="M20" s="63"/>
    </row>
    <row r="21" spans="3:13">
      <c r="C21" s="143"/>
      <c r="D21" s="158" t="s">
        <v>184</v>
      </c>
      <c r="E21" s="156"/>
      <c r="F21" s="156"/>
      <c r="G21" s="157" t="s">
        <v>158</v>
      </c>
      <c r="H21" s="144"/>
      <c r="I21" s="144"/>
      <c r="J21" s="156"/>
      <c r="K21" s="156"/>
      <c r="L21" s="159" t="s">
        <v>185</v>
      </c>
    </row>
    <row r="22" spans="3:13">
      <c r="C22" s="160"/>
      <c r="D22" s="105"/>
      <c r="E22" s="94" t="s">
        <v>72</v>
      </c>
      <c r="F22" s="94" t="s">
        <v>177</v>
      </c>
      <c r="G22" s="94" t="s">
        <v>181</v>
      </c>
      <c r="H22" s="105"/>
      <c r="I22" s="105"/>
      <c r="J22" s="94" t="s">
        <v>72</v>
      </c>
      <c r="K22" s="94" t="s">
        <v>177</v>
      </c>
      <c r="L22" s="161" t="s">
        <v>186</v>
      </c>
    </row>
    <row r="23" spans="3:13">
      <c r="C23" s="160">
        <v>1</v>
      </c>
      <c r="D23" s="105" t="s">
        <v>176</v>
      </c>
      <c r="E23" s="162">
        <v>7706135</v>
      </c>
      <c r="F23" s="162">
        <v>55516.639999999999</v>
      </c>
      <c r="G23" s="107">
        <f>F23/E23</f>
        <v>7.2042132664429052E-3</v>
      </c>
      <c r="H23" s="105"/>
      <c r="I23" s="105"/>
      <c r="J23" s="162">
        <v>14715474.800000001</v>
      </c>
      <c r="K23" s="162">
        <v>99753.89</v>
      </c>
      <c r="L23" s="72">
        <f>K23/J23</f>
        <v>6.7788427730514E-3</v>
      </c>
    </row>
    <row r="24" spans="3:13">
      <c r="C24" s="160">
        <v>2</v>
      </c>
      <c r="D24" s="105" t="s">
        <v>178</v>
      </c>
      <c r="E24" s="162">
        <v>8687901.9800000004</v>
      </c>
      <c r="F24" s="162">
        <v>64820.04</v>
      </c>
      <c r="G24" s="107">
        <f>F24/E24</f>
        <v>7.4609543419365326E-3</v>
      </c>
      <c r="H24" s="105"/>
      <c r="I24" s="105"/>
      <c r="J24" s="162">
        <v>15701903.98</v>
      </c>
      <c r="K24" s="162">
        <v>113776.6</v>
      </c>
      <c r="L24" s="72">
        <f>K24/J24</f>
        <v>7.2460384514464469E-3</v>
      </c>
    </row>
    <row r="25" spans="3:13">
      <c r="C25" s="160">
        <v>3</v>
      </c>
      <c r="D25" s="105" t="s">
        <v>179</v>
      </c>
      <c r="E25" s="162">
        <v>8882574.9900000002</v>
      </c>
      <c r="F25" s="162">
        <v>63970.9</v>
      </c>
      <c r="G25" s="107">
        <f>F25/E25</f>
        <v>7.2018418163672607E-3</v>
      </c>
      <c r="H25" s="105"/>
      <c r="I25" s="105"/>
      <c r="J25" s="162">
        <v>17170527.579999998</v>
      </c>
      <c r="K25" s="162">
        <v>122124.98</v>
      </c>
      <c r="L25" s="72">
        <f>K25/J25</f>
        <v>7.1124768549482168E-3</v>
      </c>
    </row>
    <row r="26" spans="3:13">
      <c r="C26" s="160">
        <v>4</v>
      </c>
      <c r="D26" s="105" t="s">
        <v>182</v>
      </c>
      <c r="E26" s="162">
        <v>0</v>
      </c>
      <c r="F26" s="162">
        <v>0</v>
      </c>
      <c r="G26" s="105">
        <v>0</v>
      </c>
      <c r="H26" s="105"/>
      <c r="I26" s="105"/>
      <c r="J26" s="105"/>
      <c r="K26" s="105"/>
      <c r="L26" s="15"/>
    </row>
    <row r="27" spans="3:13">
      <c r="C27" s="160"/>
      <c r="D27" s="105"/>
      <c r="E27" s="105"/>
      <c r="F27" s="105"/>
      <c r="G27" s="105"/>
      <c r="H27" s="105"/>
      <c r="I27" s="105"/>
      <c r="J27" s="105"/>
      <c r="K27" s="105"/>
      <c r="L27" s="15"/>
    </row>
    <row r="28" spans="3:13" s="1" customFormat="1">
      <c r="C28" s="160"/>
      <c r="D28" s="105"/>
      <c r="E28" s="156"/>
      <c r="F28" s="156"/>
      <c r="G28" s="157" t="s">
        <v>158</v>
      </c>
      <c r="H28" s="105"/>
      <c r="I28" s="105"/>
      <c r="J28" s="105"/>
      <c r="K28" s="105"/>
      <c r="L28" s="15"/>
    </row>
    <row r="29" spans="3:13" s="1" customFormat="1">
      <c r="C29" s="160"/>
      <c r="D29" s="105"/>
      <c r="E29" s="94" t="s">
        <v>72</v>
      </c>
      <c r="F29" s="94" t="s">
        <v>177</v>
      </c>
      <c r="G29" s="94" t="s">
        <v>180</v>
      </c>
      <c r="H29" s="105"/>
      <c r="I29" s="105"/>
      <c r="J29" s="105"/>
      <c r="K29" s="105"/>
      <c r="L29" s="15"/>
    </row>
    <row r="30" spans="3:13">
      <c r="C30" s="160">
        <v>1</v>
      </c>
      <c r="D30" s="105" t="s">
        <v>176</v>
      </c>
      <c r="E30" s="162">
        <v>8617055.3000000007</v>
      </c>
      <c r="F30" s="162">
        <v>56231.97</v>
      </c>
      <c r="G30" s="107">
        <f>F30/E30</f>
        <v>6.5256596415251035E-3</v>
      </c>
      <c r="H30" s="105"/>
      <c r="I30" s="105"/>
      <c r="J30" s="105"/>
      <c r="K30" s="105"/>
      <c r="L30" s="15"/>
    </row>
    <row r="31" spans="3:13">
      <c r="C31" s="160">
        <v>2</v>
      </c>
      <c r="D31" s="105" t="s">
        <v>178</v>
      </c>
      <c r="E31" s="162">
        <v>8779381</v>
      </c>
      <c r="F31" s="162">
        <v>62181.48</v>
      </c>
      <c r="G31" s="107">
        <f>F31/E31</f>
        <v>7.0826724572039881E-3</v>
      </c>
      <c r="H31" s="105"/>
      <c r="I31" s="105"/>
      <c r="J31" s="105"/>
      <c r="K31" s="105"/>
      <c r="L31" s="15"/>
    </row>
    <row r="32" spans="3:13">
      <c r="C32" s="160">
        <v>3</v>
      </c>
      <c r="D32" s="105" t="s">
        <v>179</v>
      </c>
      <c r="E32" s="162">
        <v>9977020.0899999999</v>
      </c>
      <c r="F32" s="162">
        <v>71641.740000000005</v>
      </c>
      <c r="G32" s="107">
        <f>F32/E32</f>
        <v>7.1806751268153465E-3</v>
      </c>
      <c r="H32" s="105"/>
      <c r="I32" s="105"/>
      <c r="J32" s="105"/>
      <c r="K32" s="105"/>
      <c r="L32" s="15"/>
    </row>
    <row r="33" spans="3:12">
      <c r="C33" s="146">
        <v>4</v>
      </c>
      <c r="D33" s="31" t="s">
        <v>183</v>
      </c>
      <c r="E33" s="163">
        <v>10100612.699999999</v>
      </c>
      <c r="F33" s="163">
        <v>74628.09</v>
      </c>
      <c r="G33" s="164">
        <f>F33/E33</f>
        <v>7.3884715924213192E-3</v>
      </c>
      <c r="H33" s="31"/>
      <c r="I33" s="31"/>
      <c r="J33" s="31"/>
      <c r="K33" s="31"/>
      <c r="L33" s="148"/>
    </row>
    <row r="36" spans="3:12">
      <c r="D36" s="153" t="s">
        <v>195</v>
      </c>
    </row>
    <row r="37" spans="3:12">
      <c r="C37">
        <v>400</v>
      </c>
      <c r="D37" s="155">
        <v>0.53054788295963407</v>
      </c>
    </row>
    <row r="38" spans="3:12">
      <c r="C38">
        <v>401</v>
      </c>
      <c r="D38" s="155">
        <v>0.48914763705732306</v>
      </c>
    </row>
    <row r="39" spans="3:12">
      <c r="C39">
        <v>402</v>
      </c>
      <c r="D39" s="155">
        <v>0.5062396913677023</v>
      </c>
    </row>
    <row r="40" spans="3:12">
      <c r="C40">
        <v>403</v>
      </c>
      <c r="D40" s="155">
        <v>0.50408774295927972</v>
      </c>
    </row>
    <row r="41" spans="3:12">
      <c r="C41">
        <v>404</v>
      </c>
      <c r="D41" s="155">
        <v>0.59960495680794612</v>
      </c>
    </row>
    <row r="42" spans="3:12">
      <c r="C42">
        <v>405</v>
      </c>
      <c r="D42" s="155">
        <v>0.45947211688083889</v>
      </c>
    </row>
    <row r="43" spans="3:12">
      <c r="D43" s="141"/>
    </row>
    <row r="44" spans="3:12">
      <c r="D44" s="141"/>
    </row>
  </sheetData>
  <customSheetViews>
    <customSheetView guid="{AA4262F8-9AB3-4147-94E2-8DEF81F7E83C}">
      <selection activeCell="H14" sqref="H14"/>
      <pageMargins left="0.7" right="0.7" top="0.75" bottom="0.75" header="0.3" footer="0.3"/>
      <pageSetup orientation="portrait" r:id="rId1"/>
    </customSheetView>
    <customSheetView guid="{A8167CC1-C909-4D11-B8D5-4313083C8125}" hiddenColumns="1" state="hidden">
      <selection activeCell="D5" sqref="D5"/>
      <pageMargins left="0.7" right="0.7" top="0.75" bottom="0.75" header="0.3" footer="0.3"/>
      <pageSetup orientation="portrait" r:id="rId2"/>
    </customSheetView>
    <customSheetView guid="{C4C974E7-2FCF-4C3A-A063-03001047949F}">
      <selection activeCell="B6" sqref="B6"/>
      <pageMargins left="0.7" right="0.7" top="0.75" bottom="0.75" header="0.3" footer="0.3"/>
      <pageSetup orientation="portrait" r:id="rId3"/>
    </customSheetView>
    <customSheetView guid="{B2BB7590-1CD2-4457-858D-F8835B99F338}">
      <selection activeCell="B6" sqref="B6"/>
      <pageMargins left="0.7" right="0.7" top="0.75" bottom="0.75" header="0.3" footer="0.3"/>
      <pageSetup orientation="portrait" r:id="rId4"/>
    </customSheetView>
    <customSheetView guid="{209662B1-09B2-4060-A837-250CED7848ED}">
      <selection activeCell="H14" sqref="H14"/>
      <pageMargins left="0.7" right="0.7" top="0.75" bottom="0.75" header="0.3" footer="0.3"/>
      <pageSetup orientation="portrait" r:id="rId5"/>
    </customSheetView>
    <customSheetView guid="{02AA01BD-C75B-4B6E-A8E6-EEB6E90D29E4}">
      <selection activeCell="A5" sqref="A5:XFD5"/>
      <pageMargins left="0.7" right="0.7" top="0.75" bottom="0.75" header="0.3" footer="0.3"/>
      <pageSetup orientation="portrait" r:id="rId6"/>
    </customSheetView>
    <customSheetView guid="{879F34B1-DA85-44D2-99EE-74A633FB2C72}" topLeftCell="B1">
      <selection activeCell="M14" sqref="M14"/>
      <pageMargins left="0.7" right="0.7" top="0.75" bottom="0.75" header="0.3" footer="0.3"/>
      <pageSetup orientation="portrait" r:id="rId7"/>
    </customSheetView>
    <customSheetView guid="{F3E5B7E7-D3C6-4CDC-BAA7-D62F15A870E4}" topLeftCell="B1">
      <selection activeCell="M14" sqref="M14"/>
      <pageMargins left="0.7" right="0.7" top="0.75" bottom="0.75" header="0.3" footer="0.3"/>
      <pageSetup orientation="portrait" r:id="rId8"/>
    </customSheetView>
    <customSheetView guid="{D65E0E17-9A53-4B36-ADDE-FDFBD878E6A1}" topLeftCell="B1">
      <selection activeCell="M14" sqref="M14"/>
      <pageMargins left="0.7" right="0.7" top="0.75" bottom="0.75" header="0.3" footer="0.3"/>
      <pageSetup orientation="portrait" r:id="rId9"/>
    </customSheetView>
    <customSheetView guid="{BFB0E08A-7D07-48F2-93C4-BE631A8642F6}" topLeftCell="B1">
      <selection activeCell="M14" sqref="M14"/>
      <pageMargins left="0.7" right="0.7" top="0.75" bottom="0.75" header="0.3" footer="0.3"/>
      <pageSetup orientation="portrait" r:id="rId10"/>
    </customSheetView>
    <customSheetView guid="{E19D3675-E478-4A54-8E7A-94A199F67811}" topLeftCell="B13">
      <selection activeCell="M14" sqref="M14"/>
      <pageMargins left="0.7" right="0.7" top="0.75" bottom="0.75" header="0.3" footer="0.3"/>
      <pageSetup orientation="portrait" r:id="rId11"/>
    </customSheetView>
  </customSheetViews>
  <pageMargins left="0.7" right="0.7" top="0.75" bottom="0.75" header="0.3" footer="0.3"/>
  <pageSetup orientation="portrait" r:id="rId12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7"/>
  <dimension ref="A1:P67"/>
  <sheetViews>
    <sheetView topLeftCell="B31" workbookViewId="0">
      <selection activeCell="I50" sqref="I50"/>
    </sheetView>
  </sheetViews>
  <sheetFormatPr defaultRowHeight="15"/>
  <cols>
    <col min="1" max="1" width="9.140625" customWidth="1"/>
    <col min="2" max="2" width="14.28515625" customWidth="1"/>
    <col min="3" max="3" width="20.7109375" customWidth="1"/>
    <col min="4" max="4" width="13.28515625" customWidth="1"/>
    <col min="5" max="5" width="13.140625" customWidth="1"/>
    <col min="6" max="6" width="9.140625" customWidth="1"/>
    <col min="7" max="8" width="13.28515625" customWidth="1"/>
    <col min="9" max="9" width="11.5703125" customWidth="1"/>
    <col min="10" max="12" width="9.140625" customWidth="1"/>
    <col min="13" max="13" width="12" customWidth="1"/>
    <col min="14" max="14" width="13.28515625" customWidth="1"/>
    <col min="15" max="15" width="14.28515625" customWidth="1"/>
    <col min="16" max="16" width="22.85546875" customWidth="1"/>
  </cols>
  <sheetData>
    <row r="1" spans="2:14">
      <c r="B1" s="25">
        <v>1600000</v>
      </c>
      <c r="E1" s="25">
        <v>1600000</v>
      </c>
      <c r="H1" s="25">
        <v>1600000</v>
      </c>
      <c r="I1" s="1"/>
    </row>
    <row r="2" spans="2:14">
      <c r="D2" s="93"/>
      <c r="E2" s="1"/>
      <c r="H2" s="1"/>
      <c r="I2" s="1"/>
    </row>
    <row r="3" spans="2:14">
      <c r="B3" s="25">
        <f>B1*C3%</f>
        <v>800000</v>
      </c>
      <c r="C3">
        <v>50</v>
      </c>
      <c r="D3" s="93">
        <v>52</v>
      </c>
      <c r="E3" s="25">
        <f>E1*F3%</f>
        <v>832000</v>
      </c>
      <c r="F3" s="1">
        <v>52</v>
      </c>
      <c r="H3" s="25">
        <f>H1*I3%</f>
        <v>864000</v>
      </c>
      <c r="I3" s="1">
        <v>54</v>
      </c>
    </row>
    <row r="4" spans="2:14">
      <c r="D4" s="93"/>
      <c r="E4" s="1"/>
      <c r="F4" s="1"/>
      <c r="H4" s="1"/>
      <c r="I4" s="1"/>
    </row>
    <row r="5" spans="2:14">
      <c r="B5" s="63">
        <f>B1*C5%</f>
        <v>288000</v>
      </c>
      <c r="C5">
        <v>18</v>
      </c>
      <c r="D5" s="93">
        <v>16</v>
      </c>
      <c r="E5" s="63">
        <f>E1*F5%</f>
        <v>288000</v>
      </c>
      <c r="F5" s="1">
        <v>18</v>
      </c>
      <c r="H5" s="63">
        <f>H1*I5%</f>
        <v>288000</v>
      </c>
      <c r="I5" s="1">
        <v>18</v>
      </c>
      <c r="L5">
        <v>10</v>
      </c>
      <c r="M5">
        <v>3</v>
      </c>
      <c r="N5">
        <v>3</v>
      </c>
    </row>
    <row r="6" spans="2:14">
      <c r="D6" s="93"/>
      <c r="E6" s="1"/>
      <c r="F6" s="1"/>
      <c r="H6" s="1"/>
      <c r="I6" s="1"/>
    </row>
    <row r="7" spans="2:14">
      <c r="B7" s="63">
        <f>B1*C7%</f>
        <v>160000</v>
      </c>
      <c r="C7">
        <v>10</v>
      </c>
      <c r="D7" s="93">
        <v>9</v>
      </c>
      <c r="E7" s="63">
        <f>E1*F7%</f>
        <v>160000</v>
      </c>
      <c r="F7" s="1">
        <v>10</v>
      </c>
      <c r="H7" s="63">
        <f>H1*I7%</f>
        <v>160000</v>
      </c>
      <c r="I7" s="1">
        <v>10</v>
      </c>
    </row>
    <row r="8" spans="2:14">
      <c r="D8" s="93"/>
      <c r="E8" s="1"/>
      <c r="F8" s="1"/>
      <c r="H8" s="1"/>
      <c r="I8" s="1"/>
    </row>
    <row r="9" spans="2:14">
      <c r="B9" s="63">
        <f>B1*C9%</f>
        <v>48000</v>
      </c>
      <c r="C9">
        <v>3</v>
      </c>
      <c r="D9" s="93">
        <v>3</v>
      </c>
      <c r="E9" s="63">
        <f>E1*F9%</f>
        <v>48000</v>
      </c>
      <c r="F9" s="1">
        <v>3</v>
      </c>
      <c r="H9" s="63">
        <f>H1*I9%</f>
        <v>48000</v>
      </c>
      <c r="I9" s="1">
        <v>3</v>
      </c>
    </row>
    <row r="10" spans="2:14">
      <c r="D10" s="93"/>
      <c r="E10" s="1"/>
      <c r="F10" s="1"/>
      <c r="H10" s="1"/>
      <c r="I10" s="1"/>
    </row>
    <row r="11" spans="2:14">
      <c r="B11" s="63">
        <f>B1*C11%</f>
        <v>16000</v>
      </c>
      <c r="C11">
        <v>1</v>
      </c>
      <c r="D11" s="93">
        <v>1</v>
      </c>
      <c r="E11" s="63">
        <f>E1*F11%</f>
        <v>16000</v>
      </c>
      <c r="F11" s="1">
        <v>1</v>
      </c>
      <c r="H11" s="63">
        <f>H1*I11%</f>
        <v>16000</v>
      </c>
      <c r="I11" s="1">
        <v>1</v>
      </c>
    </row>
    <row r="12" spans="2:14">
      <c r="D12" s="93"/>
      <c r="E12" s="1"/>
      <c r="F12" s="1"/>
      <c r="H12" s="1"/>
      <c r="I12" s="1"/>
    </row>
    <row r="13" spans="2:14">
      <c r="B13" s="63">
        <f>B1*C13%</f>
        <v>160000</v>
      </c>
      <c r="C13">
        <v>10</v>
      </c>
      <c r="D13" s="93">
        <v>8</v>
      </c>
      <c r="E13" s="63">
        <f>E1*F13%</f>
        <v>160000</v>
      </c>
      <c r="F13" s="1">
        <v>10</v>
      </c>
      <c r="H13" s="63">
        <f>H1*I13%</f>
        <v>160000</v>
      </c>
      <c r="I13" s="1">
        <v>10</v>
      </c>
    </row>
    <row r="14" spans="2:14">
      <c r="D14" s="93"/>
      <c r="E14" s="1"/>
      <c r="H14" s="1"/>
      <c r="I14" s="1"/>
    </row>
    <row r="15" spans="2:14">
      <c r="B15" s="64">
        <f>SUM(B5:B13)</f>
        <v>672000</v>
      </c>
      <c r="D15" s="93"/>
      <c r="E15" s="64">
        <f>SUM(E5:E13)</f>
        <v>672000</v>
      </c>
      <c r="H15" s="64">
        <f>SUM(H5:H13)</f>
        <v>672000</v>
      </c>
      <c r="I15" s="1"/>
    </row>
    <row r="16" spans="2:14">
      <c r="D16" s="93"/>
      <c r="E16" s="1"/>
      <c r="H16" s="1"/>
      <c r="I16" s="1"/>
    </row>
    <row r="17" spans="1:10">
      <c r="B17" s="64">
        <f>B3-B15</f>
        <v>128000</v>
      </c>
      <c r="C17" s="100">
        <f>B17/B1*100</f>
        <v>8</v>
      </c>
      <c r="D17" s="93">
        <f>SUM(D5:D14)</f>
        <v>37</v>
      </c>
      <c r="E17" s="64">
        <f>E3-E15</f>
        <v>160000</v>
      </c>
      <c r="F17" s="100">
        <f>E17/E1*100</f>
        <v>10</v>
      </c>
      <c r="H17" s="64">
        <f>H3-H15</f>
        <v>192000</v>
      </c>
      <c r="I17" s="100">
        <f>H17/H1*100</f>
        <v>12</v>
      </c>
    </row>
    <row r="18" spans="1:10">
      <c r="D18" s="93"/>
    </row>
    <row r="19" spans="1:10">
      <c r="D19" s="93">
        <f>D3-D17</f>
        <v>15</v>
      </c>
    </row>
    <row r="20" spans="1:10">
      <c r="A20" s="100" t="s">
        <v>112</v>
      </c>
      <c r="B20" s="64">
        <f>B17+B13</f>
        <v>288000</v>
      </c>
      <c r="D20">
        <v>5</v>
      </c>
      <c r="E20" s="64">
        <f>E17+E13</f>
        <v>320000</v>
      </c>
      <c r="H20" s="64">
        <f>H17+H13</f>
        <v>352000</v>
      </c>
    </row>
    <row r="21" spans="1:10">
      <c r="D21">
        <v>10</v>
      </c>
    </row>
    <row r="23" spans="1:10">
      <c r="A23" s="100" t="s">
        <v>113</v>
      </c>
      <c r="B23" s="101">
        <v>9000000</v>
      </c>
      <c r="C23" s="102">
        <v>0.09</v>
      </c>
      <c r="D23" s="64">
        <f>B23*C23</f>
        <v>810000</v>
      </c>
      <c r="E23" s="64">
        <f>D23/12</f>
        <v>67500</v>
      </c>
    </row>
    <row r="25" spans="1:10">
      <c r="B25" s="100"/>
    </row>
    <row r="27" spans="1:10">
      <c r="A27" s="1"/>
      <c r="B27" s="1" t="s">
        <v>114</v>
      </c>
      <c r="D27" s="101">
        <v>150000</v>
      </c>
      <c r="F27" s="1" t="s">
        <v>116</v>
      </c>
      <c r="G27" s="103">
        <v>4.2500000000000003E-2</v>
      </c>
      <c r="J27" s="103">
        <v>9.2499999999999999E-2</v>
      </c>
    </row>
    <row r="29" spans="1:10">
      <c r="A29" s="1"/>
      <c r="B29" s="1" t="s">
        <v>115</v>
      </c>
      <c r="D29" s="25">
        <v>75000</v>
      </c>
      <c r="H29" s="25">
        <v>115000</v>
      </c>
    </row>
    <row r="30" spans="1:10">
      <c r="H30" s="25">
        <v>27500</v>
      </c>
    </row>
    <row r="31" spans="1:10">
      <c r="D31" s="64">
        <f>D27+D29</f>
        <v>225000</v>
      </c>
      <c r="H31" s="25">
        <v>83333</v>
      </c>
    </row>
    <row r="33" spans="2:9">
      <c r="H33" s="64">
        <f>H29+H30+H31</f>
        <v>225833</v>
      </c>
      <c r="I33" s="100">
        <f>H33/H1*100</f>
        <v>14.1145625</v>
      </c>
    </row>
    <row r="36" spans="2:9">
      <c r="B36" s="143" t="s">
        <v>138</v>
      </c>
      <c r="C36" s="144"/>
      <c r="D36" s="145"/>
    </row>
    <row r="37" spans="2:9">
      <c r="B37" s="30">
        <v>55630278.02563455</v>
      </c>
      <c r="C37" s="106">
        <f>B37*0.125%</f>
        <v>69537.84753204319</v>
      </c>
      <c r="D37" s="15" t="s">
        <v>136</v>
      </c>
    </row>
    <row r="38" spans="2:9">
      <c r="B38" s="146"/>
      <c r="C38" s="147">
        <f>C37/12</f>
        <v>5794.8206276702658</v>
      </c>
      <c r="D38" s="148" t="s">
        <v>137</v>
      </c>
    </row>
    <row r="39" spans="2:9">
      <c r="C39" s="25">
        <v>6000</v>
      </c>
      <c r="D39" s="1" t="s">
        <v>139</v>
      </c>
    </row>
    <row r="45" spans="2:9">
      <c r="B45" s="1" t="s">
        <v>140</v>
      </c>
      <c r="C45" s="1" t="s">
        <v>142</v>
      </c>
      <c r="H45" s="1" t="s">
        <v>140</v>
      </c>
      <c r="I45" s="1" t="s">
        <v>142</v>
      </c>
    </row>
    <row r="46" spans="2:9">
      <c r="B46" s="1">
        <v>400</v>
      </c>
      <c r="C46">
        <v>12</v>
      </c>
      <c r="H46" s="1">
        <v>400</v>
      </c>
      <c r="I46" s="1">
        <v>12</v>
      </c>
    </row>
    <row r="47" spans="2:9">
      <c r="B47">
        <v>401</v>
      </c>
      <c r="C47">
        <v>12</v>
      </c>
      <c r="H47" s="1">
        <v>401</v>
      </c>
      <c r="I47" s="1">
        <v>12</v>
      </c>
    </row>
    <row r="48" spans="2:9">
      <c r="B48">
        <v>402</v>
      </c>
      <c r="C48">
        <v>12</v>
      </c>
      <c r="H48" s="1">
        <v>402</v>
      </c>
      <c r="I48" s="1">
        <v>12</v>
      </c>
    </row>
    <row r="49" spans="1:16">
      <c r="B49">
        <v>403</v>
      </c>
      <c r="C49">
        <v>12</v>
      </c>
      <c r="H49" s="1">
        <v>403</v>
      </c>
      <c r="I49" s="1">
        <v>12</v>
      </c>
    </row>
    <row r="50" spans="1:16">
      <c r="B50">
        <v>405</v>
      </c>
      <c r="C50">
        <v>12</v>
      </c>
      <c r="H50" s="1">
        <v>405</v>
      </c>
      <c r="I50" s="1">
        <v>12</v>
      </c>
    </row>
    <row r="51" spans="1:16">
      <c r="C51" s="129">
        <f>SUM(C46:C50)</f>
        <v>60</v>
      </c>
      <c r="H51" s="1">
        <v>406</v>
      </c>
      <c r="I51">
        <v>12</v>
      </c>
    </row>
    <row r="52" spans="1:16">
      <c r="I52" s="129">
        <f>SUM(I46:I51)</f>
        <v>72</v>
      </c>
      <c r="K52">
        <v>93</v>
      </c>
      <c r="M52">
        <v>14852508.618134767</v>
      </c>
      <c r="N52" s="25">
        <f>M52/K52</f>
        <v>159704.3937433846</v>
      </c>
    </row>
    <row r="53" spans="1:16">
      <c r="B53" s="1" t="s">
        <v>141</v>
      </c>
      <c r="G53" s="1" t="s">
        <v>141</v>
      </c>
      <c r="H53" s="1"/>
      <c r="I53" s="1"/>
      <c r="J53" s="1"/>
    </row>
    <row r="54" spans="1:16">
      <c r="A54" s="1"/>
      <c r="B54" s="1" t="s">
        <v>143</v>
      </c>
      <c r="C54">
        <v>12</v>
      </c>
      <c r="D54" s="1" t="s">
        <v>145</v>
      </c>
      <c r="G54" s="1" t="s">
        <v>146</v>
      </c>
      <c r="H54" s="1" t="s">
        <v>200</v>
      </c>
      <c r="I54" s="1">
        <v>9</v>
      </c>
      <c r="J54" s="127" t="s">
        <v>201</v>
      </c>
      <c r="M54">
        <v>93</v>
      </c>
      <c r="N54">
        <v>170000</v>
      </c>
      <c r="O54">
        <f>N54*M54</f>
        <v>15810000</v>
      </c>
    </row>
    <row r="55" spans="1:16">
      <c r="B55" s="1" t="s">
        <v>144</v>
      </c>
      <c r="C55">
        <v>9</v>
      </c>
      <c r="D55" s="149">
        <v>41000</v>
      </c>
      <c r="G55" s="1" t="s">
        <v>144</v>
      </c>
      <c r="H55" s="1" t="s">
        <v>198</v>
      </c>
      <c r="I55" s="1">
        <v>8</v>
      </c>
      <c r="J55" s="127" t="s">
        <v>202</v>
      </c>
      <c r="O55" s="25">
        <f>O54/12</f>
        <v>1317500</v>
      </c>
      <c r="P55" s="63">
        <f>O55/6</f>
        <v>219583.33333333334</v>
      </c>
    </row>
    <row r="56" spans="1:16">
      <c r="B56" s="1" t="s">
        <v>146</v>
      </c>
      <c r="C56">
        <v>9</v>
      </c>
      <c r="D56" s="149">
        <v>41000</v>
      </c>
      <c r="G56" s="1" t="s">
        <v>147</v>
      </c>
      <c r="H56" s="1" t="s">
        <v>199</v>
      </c>
      <c r="I56" s="1">
        <v>4</v>
      </c>
      <c r="J56" s="127" t="s">
        <v>203</v>
      </c>
      <c r="L56" s="1"/>
      <c r="M56" s="1"/>
      <c r="N56" s="25"/>
    </row>
    <row r="57" spans="1:16">
      <c r="B57" s="1" t="s">
        <v>147</v>
      </c>
      <c r="C57">
        <v>6</v>
      </c>
      <c r="D57" s="149">
        <v>41091</v>
      </c>
      <c r="G57" s="1"/>
      <c r="H57" s="1"/>
      <c r="I57" s="1"/>
      <c r="J57" s="149"/>
      <c r="M57" s="1"/>
      <c r="N57" s="25"/>
    </row>
    <row r="58" spans="1:16">
      <c r="C58" s="129">
        <f>SUM(C54:C57)</f>
        <v>36</v>
      </c>
      <c r="H58" s="1"/>
      <c r="I58" s="129">
        <f>SUM(I54:I57)</f>
        <v>21</v>
      </c>
      <c r="J58" s="1"/>
      <c r="M58" s="1"/>
      <c r="N58" s="25"/>
    </row>
    <row r="59" spans="1:16">
      <c r="M59" s="1"/>
      <c r="N59" s="25"/>
    </row>
    <row r="60" spans="1:16">
      <c r="B60" s="129" t="s">
        <v>148</v>
      </c>
      <c r="C60" s="129">
        <f>C51+C58</f>
        <v>96</v>
      </c>
    </row>
    <row r="61" spans="1:16">
      <c r="D61" s="1" t="s">
        <v>152</v>
      </c>
      <c r="M61" s="1" t="s">
        <v>156</v>
      </c>
    </row>
    <row r="62" spans="1:16">
      <c r="A62" s="1" t="s">
        <v>149</v>
      </c>
      <c r="C62" s="25">
        <v>8579359.5675569102</v>
      </c>
      <c r="D62" s="63">
        <f>C62/12</f>
        <v>714946.63062974252</v>
      </c>
      <c r="E62" s="63">
        <f>D62/6</f>
        <v>119157.77177162375</v>
      </c>
      <c r="F62" s="1" t="s">
        <v>153</v>
      </c>
      <c r="I62" s="63"/>
      <c r="J62" s="1"/>
      <c r="L62" s="150">
        <v>100000</v>
      </c>
      <c r="M62">
        <v>6</v>
      </c>
      <c r="N62" s="25">
        <f>L62*M62</f>
        <v>600000</v>
      </c>
      <c r="O62" s="152">
        <f>N62*3</f>
        <v>1800000</v>
      </c>
      <c r="P62" s="145" t="s">
        <v>157</v>
      </c>
    </row>
    <row r="63" spans="1:16">
      <c r="A63" s="1" t="s">
        <v>150</v>
      </c>
      <c r="C63">
        <v>96</v>
      </c>
      <c r="D63" s="63">
        <f>D62</f>
        <v>714946.63062974252</v>
      </c>
      <c r="E63" s="63">
        <f>D63/8</f>
        <v>89368.328828717815</v>
      </c>
      <c r="F63" s="1" t="s">
        <v>154</v>
      </c>
      <c r="H63" s="1"/>
      <c r="I63" s="63"/>
      <c r="J63" s="1"/>
      <c r="L63" s="150">
        <f>L62</f>
        <v>100000</v>
      </c>
      <c r="M63">
        <v>8</v>
      </c>
      <c r="N63" s="25">
        <f>L63*M63</f>
        <v>800000</v>
      </c>
      <c r="O63" s="30">
        <f>N63*3</f>
        <v>2400000</v>
      </c>
      <c r="P63" s="15" t="s">
        <v>157</v>
      </c>
    </row>
    <row r="64" spans="1:16">
      <c r="A64" s="1" t="s">
        <v>151</v>
      </c>
      <c r="B64" s="1"/>
      <c r="C64" s="63">
        <f>C62/C63</f>
        <v>89368.328828717815</v>
      </c>
      <c r="D64" s="63">
        <f>D63</f>
        <v>714946.63062974252</v>
      </c>
      <c r="E64" s="63">
        <f>D64/9</f>
        <v>79438.51451441583</v>
      </c>
      <c r="F64" s="1" t="s">
        <v>155</v>
      </c>
      <c r="H64" s="1"/>
      <c r="I64" s="63"/>
      <c r="J64" s="1"/>
      <c r="L64" s="150">
        <f>L62</f>
        <v>100000</v>
      </c>
      <c r="M64">
        <v>9</v>
      </c>
      <c r="N64" s="25">
        <f>L64*M64</f>
        <v>900000</v>
      </c>
      <c r="O64" s="30">
        <f>N64*6</f>
        <v>5400000</v>
      </c>
      <c r="P64" s="15" t="s">
        <v>158</v>
      </c>
    </row>
    <row r="65" spans="3:16">
      <c r="N65" s="25"/>
      <c r="O65" s="151">
        <f>SUM(O62:O64)</f>
        <v>9600000</v>
      </c>
      <c r="P65" s="148"/>
    </row>
    <row r="66" spans="3:16">
      <c r="C66" s="150">
        <v>100000</v>
      </c>
      <c r="D66">
        <v>6</v>
      </c>
      <c r="E66">
        <f>C66*D66</f>
        <v>600000</v>
      </c>
      <c r="G66" s="25">
        <v>8600000</v>
      </c>
      <c r="H66" s="63"/>
    </row>
    <row r="67" spans="3:16">
      <c r="C67" s="63">
        <f>C66-C64</f>
        <v>10631.671171282185</v>
      </c>
      <c r="G67" s="63">
        <f>G66/12</f>
        <v>716666.66666666663</v>
      </c>
    </row>
  </sheetData>
  <customSheetViews>
    <customSheetView guid="{AA4262F8-9AB3-4147-94E2-8DEF81F7E83C}">
      <selection activeCell="E26" sqref="E26"/>
      <pageMargins left="0.7" right="0.7" top="0.75" bottom="0.75" header="0.3" footer="0.3"/>
      <pageSetup orientation="portrait" r:id="rId1"/>
    </customSheetView>
    <customSheetView guid="{A8167CC1-C909-4D11-B8D5-4313083C8125}" state="hidden">
      <selection activeCell="B43" sqref="B43:Q69"/>
      <pageMargins left="0.7" right="0.7" top="0.75" bottom="0.75" header="0.3" footer="0.3"/>
      <pageSetup orientation="portrait" r:id="rId2"/>
    </customSheetView>
    <customSheetView guid="{C4C974E7-2FCF-4C3A-A063-03001047949F}">
      <selection activeCell="E26" sqref="E26"/>
      <pageMargins left="0.7" right="0.7" top="0.75" bottom="0.75" header="0.3" footer="0.3"/>
      <pageSetup orientation="portrait" r:id="rId3"/>
    </customSheetView>
    <customSheetView guid="{B2BB7590-1CD2-4457-858D-F8835B99F338}">
      <selection activeCell="E26" sqref="E26"/>
      <pageMargins left="0.7" right="0.7" top="0.75" bottom="0.75" header="0.3" footer="0.3"/>
      <pageSetup orientation="portrait" r:id="rId4"/>
    </customSheetView>
    <customSheetView guid="{209662B1-09B2-4060-A837-250CED7848ED}">
      <selection activeCell="E26" sqref="E26"/>
      <pageMargins left="0.7" right="0.7" top="0.75" bottom="0.75" header="0.3" footer="0.3"/>
      <pageSetup orientation="portrait" r:id="rId5"/>
    </customSheetView>
    <customSheetView guid="{02AA01BD-C75B-4B6E-A8E6-EEB6E90D29E4}">
      <selection activeCell="E26" sqref="E26"/>
      <pageMargins left="0.7" right="0.7" top="0.75" bottom="0.75" header="0.3" footer="0.3"/>
      <pageSetup orientation="portrait" r:id="rId6"/>
    </customSheetView>
    <customSheetView guid="{879F34B1-DA85-44D2-99EE-74A633FB2C72}" topLeftCell="B31">
      <selection activeCell="B43" sqref="B43:Q69"/>
      <pageMargins left="0.7" right="0.7" top="0.75" bottom="0.75" header="0.3" footer="0.3"/>
      <pageSetup orientation="portrait" r:id="rId7"/>
    </customSheetView>
    <customSheetView guid="{F3E5B7E7-D3C6-4CDC-BAA7-D62F15A870E4}" topLeftCell="B31">
      <selection activeCell="B43" sqref="B43:Q69"/>
      <pageMargins left="0.7" right="0.7" top="0.75" bottom="0.75" header="0.3" footer="0.3"/>
      <pageSetup orientation="portrait" r:id="rId8"/>
    </customSheetView>
    <customSheetView guid="{D65E0E17-9A53-4B36-ADDE-FDFBD878E6A1}" topLeftCell="B31">
      <selection activeCell="B43" sqref="B43:Q69"/>
      <pageMargins left="0.7" right="0.7" top="0.75" bottom="0.75" header="0.3" footer="0.3"/>
      <pageSetup orientation="portrait" r:id="rId9"/>
    </customSheetView>
    <customSheetView guid="{BFB0E08A-7D07-48F2-93C4-BE631A8642F6}" topLeftCell="B31">
      <selection activeCell="B43" sqref="B43:Q69"/>
      <pageMargins left="0.7" right="0.7" top="0.75" bottom="0.75" header="0.3" footer="0.3"/>
      <pageSetup orientation="portrait" r:id="rId10"/>
    </customSheetView>
    <customSheetView guid="{E19D3675-E478-4A54-8E7A-94A199F67811}" topLeftCell="B31">
      <selection activeCell="I50" sqref="I50"/>
      <pageMargins left="0.7" right="0.7" top="0.75" bottom="0.75" header="0.3" footer="0.3"/>
      <pageSetup orientation="portrait" r:id="rId11"/>
    </customSheetView>
  </customSheetViews>
  <pageMargins left="0.7" right="0.7" top="0.75" bottom="0.75" header="0.3" footer="0.3"/>
  <pageSetup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138"/>
  <sheetViews>
    <sheetView workbookViewId="0">
      <selection activeCell="AA5" sqref="AA5"/>
    </sheetView>
  </sheetViews>
  <sheetFormatPr defaultColWidth="9.140625" defaultRowHeight="15"/>
  <cols>
    <col min="1" max="1" width="6.42578125" style="104" bestFit="1" customWidth="1"/>
    <col min="2" max="2" width="37.140625" style="104" bestFit="1" customWidth="1"/>
    <col min="3" max="3" width="14.140625" style="24" hidden="1" customWidth="1"/>
    <col min="4" max="4" width="7.5703125" style="108" hidden="1" customWidth="1"/>
    <col min="5" max="5" width="13.85546875" style="128" hidden="1" customWidth="1"/>
    <col min="6" max="6" width="7.85546875" style="108" hidden="1" customWidth="1"/>
    <col min="7" max="7" width="14.42578125" style="128" hidden="1" customWidth="1"/>
    <col min="8" max="8" width="7.85546875" style="108" hidden="1" customWidth="1"/>
    <col min="9" max="9" width="15.42578125" style="24" hidden="1" customWidth="1"/>
    <col min="10" max="10" width="13.5703125" style="108" hidden="1" customWidth="1"/>
    <col min="11" max="11" width="13.7109375" style="128" hidden="1" customWidth="1"/>
    <col min="12" max="12" width="7.5703125" style="108" hidden="1" customWidth="1"/>
    <col min="13" max="13" width="14.28515625" style="24" hidden="1" customWidth="1"/>
    <col min="14" max="14" width="7.5703125" style="108" hidden="1" customWidth="1"/>
    <col min="15" max="15" width="13.5703125" style="24" hidden="1" customWidth="1"/>
    <col min="16" max="16" width="7.5703125" style="108" hidden="1" customWidth="1"/>
    <col min="17" max="17" width="14" style="24" hidden="1" customWidth="1"/>
    <col min="18" max="18" width="7.5703125" style="108" hidden="1" customWidth="1"/>
    <col min="19" max="19" width="13.5703125" style="24" hidden="1" customWidth="1"/>
    <col min="20" max="20" width="7.5703125" style="108" hidden="1" customWidth="1"/>
    <col min="21" max="21" width="13.5703125" style="128" hidden="1" customWidth="1"/>
    <col min="22" max="22" width="7.5703125" style="108" hidden="1" customWidth="1"/>
    <col min="23" max="23" width="12.140625" style="104" hidden="1" customWidth="1"/>
    <col min="24" max="24" width="7.5703125" style="108" hidden="1" customWidth="1"/>
    <col min="25" max="25" width="13.5703125" style="128" hidden="1" customWidth="1"/>
    <col min="26" max="26" width="7.5703125" style="108" hidden="1" customWidth="1"/>
    <col min="27" max="27" width="13.28515625" style="104" bestFit="1" customWidth="1"/>
    <col min="28" max="28" width="9.7109375" style="166" customWidth="1"/>
    <col min="29" max="29" width="12.85546875" style="104" customWidth="1"/>
    <col min="30" max="30" width="7.5703125" style="166" customWidth="1"/>
    <col min="31" max="31" width="22.5703125" style="104" hidden="1" customWidth="1"/>
    <col min="32" max="32" width="14" style="128" hidden="1" customWidth="1"/>
    <col min="33" max="33" width="57.42578125" style="104" hidden="1" customWidth="1"/>
    <col min="34" max="34" width="14.42578125" style="104" customWidth="1"/>
    <col min="35" max="35" width="9.140625" style="104"/>
    <col min="36" max="36" width="13.28515625" style="294" bestFit="1" customWidth="1"/>
    <col min="37" max="37" width="9.140625" style="104"/>
    <col min="38" max="38" width="14.28515625" style="104" bestFit="1" customWidth="1"/>
    <col min="39" max="40" width="14.28515625" style="104" hidden="1" customWidth="1"/>
    <col min="41" max="41" width="11.5703125" style="5" bestFit="1" customWidth="1"/>
    <col min="42" max="16384" width="9.140625" style="1"/>
  </cols>
  <sheetData>
    <row r="1" spans="1:41">
      <c r="A1" s="542" t="s">
        <v>211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3"/>
      <c r="AE1" s="1"/>
      <c r="AF1" s="63"/>
      <c r="AG1" s="1"/>
      <c r="AH1" s="75"/>
      <c r="AI1" s="75"/>
      <c r="AJ1" s="100"/>
      <c r="AK1" s="1"/>
      <c r="AL1" s="5"/>
      <c r="AM1" s="5"/>
      <c r="AN1" s="5"/>
    </row>
    <row r="2" spans="1:41">
      <c r="A2" s="26"/>
      <c r="B2" s="26"/>
      <c r="C2" s="134" t="s">
        <v>65</v>
      </c>
      <c r="D2" s="74"/>
      <c r="E2" s="544" t="s">
        <v>66</v>
      </c>
      <c r="F2" s="545"/>
      <c r="G2" s="203" t="s">
        <v>81</v>
      </c>
      <c r="H2" s="74"/>
      <c r="I2" s="544" t="s">
        <v>82</v>
      </c>
      <c r="J2" s="545"/>
      <c r="K2" s="544" t="s">
        <v>83</v>
      </c>
      <c r="L2" s="546"/>
      <c r="M2" s="544" t="s">
        <v>84</v>
      </c>
      <c r="N2" s="545"/>
      <c r="O2" s="544" t="s">
        <v>85</v>
      </c>
      <c r="P2" s="546"/>
      <c r="Q2" s="544" t="s">
        <v>86</v>
      </c>
      <c r="R2" s="545"/>
      <c r="S2" s="539" t="s">
        <v>87</v>
      </c>
      <c r="T2" s="539"/>
      <c r="U2" s="544" t="s">
        <v>108</v>
      </c>
      <c r="V2" s="546"/>
      <c r="W2" s="544" t="s">
        <v>109</v>
      </c>
      <c r="X2" s="545"/>
      <c r="Y2" s="539" t="s">
        <v>110</v>
      </c>
      <c r="Z2" s="539"/>
      <c r="AA2" s="540" t="s">
        <v>217</v>
      </c>
      <c r="AB2" s="540"/>
      <c r="AC2" s="541" t="s">
        <v>218</v>
      </c>
      <c r="AD2" s="541"/>
      <c r="AE2" s="89"/>
      <c r="AF2" s="154"/>
      <c r="AG2" s="89"/>
      <c r="AH2" s="541" t="s">
        <v>219</v>
      </c>
      <c r="AI2" s="541"/>
      <c r="AJ2" s="100" t="s">
        <v>206</v>
      </c>
      <c r="AK2" s="1"/>
      <c r="AL2" s="5"/>
      <c r="AM2" s="5"/>
      <c r="AN2" s="5"/>
    </row>
    <row r="3" spans="1:41" ht="15.75" thickBot="1">
      <c r="A3" s="47"/>
      <c r="B3" s="11" t="s">
        <v>70</v>
      </c>
      <c r="C3" s="135" t="s">
        <v>103</v>
      </c>
      <c r="D3" s="69" t="s">
        <v>80</v>
      </c>
      <c r="E3" s="52" t="s">
        <v>205</v>
      </c>
      <c r="F3" s="69" t="s">
        <v>80</v>
      </c>
      <c r="G3" s="77" t="s">
        <v>205</v>
      </c>
      <c r="H3" s="69" t="s">
        <v>80</v>
      </c>
      <c r="I3" s="51" t="s">
        <v>205</v>
      </c>
      <c r="J3" s="69" t="s">
        <v>80</v>
      </c>
      <c r="K3" s="52" t="s">
        <v>205</v>
      </c>
      <c r="L3" s="69" t="s">
        <v>80</v>
      </c>
      <c r="M3" s="51" t="s">
        <v>205</v>
      </c>
      <c r="N3" s="69" t="s">
        <v>80</v>
      </c>
      <c r="O3" s="51" t="s">
        <v>205</v>
      </c>
      <c r="P3" s="69" t="s">
        <v>80</v>
      </c>
      <c r="Q3" s="51" t="s">
        <v>205</v>
      </c>
      <c r="R3" s="69" t="s">
        <v>80</v>
      </c>
      <c r="S3" s="51" t="s">
        <v>205</v>
      </c>
      <c r="T3" s="69" t="s">
        <v>80</v>
      </c>
      <c r="U3" s="52" t="s">
        <v>205</v>
      </c>
      <c r="V3" s="69" t="s">
        <v>80</v>
      </c>
      <c r="W3" s="48" t="s">
        <v>205</v>
      </c>
      <c r="X3" s="69" t="s">
        <v>80</v>
      </c>
      <c r="Y3" s="52" t="s">
        <v>205</v>
      </c>
      <c r="Z3" s="69" t="s">
        <v>80</v>
      </c>
      <c r="AA3" s="231" t="s">
        <v>205</v>
      </c>
      <c r="AB3" s="232" t="s">
        <v>80</v>
      </c>
      <c r="AC3" s="233" t="s">
        <v>205</v>
      </c>
      <c r="AD3" s="234" t="s">
        <v>80</v>
      </c>
      <c r="AE3" s="157" t="s">
        <v>165</v>
      </c>
      <c r="AF3" s="235" t="s">
        <v>160</v>
      </c>
      <c r="AG3" s="157" t="s">
        <v>159</v>
      </c>
      <c r="AH3" s="233" t="s">
        <v>205</v>
      </c>
      <c r="AI3" s="234" t="s">
        <v>80</v>
      </c>
      <c r="AJ3" s="100"/>
      <c r="AK3" s="1"/>
      <c r="AL3" s="5"/>
      <c r="AM3" s="5"/>
      <c r="AN3" s="5"/>
    </row>
    <row r="4" spans="1:41">
      <c r="A4" s="1"/>
      <c r="B4" s="1"/>
      <c r="C4" s="136"/>
      <c r="D4" s="70"/>
      <c r="E4" s="53"/>
      <c r="F4" s="70"/>
      <c r="G4" s="78"/>
      <c r="H4" s="70"/>
      <c r="I4" s="18"/>
      <c r="J4" s="70"/>
      <c r="K4" s="53"/>
      <c r="L4" s="70"/>
      <c r="M4" s="18"/>
      <c r="N4" s="70"/>
      <c r="O4" s="18"/>
      <c r="P4" s="70"/>
      <c r="Q4" s="18"/>
      <c r="R4" s="70"/>
      <c r="S4" s="18"/>
      <c r="T4" s="70"/>
      <c r="U4" s="53"/>
      <c r="V4" s="70"/>
      <c r="W4" s="5"/>
      <c r="X4" s="70"/>
      <c r="Y4" s="53"/>
      <c r="AA4" s="280"/>
      <c r="AB4" s="281"/>
      <c r="AC4" s="282"/>
      <c r="AD4" s="281"/>
      <c r="AE4" s="282"/>
      <c r="AF4" s="283"/>
      <c r="AG4" s="282"/>
      <c r="AH4" s="282"/>
      <c r="AI4" s="284"/>
      <c r="AJ4" s="100"/>
      <c r="AK4" s="1"/>
      <c r="AL4" s="5"/>
      <c r="AM4" s="5"/>
      <c r="AN4" s="5"/>
    </row>
    <row r="5" spans="1:41" s="5" customFormat="1">
      <c r="A5" s="90">
        <v>5004</v>
      </c>
      <c r="B5" s="91" t="s">
        <v>72</v>
      </c>
      <c r="C5" s="97">
        <v>253511</v>
      </c>
      <c r="D5" s="96"/>
      <c r="E5" s="95">
        <f>1554415.41/9.38*101%</f>
        <v>167373.08785714285</v>
      </c>
      <c r="F5" s="96"/>
      <c r="G5" s="97">
        <f>1833111.54/9.38*101%</f>
        <v>197381.94620469084</v>
      </c>
      <c r="H5" s="96"/>
      <c r="I5" s="95">
        <f>2013560.2/9.38*101%</f>
        <v>216811.91918976544</v>
      </c>
      <c r="J5" s="95"/>
      <c r="K5" s="97">
        <f>1789595.27/9.38*101%</f>
        <v>192696.29239872069</v>
      </c>
      <c r="L5" s="96"/>
      <c r="M5" s="95">
        <f>1900951.79/9.38*101%</f>
        <v>204686.70659914709</v>
      </c>
      <c r="N5" s="96"/>
      <c r="O5" s="95">
        <f>1980282.19/9.38*101%</f>
        <v>213228.67930703625</v>
      </c>
      <c r="P5" s="96"/>
      <c r="Q5" s="95">
        <f>1688392.57/9.38*101%</f>
        <v>181799.19996801706</v>
      </c>
      <c r="R5" s="96"/>
      <c r="S5" s="95">
        <f>1525079.01/9.38*101%</f>
        <v>164214.26440298505</v>
      </c>
      <c r="T5" s="96"/>
      <c r="U5" s="97">
        <f>2175737.77/9.38*101%</f>
        <v>234274.5360021322</v>
      </c>
      <c r="V5" s="96"/>
      <c r="W5" s="92">
        <f>1455368.8/9.38*101%</f>
        <v>156708.15437100211</v>
      </c>
      <c r="X5" s="96"/>
      <c r="Y5" s="97">
        <f>(2025851+200516)/9.38*101%</f>
        <v>239726.08422174837</v>
      </c>
      <c r="Z5" s="219"/>
      <c r="AA5" s="285">
        <f>C5+E5+G5+I5+K5+M5+O5+Q5+S5+U5+W5+Y5</f>
        <v>2422411.8705223878</v>
      </c>
      <c r="AB5" s="236"/>
      <c r="AC5" s="237">
        <f>2265*365</f>
        <v>826725</v>
      </c>
      <c r="AD5" s="236"/>
      <c r="AE5" s="170"/>
      <c r="AF5" s="238"/>
      <c r="AG5" s="238"/>
      <c r="AH5" s="237">
        <f>2265*365</f>
        <v>826725</v>
      </c>
      <c r="AI5" s="253"/>
      <c r="AJ5" s="295">
        <f>SUM(AA5+AC5+AH5)</f>
        <v>4075861.8705223878</v>
      </c>
      <c r="AL5" s="53"/>
      <c r="AM5" s="53">
        <f>G5*9.4+J5*9.4+K5*9.4+M5*9.4+O5*9.4+Q5*9.4+S5*9.4+U5*9.4+W5*9.4+Y5*9.4</f>
        <v>16776329.11666951</v>
      </c>
      <c r="AN5" s="53" t="e">
        <f>#REF!-AM5</f>
        <v>#REF!</v>
      </c>
      <c r="AO5" s="53"/>
    </row>
    <row r="6" spans="1:41">
      <c r="A6" s="1">
        <v>5005</v>
      </c>
      <c r="B6" s="15" t="s">
        <v>68</v>
      </c>
      <c r="C6" s="136"/>
      <c r="D6" s="49">
        <f>C6/C$5</f>
        <v>0</v>
      </c>
      <c r="E6" s="43"/>
      <c r="F6" s="49">
        <f>E6/E$5</f>
        <v>0</v>
      </c>
      <c r="G6" s="80"/>
      <c r="H6" s="49">
        <f>G6/G$5</f>
        <v>0</v>
      </c>
      <c r="I6" s="18">
        <v>0</v>
      </c>
      <c r="J6" s="49" t="e">
        <f t="shared" ref="J6:J11" si="0">I6/J$5</f>
        <v>#DIV/0!</v>
      </c>
      <c r="K6" s="43">
        <v>0</v>
      </c>
      <c r="L6" s="49">
        <f>K6/K$5</f>
        <v>0</v>
      </c>
      <c r="M6" s="18">
        <v>0</v>
      </c>
      <c r="N6" s="49">
        <f>M6/M$5</f>
        <v>0</v>
      </c>
      <c r="O6" s="23"/>
      <c r="P6" s="49">
        <f>O6/O$5</f>
        <v>0</v>
      </c>
      <c r="Q6" s="23">
        <v>0</v>
      </c>
      <c r="R6" s="49">
        <f>Q6/Q$5</f>
        <v>0</v>
      </c>
      <c r="S6" s="18">
        <v>0</v>
      </c>
      <c r="T6" s="49">
        <f>S6/S$5</f>
        <v>0</v>
      </c>
      <c r="U6" s="54">
        <v>0</v>
      </c>
      <c r="V6" s="49">
        <f>U6/U$5</f>
        <v>0</v>
      </c>
      <c r="W6" s="32">
        <v>0</v>
      </c>
      <c r="X6" s="49">
        <f>W6/W$5</f>
        <v>0</v>
      </c>
      <c r="Y6" s="43">
        <v>0</v>
      </c>
      <c r="Z6" s="179">
        <f>Y6/Y$5</f>
        <v>0</v>
      </c>
      <c r="AA6" s="286">
        <f t="shared" ref="AA6:AA11" si="1">C6+E6+G6+I6+K6+M6+O6+Q6+S6+U6+W6+Y6</f>
        <v>0</v>
      </c>
      <c r="AB6" s="213">
        <f>AA6/AA$5</f>
        <v>0</v>
      </c>
      <c r="AC6" s="205">
        <v>0</v>
      </c>
      <c r="AD6" s="213">
        <f>AC6/AC$5</f>
        <v>0</v>
      </c>
      <c r="AE6" s="75"/>
      <c r="AF6" s="169"/>
      <c r="AG6" s="75"/>
      <c r="AH6" s="205">
        <v>0</v>
      </c>
      <c r="AI6" s="254">
        <f>AH6/AH$5</f>
        <v>0</v>
      </c>
      <c r="AJ6" s="293">
        <f t="shared" ref="AJ6:AJ69" si="2">SUM(AA6+AC6+AH6)</f>
        <v>0</v>
      </c>
      <c r="AK6" s="1"/>
      <c r="AL6" s="53"/>
      <c r="AM6" s="53">
        <f>G6*9.4+I6*9.4+K6*9.4+M6*9.4+O6*9.4+Q6*9.4+S6*9.4+U6*9.4+W6*9.4+Y6*9.4</f>
        <v>0</v>
      </c>
      <c r="AN6" s="53" t="e">
        <f>#REF!-AM6</f>
        <v>#REF!</v>
      </c>
      <c r="AO6" s="53"/>
    </row>
    <row r="7" spans="1:41">
      <c r="A7" s="13">
        <v>5051</v>
      </c>
      <c r="B7" s="119" t="s">
        <v>106</v>
      </c>
      <c r="C7" s="137"/>
      <c r="D7" s="49">
        <f t="shared" ref="D7:D11" si="3">C7/C$5</f>
        <v>0</v>
      </c>
      <c r="E7" s="60"/>
      <c r="F7" s="49">
        <f t="shared" ref="F7:F11" si="4">E7/E$5</f>
        <v>0</v>
      </c>
      <c r="G7" s="81"/>
      <c r="H7" s="49">
        <f t="shared" ref="H7:H11" si="5">G7/G$5</f>
        <v>0</v>
      </c>
      <c r="I7" s="19">
        <v>0</v>
      </c>
      <c r="J7" s="49" t="e">
        <f t="shared" si="0"/>
        <v>#DIV/0!</v>
      </c>
      <c r="K7" s="54">
        <v>0</v>
      </c>
      <c r="L7" s="49">
        <f t="shared" ref="L7:L11" si="6">K7/K$5</f>
        <v>0</v>
      </c>
      <c r="M7" s="19">
        <v>0</v>
      </c>
      <c r="N7" s="49">
        <f t="shared" ref="N7:N11" si="7">M7/M$5</f>
        <v>0</v>
      </c>
      <c r="O7" s="23">
        <v>0</v>
      </c>
      <c r="P7" s="49">
        <f t="shared" ref="P7:P11" si="8">O7/O$5</f>
        <v>0</v>
      </c>
      <c r="Q7" s="23">
        <v>0</v>
      </c>
      <c r="R7" s="49">
        <f t="shared" ref="R7:R11" si="9">Q7/Q$5</f>
        <v>0</v>
      </c>
      <c r="S7" s="23">
        <v>0</v>
      </c>
      <c r="T7" s="49">
        <f t="shared" ref="T7:T11" si="10">S7/S$5</f>
        <v>0</v>
      </c>
      <c r="U7" s="54">
        <v>0</v>
      </c>
      <c r="V7" s="49">
        <f t="shared" ref="V7:V11" si="11">U7/U$5</f>
        <v>0</v>
      </c>
      <c r="W7" s="32">
        <v>0</v>
      </c>
      <c r="X7" s="49">
        <f t="shared" ref="X7:X11" si="12">W7/W$5</f>
        <v>0</v>
      </c>
      <c r="Y7" s="54">
        <v>0</v>
      </c>
      <c r="Z7" s="179">
        <f t="shared" ref="Z7:Z11" si="13">Y7/Y$5</f>
        <v>0</v>
      </c>
      <c r="AA7" s="286">
        <f t="shared" si="1"/>
        <v>0</v>
      </c>
      <c r="AB7" s="214">
        <f t="shared" ref="AB7:AB11" si="14">AA7/AA$5</f>
        <v>0</v>
      </c>
      <c r="AC7" s="207">
        <v>0</v>
      </c>
      <c r="AD7" s="214">
        <f t="shared" ref="AD7:AD11" si="15">AC7/AC$5</f>
        <v>0</v>
      </c>
      <c r="AE7" s="75"/>
      <c r="AF7" s="169"/>
      <c r="AG7" s="75"/>
      <c r="AH7" s="207">
        <v>0</v>
      </c>
      <c r="AI7" s="255">
        <f t="shared" ref="AI7:AI11" si="16">AH7/AH$5</f>
        <v>0</v>
      </c>
      <c r="AJ7" s="293">
        <f t="shared" si="2"/>
        <v>0</v>
      </c>
      <c r="AK7" s="1"/>
      <c r="AL7" s="53"/>
      <c r="AM7" s="53">
        <f>G7*9.4+I7*9.4+K7*9.4+M7*9.4+O7*9.4+Q7*9.4+S7*9.4+U7*9.4+W7*9.4+Y7*9.4</f>
        <v>0</v>
      </c>
      <c r="AN7" s="53" t="e">
        <f>#REF!-AM7</f>
        <v>#REF!</v>
      </c>
      <c r="AO7" s="53"/>
    </row>
    <row r="8" spans="1:41">
      <c r="A8" s="1">
        <v>5052</v>
      </c>
      <c r="B8" s="1" t="s">
        <v>90</v>
      </c>
      <c r="C8" s="23">
        <v>520</v>
      </c>
      <c r="D8" s="49">
        <f t="shared" si="3"/>
        <v>2.0511930448777371E-3</v>
      </c>
      <c r="E8" s="18"/>
      <c r="F8" s="49">
        <f t="shared" si="4"/>
        <v>0</v>
      </c>
      <c r="G8" s="18"/>
      <c r="H8" s="49">
        <f t="shared" si="5"/>
        <v>0</v>
      </c>
      <c r="I8" s="18"/>
      <c r="J8" s="49" t="e">
        <f t="shared" si="0"/>
        <v>#DIV/0!</v>
      </c>
      <c r="K8" s="18"/>
      <c r="L8" s="49">
        <f t="shared" si="6"/>
        <v>0</v>
      </c>
      <c r="M8" s="18"/>
      <c r="N8" s="49">
        <f t="shared" si="7"/>
        <v>0</v>
      </c>
      <c r="O8" s="18"/>
      <c r="P8" s="49">
        <f t="shared" si="8"/>
        <v>0</v>
      </c>
      <c r="Q8" s="18"/>
      <c r="R8" s="49">
        <f t="shared" si="9"/>
        <v>0</v>
      </c>
      <c r="S8" s="18"/>
      <c r="T8" s="49">
        <f t="shared" si="10"/>
        <v>0</v>
      </c>
      <c r="U8" s="18"/>
      <c r="V8" s="49">
        <f t="shared" si="11"/>
        <v>0</v>
      </c>
      <c r="W8" s="18"/>
      <c r="X8" s="49">
        <f t="shared" si="12"/>
        <v>0</v>
      </c>
      <c r="Y8" s="18"/>
      <c r="Z8" s="179">
        <f t="shared" si="13"/>
        <v>0</v>
      </c>
      <c r="AA8" s="286"/>
      <c r="AB8" s="214">
        <f t="shared" si="14"/>
        <v>0</v>
      </c>
      <c r="AC8" s="215">
        <v>0</v>
      </c>
      <c r="AD8" s="214">
        <f t="shared" si="15"/>
        <v>0</v>
      </c>
      <c r="AE8" s="75"/>
      <c r="AF8" s="169"/>
      <c r="AG8" s="75"/>
      <c r="AH8" s="215">
        <v>0</v>
      </c>
      <c r="AI8" s="255">
        <f t="shared" si="16"/>
        <v>0</v>
      </c>
      <c r="AJ8" s="293">
        <f t="shared" si="2"/>
        <v>0</v>
      </c>
      <c r="AK8" s="1"/>
      <c r="AL8" s="53"/>
      <c r="AM8" s="53">
        <f>G8*9.4+I8*9.4+K8*9.4+M8*9.4+O8*9.4+Q8*9.4+S8*9.4+U8*9.4+W8*9.4+Y8*9.4</f>
        <v>0</v>
      </c>
      <c r="AN8" s="53" t="e">
        <f>#REF!-AM8</f>
        <v>#REF!</v>
      </c>
      <c r="AO8" s="53"/>
    </row>
    <row r="9" spans="1:41">
      <c r="A9" s="1">
        <v>5101</v>
      </c>
      <c r="B9" s="15" t="s">
        <v>47</v>
      </c>
      <c r="C9" s="136"/>
      <c r="D9" s="49">
        <f t="shared" si="3"/>
        <v>0</v>
      </c>
      <c r="E9" s="136">
        <f>E5*1%</f>
        <v>1673.7308785714285</v>
      </c>
      <c r="F9" s="49">
        <f t="shared" si="4"/>
        <v>0.01</v>
      </c>
      <c r="G9" s="136">
        <f>G5*1%</f>
        <v>1973.8194620469085</v>
      </c>
      <c r="H9" s="49">
        <f t="shared" si="5"/>
        <v>0.01</v>
      </c>
      <c r="I9" s="136">
        <f>I5*1%</f>
        <v>2168.1191918976542</v>
      </c>
      <c r="J9" s="49" t="e">
        <f t="shared" si="0"/>
        <v>#DIV/0!</v>
      </c>
      <c r="K9" s="136">
        <f>K5*1%</f>
        <v>1926.962923987207</v>
      </c>
      <c r="L9" s="49">
        <f t="shared" si="6"/>
        <v>0.01</v>
      </c>
      <c r="M9" s="136">
        <f>M5*1%</f>
        <v>2046.867065991471</v>
      </c>
      <c r="N9" s="49">
        <f t="shared" si="7"/>
        <v>0.01</v>
      </c>
      <c r="O9" s="136">
        <f>O5*1%</f>
        <v>2132.2867930703624</v>
      </c>
      <c r="P9" s="49">
        <f t="shared" si="8"/>
        <v>0.01</v>
      </c>
      <c r="Q9" s="136">
        <f>Q5*1%</f>
        <v>1817.9919996801707</v>
      </c>
      <c r="R9" s="49">
        <f t="shared" si="9"/>
        <v>0.01</v>
      </c>
      <c r="S9" s="136">
        <f>S5*1%</f>
        <v>1642.1426440298505</v>
      </c>
      <c r="T9" s="49">
        <f t="shared" si="10"/>
        <v>0.01</v>
      </c>
      <c r="U9" s="136">
        <f>U5*1%</f>
        <v>2342.7453600213221</v>
      </c>
      <c r="V9" s="49">
        <f t="shared" si="11"/>
        <v>0.01</v>
      </c>
      <c r="W9" s="136">
        <f>W5*1%</f>
        <v>1567.0815437100212</v>
      </c>
      <c r="X9" s="49">
        <f t="shared" si="12"/>
        <v>0.01</v>
      </c>
      <c r="Y9" s="136">
        <f>Y5*1%</f>
        <v>2397.260842217484</v>
      </c>
      <c r="Z9" s="179">
        <f t="shared" si="13"/>
        <v>0.01</v>
      </c>
      <c r="AA9" s="286">
        <f t="shared" si="1"/>
        <v>21689.008705223881</v>
      </c>
      <c r="AB9" s="214">
        <f t="shared" si="14"/>
        <v>8.9534768918328889E-3</v>
      </c>
      <c r="AC9" s="205">
        <f>AC5*0.9%</f>
        <v>7440.5250000000005</v>
      </c>
      <c r="AD9" s="214">
        <f t="shared" si="15"/>
        <v>9.0000000000000011E-3</v>
      </c>
      <c r="AE9" s="75"/>
      <c r="AF9" s="169"/>
      <c r="AG9" s="75"/>
      <c r="AH9" s="205">
        <f>AH5*0.9%</f>
        <v>7440.5250000000005</v>
      </c>
      <c r="AI9" s="255">
        <f t="shared" si="16"/>
        <v>9.0000000000000011E-3</v>
      </c>
      <c r="AJ9" s="293">
        <f t="shared" si="2"/>
        <v>36570.058705223884</v>
      </c>
      <c r="AK9" s="1"/>
      <c r="AL9" s="53"/>
      <c r="AM9" s="53">
        <f>G9*9.4+I9*9.4+K9*9.4+M9*9.4+O9*9.4+Q9*9.4+S9*9.4+U9*9.4+W9*9.4+Y9*9.4</f>
        <v>188143.61157053304</v>
      </c>
      <c r="AN9" s="53" t="e">
        <f>#REF!-AM9</f>
        <v>#REF!</v>
      </c>
      <c r="AO9" s="53"/>
    </row>
    <row r="10" spans="1:41">
      <c r="A10" s="1">
        <v>5102</v>
      </c>
      <c r="B10" s="1" t="s">
        <v>210</v>
      </c>
      <c r="C10" s="136"/>
      <c r="D10" s="49">
        <f t="shared" si="3"/>
        <v>0</v>
      </c>
      <c r="E10" s="43"/>
      <c r="F10" s="49">
        <f t="shared" si="4"/>
        <v>0</v>
      </c>
      <c r="G10" s="80"/>
      <c r="H10" s="49">
        <f t="shared" si="5"/>
        <v>0</v>
      </c>
      <c r="I10" s="18"/>
      <c r="J10" s="49" t="e">
        <f t="shared" si="0"/>
        <v>#DIV/0!</v>
      </c>
      <c r="K10" s="43"/>
      <c r="L10" s="49">
        <f t="shared" si="6"/>
        <v>0</v>
      </c>
      <c r="M10" s="18"/>
      <c r="N10" s="49">
        <f t="shared" si="7"/>
        <v>0</v>
      </c>
      <c r="O10" s="18">
        <f>O5*9%</f>
        <v>19190.58113763326</v>
      </c>
      <c r="P10" s="49">
        <f t="shared" si="8"/>
        <v>0.09</v>
      </c>
      <c r="Q10" s="18"/>
      <c r="R10" s="49">
        <f t="shared" si="9"/>
        <v>0</v>
      </c>
      <c r="S10" s="18"/>
      <c r="T10" s="49">
        <f t="shared" si="10"/>
        <v>0</v>
      </c>
      <c r="U10" s="43"/>
      <c r="V10" s="49">
        <f t="shared" si="11"/>
        <v>0</v>
      </c>
      <c r="W10" s="33"/>
      <c r="X10" s="49">
        <f t="shared" si="12"/>
        <v>0</v>
      </c>
      <c r="Y10" s="18">
        <v>21377</v>
      </c>
      <c r="Z10" s="179">
        <f t="shared" si="13"/>
        <v>8.9172607434016726E-2</v>
      </c>
      <c r="AA10" s="286">
        <f>C10+E10+G10+I10+K10+M10+O10+Q10+S10+U10+W10+Y10+520</f>
        <v>41087.581137633257</v>
      </c>
      <c r="AB10" s="214">
        <f t="shared" si="14"/>
        <v>1.6961434856564178E-2</v>
      </c>
      <c r="AC10" s="215">
        <f>AC5*1.7%</f>
        <v>14054.325000000001</v>
      </c>
      <c r="AD10" s="214">
        <f t="shared" si="15"/>
        <v>1.7000000000000001E-2</v>
      </c>
      <c r="AE10" s="75"/>
      <c r="AF10" s="169"/>
      <c r="AG10" s="75"/>
      <c r="AH10" s="215">
        <f>AH5*1.7%</f>
        <v>14054.325000000001</v>
      </c>
      <c r="AI10" s="255">
        <f t="shared" si="16"/>
        <v>1.7000000000000001E-2</v>
      </c>
      <c r="AJ10" s="293">
        <f t="shared" si="2"/>
        <v>69196.231137633251</v>
      </c>
      <c r="AK10" s="1"/>
      <c r="AL10" s="53"/>
      <c r="AM10" s="53"/>
      <c r="AN10" s="53"/>
      <c r="AO10" s="53"/>
    </row>
    <row r="11" spans="1:41">
      <c r="A11" s="1">
        <v>5103</v>
      </c>
      <c r="B11" s="15" t="s">
        <v>64</v>
      </c>
      <c r="C11" s="136"/>
      <c r="D11" s="49">
        <f t="shared" si="3"/>
        <v>0</v>
      </c>
      <c r="E11" s="43"/>
      <c r="F11" s="49">
        <f t="shared" si="4"/>
        <v>0</v>
      </c>
      <c r="G11" s="80"/>
      <c r="H11" s="49">
        <f t="shared" si="5"/>
        <v>0</v>
      </c>
      <c r="I11" s="18"/>
      <c r="J11" s="49" t="e">
        <f t="shared" si="0"/>
        <v>#DIV/0!</v>
      </c>
      <c r="K11" s="43"/>
      <c r="L11" s="49">
        <f t="shared" si="6"/>
        <v>0</v>
      </c>
      <c r="M11" s="18"/>
      <c r="N11" s="49">
        <f t="shared" si="7"/>
        <v>0</v>
      </c>
      <c r="O11" s="18"/>
      <c r="P11" s="49">
        <f t="shared" si="8"/>
        <v>0</v>
      </c>
      <c r="Q11" s="18"/>
      <c r="R11" s="49">
        <f t="shared" si="9"/>
        <v>0</v>
      </c>
      <c r="S11" s="18"/>
      <c r="T11" s="49">
        <f t="shared" si="10"/>
        <v>0</v>
      </c>
      <c r="U11" s="43"/>
      <c r="V11" s="49">
        <f t="shared" si="11"/>
        <v>0</v>
      </c>
      <c r="W11" s="33"/>
      <c r="X11" s="49">
        <f t="shared" si="12"/>
        <v>0</v>
      </c>
      <c r="Y11" s="43"/>
      <c r="Z11" s="179">
        <f t="shared" si="13"/>
        <v>0</v>
      </c>
      <c r="AA11" s="286">
        <f t="shared" si="1"/>
        <v>0</v>
      </c>
      <c r="AB11" s="214">
        <f t="shared" si="14"/>
        <v>0</v>
      </c>
      <c r="AC11" s="215">
        <v>0</v>
      </c>
      <c r="AD11" s="214">
        <f t="shared" si="15"/>
        <v>0</v>
      </c>
      <c r="AE11" s="75"/>
      <c r="AF11" s="169"/>
      <c r="AG11" s="75"/>
      <c r="AH11" s="215">
        <v>0</v>
      </c>
      <c r="AI11" s="255">
        <f t="shared" si="16"/>
        <v>0</v>
      </c>
      <c r="AJ11" s="293">
        <f t="shared" si="2"/>
        <v>0</v>
      </c>
      <c r="AK11" s="1"/>
      <c r="AL11" s="53"/>
      <c r="AM11" s="53">
        <f t="shared" ref="AM11:AM74" si="17">G11*9.4+I11*9.4+K11*9.4+M11*9.4+O11*9.4+Q11*9.4+S11*9.4+U11*9.4+W11*9.4+Y11*9.4</f>
        <v>0</v>
      </c>
      <c r="AN11" s="53" t="e">
        <f>#REF!-AM11</f>
        <v>#REF!</v>
      </c>
      <c r="AO11" s="53"/>
    </row>
    <row r="12" spans="1:41" ht="15.75" thickBot="1">
      <c r="A12" s="6">
        <v>5149</v>
      </c>
      <c r="B12" s="120" t="s">
        <v>67</v>
      </c>
      <c r="C12" s="55">
        <f>C5+C6-C7-C8-C9-C10+C11</f>
        <v>252991</v>
      </c>
      <c r="D12" s="88">
        <v>1</v>
      </c>
      <c r="E12" s="55">
        <f>E5+E6-E7-E8-E9-E10+E11</f>
        <v>165699.35697857142</v>
      </c>
      <c r="F12" s="88">
        <v>1</v>
      </c>
      <c r="G12" s="55">
        <f>G5+G6-G7-G8-G9-G10+G11</f>
        <v>195408.12674264394</v>
      </c>
      <c r="H12" s="88">
        <v>1</v>
      </c>
      <c r="I12" s="55">
        <f>I5+I6-I7-I8-I9-I10+I11</f>
        <v>214643.79999786778</v>
      </c>
      <c r="J12" s="88">
        <v>1</v>
      </c>
      <c r="K12" s="55">
        <f>K5+K6-K7-K8-K9-K10+K11</f>
        <v>190769.32947473347</v>
      </c>
      <c r="L12" s="88">
        <v>1</v>
      </c>
      <c r="M12" s="55">
        <f>M5+M6-M7-M8-M9-M10+M11</f>
        <v>202639.83953315561</v>
      </c>
      <c r="N12" s="88">
        <v>1</v>
      </c>
      <c r="O12" s="55">
        <f>O5+O6-O7-O8-O9-O10+O11</f>
        <v>191905.81137633263</v>
      </c>
      <c r="P12" s="88">
        <v>1</v>
      </c>
      <c r="Q12" s="55">
        <f>Q5+Q6-Q7-Q8-Q9-Q10+Q11</f>
        <v>179981.20796833688</v>
      </c>
      <c r="R12" s="88">
        <v>1</v>
      </c>
      <c r="S12" s="55">
        <f>S5+S6-S7-S8-S9-S10+S11</f>
        <v>162572.12175895521</v>
      </c>
      <c r="T12" s="88">
        <v>1</v>
      </c>
      <c r="U12" s="55">
        <f>U5+U6-U7-U8-U9-U10+U11</f>
        <v>231931.79064211086</v>
      </c>
      <c r="V12" s="88">
        <v>1</v>
      </c>
      <c r="W12" s="55">
        <f>W5+W6-W7-W8-W9-W10+W11</f>
        <v>155141.07282729208</v>
      </c>
      <c r="X12" s="88">
        <v>1</v>
      </c>
      <c r="Y12" s="55">
        <f>Y5+Y6-Y7-Y8-Y9-Y10+Y11</f>
        <v>215951.82337953089</v>
      </c>
      <c r="Z12" s="220">
        <v>1</v>
      </c>
      <c r="AA12" s="211">
        <f>AA5+AA6-AA7-AA8-AA9-AA10+AA11</f>
        <v>2359635.2806795305</v>
      </c>
      <c r="AB12" s="239">
        <v>1</v>
      </c>
      <c r="AC12" s="210">
        <f>AC5-AC6-AC7-AC8-AC10-AC9</f>
        <v>805230.15</v>
      </c>
      <c r="AD12" s="239">
        <v>1</v>
      </c>
      <c r="AE12" s="169" t="s">
        <v>163</v>
      </c>
      <c r="AF12" s="169"/>
      <c r="AG12" s="75" t="s">
        <v>197</v>
      </c>
      <c r="AH12" s="210">
        <f>AH5+AH6-AH7-AH8-AH9-AH10+AH11</f>
        <v>805230.15</v>
      </c>
      <c r="AI12" s="256">
        <v>1</v>
      </c>
      <c r="AJ12" s="297">
        <f t="shared" si="2"/>
        <v>3970095.5806795303</v>
      </c>
      <c r="AK12" s="1"/>
      <c r="AL12" s="53"/>
      <c r="AM12" s="53">
        <f t="shared" si="17"/>
        <v>18244882.282789018</v>
      </c>
      <c r="AN12" s="53" t="e">
        <f>#REF!-AM12</f>
        <v>#REF!</v>
      </c>
      <c r="AO12" s="53"/>
    </row>
    <row r="13" spans="1:41" ht="15.75" thickTop="1">
      <c r="A13" s="1">
        <v>5151</v>
      </c>
      <c r="B13" s="15" t="s">
        <v>48</v>
      </c>
      <c r="C13" s="136"/>
      <c r="D13" s="70"/>
      <c r="E13" s="43"/>
      <c r="F13" s="70"/>
      <c r="G13" s="80"/>
      <c r="H13" s="70"/>
      <c r="I13" s="18"/>
      <c r="J13" s="70"/>
      <c r="K13" s="43"/>
      <c r="L13" s="70"/>
      <c r="M13" s="18"/>
      <c r="N13" s="70"/>
      <c r="O13" s="18"/>
      <c r="P13" s="70"/>
      <c r="Q13" s="18"/>
      <c r="R13" s="70"/>
      <c r="S13" s="18"/>
      <c r="T13" s="70"/>
      <c r="U13" s="43"/>
      <c r="V13" s="70"/>
      <c r="W13" s="33"/>
      <c r="X13" s="70"/>
      <c r="Y13" s="43"/>
      <c r="AA13" s="286">
        <f>C13+E13+G13+I13+K13+M13+O13+Q13+S13+U13+W13+Y13</f>
        <v>0</v>
      </c>
      <c r="AB13" s="213"/>
      <c r="AC13" s="205">
        <v>0</v>
      </c>
      <c r="AD13" s="213"/>
      <c r="AE13" s="75"/>
      <c r="AF13" s="169"/>
      <c r="AG13" s="75"/>
      <c r="AH13" s="205">
        <v>0</v>
      </c>
      <c r="AI13" s="254"/>
      <c r="AJ13" s="293">
        <f t="shared" si="2"/>
        <v>0</v>
      </c>
      <c r="AK13" s="1"/>
      <c r="AL13" s="53"/>
      <c r="AM13" s="53">
        <f t="shared" si="17"/>
        <v>0</v>
      </c>
      <c r="AN13" s="53" t="e">
        <f>#REF!-AM13</f>
        <v>#REF!</v>
      </c>
      <c r="AO13" s="53"/>
    </row>
    <row r="14" spans="1:41">
      <c r="A14" s="1">
        <v>5152</v>
      </c>
      <c r="B14" s="15" t="s">
        <v>49</v>
      </c>
      <c r="C14" s="136"/>
      <c r="D14" s="70"/>
      <c r="E14" s="43"/>
      <c r="F14" s="70"/>
      <c r="G14" s="80"/>
      <c r="H14" s="70"/>
      <c r="I14" s="18"/>
      <c r="J14" s="70"/>
      <c r="K14" s="43"/>
      <c r="L14" s="70"/>
      <c r="M14" s="18"/>
      <c r="N14" s="70"/>
      <c r="O14" s="18"/>
      <c r="P14" s="70"/>
      <c r="Q14" s="18"/>
      <c r="R14" s="70"/>
      <c r="S14" s="18"/>
      <c r="T14" s="70"/>
      <c r="U14" s="43"/>
      <c r="V14" s="70"/>
      <c r="W14" s="33"/>
      <c r="X14" s="70"/>
      <c r="Y14" s="43"/>
      <c r="AA14" s="286">
        <f>C14+E14+G14+I14+K14+M14+O14+Q14+S14+U14+W14+Y14</f>
        <v>0</v>
      </c>
      <c r="AB14" s="213"/>
      <c r="AC14" s="205">
        <v>0</v>
      </c>
      <c r="AD14" s="213"/>
      <c r="AE14" s="75"/>
      <c r="AF14" s="169"/>
      <c r="AG14" s="75"/>
      <c r="AH14" s="205">
        <v>0</v>
      </c>
      <c r="AI14" s="254"/>
      <c r="AJ14" s="293">
        <f t="shared" si="2"/>
        <v>0</v>
      </c>
      <c r="AK14" s="1"/>
      <c r="AL14" s="53"/>
      <c r="AM14" s="53">
        <f t="shared" si="17"/>
        <v>0</v>
      </c>
      <c r="AN14" s="53" t="e">
        <f>#REF!-AM14</f>
        <v>#REF!</v>
      </c>
      <c r="AO14" s="53"/>
    </row>
    <row r="15" spans="1:41" ht="15.75" thickBot="1">
      <c r="A15" s="35">
        <v>5198</v>
      </c>
      <c r="B15" s="121" t="s">
        <v>93</v>
      </c>
      <c r="C15" s="138">
        <f>C13+C14</f>
        <v>0</v>
      </c>
      <c r="D15" s="71"/>
      <c r="E15" s="56">
        <f>E13+E14</f>
        <v>0</v>
      </c>
      <c r="F15" s="71"/>
      <c r="G15" s="83">
        <f>G13+G14</f>
        <v>0</v>
      </c>
      <c r="H15" s="71"/>
      <c r="I15" s="132">
        <f>I13+I14</f>
        <v>0</v>
      </c>
      <c r="J15" s="71"/>
      <c r="K15" s="56">
        <f>K13+K14</f>
        <v>0</v>
      </c>
      <c r="L15" s="71"/>
      <c r="M15" s="132">
        <f>M13+M14</f>
        <v>0</v>
      </c>
      <c r="N15" s="71"/>
      <c r="O15" s="132">
        <f>O13+O14</f>
        <v>0</v>
      </c>
      <c r="P15" s="71"/>
      <c r="Q15" s="132">
        <f>Q13+Q14</f>
        <v>0</v>
      </c>
      <c r="R15" s="71"/>
      <c r="S15" s="132">
        <f>S13+S14</f>
        <v>0</v>
      </c>
      <c r="T15" s="71"/>
      <c r="U15" s="56">
        <f>U13+U14</f>
        <v>0</v>
      </c>
      <c r="V15" s="71"/>
      <c r="W15" s="36">
        <f>W13+W14</f>
        <v>0</v>
      </c>
      <c r="X15" s="71"/>
      <c r="Y15" s="56">
        <f>Y13+Y14</f>
        <v>0</v>
      </c>
      <c r="Z15" s="221"/>
      <c r="AA15" s="287">
        <f>AA13+AA14</f>
        <v>0</v>
      </c>
      <c r="AB15" s="241"/>
      <c r="AC15" s="242">
        <v>0</v>
      </c>
      <c r="AD15" s="241"/>
      <c r="AE15" s="75"/>
      <c r="AF15" s="169"/>
      <c r="AG15" s="75"/>
      <c r="AH15" s="242">
        <v>0</v>
      </c>
      <c r="AI15" s="257"/>
      <c r="AJ15" s="293">
        <f t="shared" si="2"/>
        <v>0</v>
      </c>
      <c r="AK15" s="1"/>
      <c r="AL15" s="53"/>
      <c r="AM15" s="53">
        <f t="shared" si="17"/>
        <v>0</v>
      </c>
      <c r="AN15" s="53" t="e">
        <f>#REF!-AM15</f>
        <v>#REF!</v>
      </c>
      <c r="AO15" s="53"/>
    </row>
    <row r="16" spans="1:41" ht="16.5" thickTop="1" thickBot="1">
      <c r="A16" s="37">
        <v>5199</v>
      </c>
      <c r="B16" s="122" t="s">
        <v>71</v>
      </c>
      <c r="C16" s="139">
        <f>C12+C15</f>
        <v>252991</v>
      </c>
      <c r="D16" s="39">
        <f>C16/C12</f>
        <v>1</v>
      </c>
      <c r="E16" s="57">
        <f>E12+E15</f>
        <v>165699.35697857142</v>
      </c>
      <c r="F16" s="39">
        <f>E16/E12</f>
        <v>1</v>
      </c>
      <c r="G16" s="84">
        <f>G12+G15</f>
        <v>195408.12674264394</v>
      </c>
      <c r="H16" s="39">
        <f>G16/G12</f>
        <v>1</v>
      </c>
      <c r="I16" s="133">
        <f>I12+I15</f>
        <v>214643.79999786778</v>
      </c>
      <c r="J16" s="39">
        <f>I16/I12</f>
        <v>1</v>
      </c>
      <c r="K16" s="57">
        <f>K12+K15</f>
        <v>190769.32947473347</v>
      </c>
      <c r="L16" s="39">
        <f>K16/K12</f>
        <v>1</v>
      </c>
      <c r="M16" s="133">
        <f>M12+M15</f>
        <v>202639.83953315561</v>
      </c>
      <c r="N16" s="39">
        <f>M16/M12</f>
        <v>1</v>
      </c>
      <c r="O16" s="133">
        <f>O12+O15</f>
        <v>191905.81137633263</v>
      </c>
      <c r="P16" s="39">
        <f>O16/O12</f>
        <v>1</v>
      </c>
      <c r="Q16" s="133">
        <f>Q12+Q15</f>
        <v>179981.20796833688</v>
      </c>
      <c r="R16" s="39">
        <f>Q16/Q12</f>
        <v>1</v>
      </c>
      <c r="S16" s="133">
        <f>S12+S15</f>
        <v>162572.12175895521</v>
      </c>
      <c r="T16" s="39">
        <f>S16/S12</f>
        <v>1</v>
      </c>
      <c r="U16" s="57">
        <f>U12+U15</f>
        <v>231931.79064211086</v>
      </c>
      <c r="V16" s="39">
        <f>U16/U12</f>
        <v>1</v>
      </c>
      <c r="W16" s="38">
        <f>W12+W15</f>
        <v>155141.07282729208</v>
      </c>
      <c r="X16" s="39">
        <f>W16/W12</f>
        <v>1</v>
      </c>
      <c r="Y16" s="57">
        <f>Y12+Y15</f>
        <v>215951.82337953089</v>
      </c>
      <c r="Z16" s="222">
        <f>Y16/Y12</f>
        <v>1</v>
      </c>
      <c r="AA16" s="288">
        <f>AA12+AA15</f>
        <v>2359635.2806795305</v>
      </c>
      <c r="AB16" s="244">
        <f>AA16/AA12</f>
        <v>1</v>
      </c>
      <c r="AC16" s="243">
        <f>AC12+AC15</f>
        <v>805230.15</v>
      </c>
      <c r="AD16" s="244">
        <f>AC16/AC12</f>
        <v>1</v>
      </c>
      <c r="AE16" s="75"/>
      <c r="AF16" s="169"/>
      <c r="AG16" s="75"/>
      <c r="AH16" s="243">
        <f>AH12+AH15</f>
        <v>805230.15</v>
      </c>
      <c r="AI16" s="258">
        <f>AH16/AH12</f>
        <v>1</v>
      </c>
      <c r="AJ16" s="298">
        <f t="shared" si="2"/>
        <v>3970095.5806795303</v>
      </c>
      <c r="AK16" s="1"/>
      <c r="AL16" s="53"/>
      <c r="AM16" s="53">
        <f t="shared" si="17"/>
        <v>18244882.282789018</v>
      </c>
      <c r="AN16" s="53" t="e">
        <f>#REF!-AM16</f>
        <v>#REF!</v>
      </c>
      <c r="AO16" s="53"/>
    </row>
    <row r="17" spans="1:41" ht="15.75" thickTop="1">
      <c r="A17" s="12">
        <v>5502</v>
      </c>
      <c r="B17" s="14" t="s">
        <v>50</v>
      </c>
      <c r="C17" s="61">
        <v>152937.43599999999</v>
      </c>
      <c r="D17" s="49">
        <f>C17/C12</f>
        <v>0.60451729903435292</v>
      </c>
      <c r="E17" s="24">
        <f>E12*57.15%</f>
        <v>94697.182513253574</v>
      </c>
      <c r="F17" s="49">
        <f>E17/E12</f>
        <v>0.57150000000000001</v>
      </c>
      <c r="G17" s="80">
        <f>G12*49.66%</f>
        <v>97039.675740396982</v>
      </c>
      <c r="H17" s="49">
        <f>G17/G12</f>
        <v>0.49659999999999999</v>
      </c>
      <c r="I17" s="24">
        <f>I12*52.1%</f>
        <v>111829.41979888912</v>
      </c>
      <c r="J17" s="49">
        <f>I17/I12</f>
        <v>0.52100000000000002</v>
      </c>
      <c r="K17" s="61">
        <f>K12*47.05%</f>
        <v>89756.96951786209</v>
      </c>
      <c r="L17" s="49">
        <f>K17/K12</f>
        <v>0.47049999999999997</v>
      </c>
      <c r="M17" s="24">
        <f>M12*44.09%</f>
        <v>89343.905250168318</v>
      </c>
      <c r="N17" s="49">
        <f>M17/M12</f>
        <v>0.44090000000000007</v>
      </c>
      <c r="O17" s="24">
        <f>O12*48.44%</f>
        <v>92959.175030695522</v>
      </c>
      <c r="P17" s="49">
        <f>O17/O12</f>
        <v>0.4844</v>
      </c>
      <c r="Q17" s="24">
        <f>Q12*47.99%</f>
        <v>86372.981704004866</v>
      </c>
      <c r="R17" s="49">
        <f>Q17/Q12</f>
        <v>0.47989999999999999</v>
      </c>
      <c r="S17" s="24">
        <f>S12*44.22%</f>
        <v>71889.392241809997</v>
      </c>
      <c r="T17" s="49">
        <f>S17/S12</f>
        <v>0.44220000000000004</v>
      </c>
      <c r="U17" s="80">
        <f>U12*51.8%</f>
        <v>120140.66755261343</v>
      </c>
      <c r="V17" s="49">
        <f>U17/U12</f>
        <v>0.51800000000000002</v>
      </c>
      <c r="W17" s="61">
        <f>W12*45.17%</f>
        <v>70077.222596087828</v>
      </c>
      <c r="X17" s="49">
        <f>W17/W12</f>
        <v>0.45169999999999993</v>
      </c>
      <c r="Y17" s="61">
        <f>Y12*47.82%</f>
        <v>103268.16194009168</v>
      </c>
      <c r="Z17" s="179">
        <f>Y17/Y12</f>
        <v>0.47820000000000007</v>
      </c>
      <c r="AA17" s="286">
        <f>C17+E17+G17+I17+K17+M17+O17+Q17+S17+U17+W17+Y17</f>
        <v>1180312.1898858733</v>
      </c>
      <c r="AB17" s="214">
        <f>AA17/AA12</f>
        <v>0.50020958728247433</v>
      </c>
      <c r="AC17" s="216">
        <f>AC12*50%</f>
        <v>402615.07500000001</v>
      </c>
      <c r="AD17" s="214">
        <f>AC17/AC12</f>
        <v>0.5</v>
      </c>
      <c r="AE17" s="75" t="s">
        <v>164</v>
      </c>
      <c r="AF17" s="171">
        <v>0.50339999999999996</v>
      </c>
      <c r="AG17" s="75" t="s">
        <v>197</v>
      </c>
      <c r="AH17" s="216">
        <f>AH12*50%</f>
        <v>402615.07500000001</v>
      </c>
      <c r="AI17" s="255">
        <f>AH17/AH12</f>
        <v>0.5</v>
      </c>
      <c r="AJ17" s="293">
        <f t="shared" si="2"/>
        <v>1985542.3398858733</v>
      </c>
      <c r="AK17" s="1"/>
      <c r="AL17" s="53"/>
      <c r="AM17" s="53">
        <f t="shared" si="17"/>
        <v>8767169.1709026266</v>
      </c>
      <c r="AN17" s="53" t="e">
        <f>#REF!-AM17</f>
        <v>#REF!</v>
      </c>
      <c r="AO17" s="53"/>
    </row>
    <row r="18" spans="1:41">
      <c r="A18" s="3">
        <v>5503</v>
      </c>
      <c r="B18" s="116" t="s">
        <v>51</v>
      </c>
      <c r="C18" s="136"/>
      <c r="D18" s="70"/>
      <c r="E18" s="43"/>
      <c r="F18" s="70"/>
      <c r="G18" s="80"/>
      <c r="H18" s="70"/>
      <c r="I18" s="18"/>
      <c r="J18" s="70"/>
      <c r="K18" s="43"/>
      <c r="L18" s="70"/>
      <c r="M18" s="18"/>
      <c r="N18" s="70"/>
      <c r="O18" s="18"/>
      <c r="P18" s="70"/>
      <c r="Q18" s="18"/>
      <c r="R18" s="70"/>
      <c r="S18" s="18"/>
      <c r="T18" s="70"/>
      <c r="U18" s="43"/>
      <c r="V18" s="70"/>
      <c r="W18" s="33"/>
      <c r="X18" s="70"/>
      <c r="Y18" s="43"/>
      <c r="AA18" s="286">
        <f>C18+E18+G18+I18+K18+M18+O18+Q18+S18+U18+W18+Y18</f>
        <v>0</v>
      </c>
      <c r="AB18" s="213"/>
      <c r="AC18" s="205">
        <v>0</v>
      </c>
      <c r="AD18" s="213"/>
      <c r="AE18" s="75"/>
      <c r="AF18" s="169"/>
      <c r="AG18" s="75"/>
      <c r="AH18" s="205">
        <v>0</v>
      </c>
      <c r="AI18" s="254"/>
      <c r="AJ18" s="293">
        <f t="shared" si="2"/>
        <v>0</v>
      </c>
      <c r="AK18" s="1"/>
      <c r="AL18" s="53"/>
      <c r="AM18" s="53">
        <f t="shared" si="17"/>
        <v>0</v>
      </c>
      <c r="AN18" s="53" t="e">
        <f>#REF!-AM18</f>
        <v>#REF!</v>
      </c>
      <c r="AO18" s="53"/>
    </row>
    <row r="19" spans="1:41">
      <c r="A19" s="3">
        <v>5504</v>
      </c>
      <c r="B19" s="116" t="s">
        <v>52</v>
      </c>
      <c r="C19" s="136">
        <v>0.47099999999999997</v>
      </c>
      <c r="D19" s="49">
        <f>C19/C12</f>
        <v>1.8617263064694001E-6</v>
      </c>
      <c r="E19" s="43"/>
      <c r="F19" s="49">
        <f>E19/E12</f>
        <v>0</v>
      </c>
      <c r="G19" s="80"/>
      <c r="H19" s="49">
        <f>G19/G12</f>
        <v>0</v>
      </c>
      <c r="I19" s="18"/>
      <c r="J19" s="49">
        <f>I19/I12</f>
        <v>0</v>
      </c>
      <c r="K19" s="43"/>
      <c r="L19" s="49">
        <f>K19/K12</f>
        <v>0</v>
      </c>
      <c r="M19" s="18"/>
      <c r="N19" s="49">
        <f>M19/M12</f>
        <v>0</v>
      </c>
      <c r="O19" s="18"/>
      <c r="P19" s="49">
        <f>O19/O12</f>
        <v>0</v>
      </c>
      <c r="Q19" s="18"/>
      <c r="R19" s="49">
        <f>Q19/Q12</f>
        <v>0</v>
      </c>
      <c r="S19" s="18"/>
      <c r="T19" s="49">
        <f>S19/S12</f>
        <v>0</v>
      </c>
      <c r="U19" s="43"/>
      <c r="V19" s="49">
        <f>U19/U12</f>
        <v>0</v>
      </c>
      <c r="W19" s="33"/>
      <c r="X19" s="49">
        <f>W19/W12</f>
        <v>0</v>
      </c>
      <c r="Y19" s="43"/>
      <c r="Z19" s="179">
        <f>Y19/Y12</f>
        <v>0</v>
      </c>
      <c r="AA19" s="286"/>
      <c r="AB19" s="214">
        <f>AA19/AA12</f>
        <v>0</v>
      </c>
      <c r="AC19" s="205">
        <v>0</v>
      </c>
      <c r="AD19" s="214">
        <f>AC19/AC12</f>
        <v>0</v>
      </c>
      <c r="AE19" s="75"/>
      <c r="AF19" s="169"/>
      <c r="AG19" s="75"/>
      <c r="AH19" s="205">
        <v>0</v>
      </c>
      <c r="AI19" s="255">
        <f>AH19/AH12</f>
        <v>0</v>
      </c>
      <c r="AJ19" s="293">
        <f t="shared" si="2"/>
        <v>0</v>
      </c>
      <c r="AK19" s="1"/>
      <c r="AL19" s="53"/>
      <c r="AM19" s="53">
        <f t="shared" si="17"/>
        <v>0</v>
      </c>
      <c r="AN19" s="53" t="e">
        <f>#REF!-AM19</f>
        <v>#REF!</v>
      </c>
      <c r="AO19" s="53"/>
    </row>
    <row r="20" spans="1:41">
      <c r="A20" s="3">
        <v>5505</v>
      </c>
      <c r="B20" s="116" t="s">
        <v>53</v>
      </c>
      <c r="C20" s="136"/>
      <c r="D20" s="70"/>
      <c r="E20" s="43"/>
      <c r="F20" s="70"/>
      <c r="G20" s="80"/>
      <c r="H20" s="70"/>
      <c r="I20" s="18"/>
      <c r="J20" s="70"/>
      <c r="K20" s="43"/>
      <c r="L20" s="70"/>
      <c r="M20" s="18"/>
      <c r="N20" s="70"/>
      <c r="O20" s="18"/>
      <c r="P20" s="70"/>
      <c r="Q20" s="18"/>
      <c r="R20" s="70"/>
      <c r="S20" s="18"/>
      <c r="T20" s="70"/>
      <c r="U20" s="43"/>
      <c r="V20" s="70"/>
      <c r="W20" s="33"/>
      <c r="X20" s="70"/>
      <c r="Y20" s="43"/>
      <c r="AA20" s="286">
        <f>C20+E20+G20+I20+K20+M20+O20+Q20+S20+U20+W20+Y20</f>
        <v>0</v>
      </c>
      <c r="AB20" s="213"/>
      <c r="AC20" s="205">
        <v>0</v>
      </c>
      <c r="AD20" s="213"/>
      <c r="AE20" s="75"/>
      <c r="AF20" s="169"/>
      <c r="AG20" s="75"/>
      <c r="AH20" s="205">
        <v>0</v>
      </c>
      <c r="AI20" s="254"/>
      <c r="AJ20" s="293">
        <f t="shared" si="2"/>
        <v>0</v>
      </c>
      <c r="AK20" s="1"/>
      <c r="AL20" s="53"/>
      <c r="AM20" s="53">
        <f t="shared" si="17"/>
        <v>0</v>
      </c>
      <c r="AN20" s="53" t="e">
        <f>#REF!-AM20</f>
        <v>#REF!</v>
      </c>
      <c r="AO20" s="53"/>
    </row>
    <row r="21" spans="1:41" ht="15.75" thickBot="1">
      <c r="A21" s="7">
        <v>5599</v>
      </c>
      <c r="B21" s="123" t="s">
        <v>94</v>
      </c>
      <c r="C21" s="27">
        <f>SUM(C17:C20)</f>
        <v>152937.90699999998</v>
      </c>
      <c r="D21" s="68">
        <f>C21/C12</f>
        <v>0.60451916076065937</v>
      </c>
      <c r="E21" s="55">
        <f>SUM(E17:E20)</f>
        <v>94697.182513253574</v>
      </c>
      <c r="F21" s="68">
        <f>E21/E12</f>
        <v>0.57150000000000001</v>
      </c>
      <c r="G21" s="82">
        <f>SUM(G17:G20)</f>
        <v>97039.675740396982</v>
      </c>
      <c r="H21" s="68">
        <f>G21/G12</f>
        <v>0.49659999999999999</v>
      </c>
      <c r="I21" s="20">
        <f>SUM(I17:I20)</f>
        <v>111829.41979888912</v>
      </c>
      <c r="J21" s="68">
        <f>I21/I12</f>
        <v>0.52100000000000002</v>
      </c>
      <c r="K21" s="55">
        <f>SUM(K17:K20)</f>
        <v>89756.96951786209</v>
      </c>
      <c r="L21" s="68">
        <f>K21/K12</f>
        <v>0.47049999999999997</v>
      </c>
      <c r="M21" s="20">
        <f>SUM(M17:M20)</f>
        <v>89343.905250168318</v>
      </c>
      <c r="N21" s="68">
        <f>M21/M12</f>
        <v>0.44090000000000007</v>
      </c>
      <c r="O21" s="20">
        <f>SUM(O17:O20)</f>
        <v>92959.175030695522</v>
      </c>
      <c r="P21" s="68">
        <f>O21/O12</f>
        <v>0.4844</v>
      </c>
      <c r="Q21" s="20">
        <f>SUM(Q17:Q20)</f>
        <v>86372.981704004866</v>
      </c>
      <c r="R21" s="68">
        <f>Q21/Q12</f>
        <v>0.47989999999999999</v>
      </c>
      <c r="S21" s="20">
        <f>SUM(S17:S20)</f>
        <v>71889.392241809997</v>
      </c>
      <c r="T21" s="68">
        <f>S21/S12</f>
        <v>0.44220000000000004</v>
      </c>
      <c r="U21" s="55">
        <f>SUM(U17:U20)</f>
        <v>120140.66755261343</v>
      </c>
      <c r="V21" s="68">
        <f>U21/U12</f>
        <v>0.51800000000000002</v>
      </c>
      <c r="W21" s="34">
        <f>SUM(W17:W20)</f>
        <v>70077.222596087828</v>
      </c>
      <c r="X21" s="68">
        <f>W21/W12</f>
        <v>0.45169999999999993</v>
      </c>
      <c r="Y21" s="55">
        <f>SUM(Y17:Y20)</f>
        <v>103268.16194009168</v>
      </c>
      <c r="Z21" s="223">
        <f>Y21/Y12</f>
        <v>0.47820000000000007</v>
      </c>
      <c r="AA21" s="211">
        <f>SUM(AA17:AA20)</f>
        <v>1180312.1898858733</v>
      </c>
      <c r="AB21" s="245">
        <f>AA21/AA12</f>
        <v>0.50020958728247433</v>
      </c>
      <c r="AC21" s="210">
        <f>SUM(AC17:AC20)</f>
        <v>402615.07500000001</v>
      </c>
      <c r="AD21" s="245">
        <f>AC21/AC12</f>
        <v>0.5</v>
      </c>
      <c r="AE21" s="75"/>
      <c r="AF21" s="169"/>
      <c r="AG21" s="75"/>
      <c r="AH21" s="210">
        <f>SUM(AH17:AH20)</f>
        <v>402615.07500000001</v>
      </c>
      <c r="AI21" s="259">
        <f>AH21/AH12</f>
        <v>0.5</v>
      </c>
      <c r="AJ21" s="297">
        <f t="shared" si="2"/>
        <v>1985542.3398858733</v>
      </c>
      <c r="AK21" s="1"/>
      <c r="AL21" s="53"/>
      <c r="AM21" s="53">
        <f t="shared" si="17"/>
        <v>8767169.1709026266</v>
      </c>
      <c r="AN21" s="53" t="e">
        <f>#REF!-AM21</f>
        <v>#REF!</v>
      </c>
      <c r="AO21" s="53"/>
    </row>
    <row r="22" spans="1:41" ht="15.75" thickTop="1">
      <c r="A22" s="98">
        <v>5601</v>
      </c>
      <c r="B22" s="3" t="s">
        <v>54</v>
      </c>
      <c r="C22" s="18"/>
      <c r="D22" s="49">
        <f>C22/C12</f>
        <v>0</v>
      </c>
      <c r="E22" s="18"/>
      <c r="F22" s="49">
        <f>E22/E12</f>
        <v>0</v>
      </c>
      <c r="G22" s="18"/>
      <c r="H22" s="49">
        <f>G22/G12</f>
        <v>0</v>
      </c>
      <c r="I22" s="18"/>
      <c r="J22" s="49">
        <f>I22/I12</f>
        <v>0</v>
      </c>
      <c r="K22" s="18"/>
      <c r="L22" s="49">
        <f>K22/K12</f>
        <v>0</v>
      </c>
      <c r="M22" s="18"/>
      <c r="N22" s="49">
        <f>M22/M12</f>
        <v>0</v>
      </c>
      <c r="O22" s="18"/>
      <c r="P22" s="49">
        <f>O22/O12</f>
        <v>0</v>
      </c>
      <c r="Q22" s="18"/>
      <c r="R22" s="49">
        <f>Q22/Q12</f>
        <v>0</v>
      </c>
      <c r="S22" s="18"/>
      <c r="T22" s="49">
        <f>S22/S12</f>
        <v>0</v>
      </c>
      <c r="U22" s="18"/>
      <c r="V22" s="49">
        <f>U22/U12</f>
        <v>0</v>
      </c>
      <c r="W22" s="18"/>
      <c r="X22" s="49">
        <f>W22/W12</f>
        <v>0</v>
      </c>
      <c r="Y22" s="18"/>
      <c r="Z22" s="179">
        <f>Y22/Y12</f>
        <v>0</v>
      </c>
      <c r="AA22" s="286">
        <f t="shared" ref="AA22:AA34" si="18">C22+E22+G22+I22+K22+M22+O22+Q22+S22+U22+W22+Y22</f>
        <v>0</v>
      </c>
      <c r="AB22" s="214">
        <f>AA22/AA12</f>
        <v>0</v>
      </c>
      <c r="AC22" s="215">
        <v>0</v>
      </c>
      <c r="AD22" s="214">
        <f>AC22/AC12</f>
        <v>0</v>
      </c>
      <c r="AE22" s="75"/>
      <c r="AF22" s="169"/>
      <c r="AG22" s="75"/>
      <c r="AH22" s="215">
        <v>0</v>
      </c>
      <c r="AI22" s="255">
        <f>AH22/AH12</f>
        <v>0</v>
      </c>
      <c r="AJ22" s="293">
        <f t="shared" si="2"/>
        <v>0</v>
      </c>
      <c r="AK22" s="1"/>
      <c r="AL22" s="53"/>
      <c r="AM22" s="53">
        <f t="shared" si="17"/>
        <v>0</v>
      </c>
      <c r="AN22" s="53" t="e">
        <f>#REF!-AM22</f>
        <v>#REF!</v>
      </c>
      <c r="AO22" s="53"/>
    </row>
    <row r="23" spans="1:41">
      <c r="A23" s="3">
        <v>5602</v>
      </c>
      <c r="B23" s="3" t="s">
        <v>55</v>
      </c>
      <c r="C23" s="18"/>
      <c r="D23" s="49">
        <f>C23/C12</f>
        <v>0</v>
      </c>
      <c r="E23" s="18"/>
      <c r="F23" s="49">
        <f>E23/E12</f>
        <v>0</v>
      </c>
      <c r="G23" s="18"/>
      <c r="H23" s="49">
        <f>G23/G12</f>
        <v>0</v>
      </c>
      <c r="I23" s="18"/>
      <c r="J23" s="49">
        <f>I23/I12</f>
        <v>0</v>
      </c>
      <c r="K23" s="18"/>
      <c r="L23" s="49">
        <f>K23/K12</f>
        <v>0</v>
      </c>
      <c r="M23" s="18"/>
      <c r="N23" s="49">
        <f>M23/M12</f>
        <v>0</v>
      </c>
      <c r="O23" s="18"/>
      <c r="P23" s="49">
        <f>O23/O12</f>
        <v>0</v>
      </c>
      <c r="Q23" s="18"/>
      <c r="R23" s="49">
        <f>Q23/Q12</f>
        <v>0</v>
      </c>
      <c r="S23" s="18"/>
      <c r="T23" s="49">
        <f>S23/S12</f>
        <v>0</v>
      </c>
      <c r="U23" s="18"/>
      <c r="V23" s="49">
        <f>U23/U12</f>
        <v>0</v>
      </c>
      <c r="W23" s="18"/>
      <c r="X23" s="49">
        <f>W23/W12</f>
        <v>0</v>
      </c>
      <c r="Y23" s="18"/>
      <c r="Z23" s="179">
        <f>Y23/Y12</f>
        <v>0</v>
      </c>
      <c r="AA23" s="286">
        <f t="shared" si="18"/>
        <v>0</v>
      </c>
      <c r="AB23" s="214">
        <f>AA23/AA12</f>
        <v>0</v>
      </c>
      <c r="AC23" s="215">
        <v>0</v>
      </c>
      <c r="AD23" s="214">
        <f>AC23/AC12</f>
        <v>0</v>
      </c>
      <c r="AE23" s="75"/>
      <c r="AF23" s="169"/>
      <c r="AG23" s="75"/>
      <c r="AH23" s="215">
        <v>0</v>
      </c>
      <c r="AI23" s="255">
        <f>AH23/AH12</f>
        <v>0</v>
      </c>
      <c r="AJ23" s="293">
        <f t="shared" si="2"/>
        <v>0</v>
      </c>
      <c r="AK23" s="1"/>
      <c r="AL23" s="53"/>
      <c r="AM23" s="53">
        <f t="shared" si="17"/>
        <v>0</v>
      </c>
      <c r="AN23" s="53" t="e">
        <f>#REF!-AM23</f>
        <v>#REF!</v>
      </c>
      <c r="AO23" s="53"/>
    </row>
    <row r="24" spans="1:41">
      <c r="A24" s="3">
        <v>5603</v>
      </c>
      <c r="B24" s="3" t="s">
        <v>56</v>
      </c>
      <c r="C24" s="18"/>
      <c r="D24" s="49">
        <f>C24/C12</f>
        <v>0</v>
      </c>
      <c r="E24" s="18"/>
      <c r="F24" s="49">
        <f>E24/E12</f>
        <v>0</v>
      </c>
      <c r="G24" s="18"/>
      <c r="H24" s="49">
        <f>G24/G12</f>
        <v>0</v>
      </c>
      <c r="I24" s="18"/>
      <c r="J24" s="49">
        <f>I24/I12</f>
        <v>0</v>
      </c>
      <c r="K24" s="18"/>
      <c r="L24" s="49">
        <f>K24/K12</f>
        <v>0</v>
      </c>
      <c r="M24" s="18"/>
      <c r="N24" s="49">
        <f>M24/M12</f>
        <v>0</v>
      </c>
      <c r="O24" s="18"/>
      <c r="P24" s="49">
        <f>O24/O12</f>
        <v>0</v>
      </c>
      <c r="Q24" s="18"/>
      <c r="R24" s="49">
        <f>Q24/Q12</f>
        <v>0</v>
      </c>
      <c r="S24" s="18"/>
      <c r="T24" s="49">
        <f>S24/S12</f>
        <v>0</v>
      </c>
      <c r="U24" s="18"/>
      <c r="V24" s="49">
        <f>U24/U12</f>
        <v>0</v>
      </c>
      <c r="W24" s="18"/>
      <c r="X24" s="49">
        <f>W24/W12</f>
        <v>0</v>
      </c>
      <c r="Y24" s="18"/>
      <c r="Z24" s="179">
        <f>Y24/Y12</f>
        <v>0</v>
      </c>
      <c r="AA24" s="286">
        <f t="shared" si="18"/>
        <v>0</v>
      </c>
      <c r="AB24" s="214">
        <f>AA24/AA12</f>
        <v>0</v>
      </c>
      <c r="AC24" s="215">
        <v>0</v>
      </c>
      <c r="AD24" s="214">
        <f>AC24/AC12</f>
        <v>0</v>
      </c>
      <c r="AE24" s="75"/>
      <c r="AF24" s="169"/>
      <c r="AG24" s="75"/>
      <c r="AH24" s="215">
        <v>0</v>
      </c>
      <c r="AI24" s="255">
        <f>AH24/AH12</f>
        <v>0</v>
      </c>
      <c r="AJ24" s="293">
        <f t="shared" si="2"/>
        <v>0</v>
      </c>
      <c r="AK24" s="1"/>
      <c r="AL24" s="53"/>
      <c r="AM24" s="53">
        <f t="shared" si="17"/>
        <v>0</v>
      </c>
      <c r="AN24" s="53" t="e">
        <f>#REF!-AM24</f>
        <v>#REF!</v>
      </c>
      <c r="AO24" s="53"/>
    </row>
    <row r="25" spans="1:41">
      <c r="A25" s="3">
        <v>5604</v>
      </c>
      <c r="B25" s="3" t="s">
        <v>57</v>
      </c>
      <c r="C25" s="18">
        <v>0.128</v>
      </c>
      <c r="D25" s="49">
        <f>C25/C12</f>
        <v>5.059468518642956E-7</v>
      </c>
      <c r="E25" s="18">
        <v>50</v>
      </c>
      <c r="F25" s="49">
        <f>E25/E12</f>
        <v>3.0175132186219711E-4</v>
      </c>
      <c r="G25" s="18">
        <v>50</v>
      </c>
      <c r="H25" s="49">
        <f>G25/G12</f>
        <v>2.5587472145337595E-4</v>
      </c>
      <c r="I25" s="18">
        <v>50</v>
      </c>
      <c r="J25" s="49">
        <f>I25/I12</f>
        <v>2.3294406826797088E-4</v>
      </c>
      <c r="K25" s="18">
        <v>50</v>
      </c>
      <c r="L25" s="49">
        <f>K25/K12</f>
        <v>2.6209663858268301E-4</v>
      </c>
      <c r="M25" s="18">
        <v>50</v>
      </c>
      <c r="N25" s="49">
        <f>M25/M12</f>
        <v>2.4674318789035107E-4</v>
      </c>
      <c r="O25" s="18">
        <v>50</v>
      </c>
      <c r="P25" s="49">
        <f>O25/O12</f>
        <v>2.6054448086487914E-4</v>
      </c>
      <c r="Q25" s="18">
        <v>50</v>
      </c>
      <c r="R25" s="49">
        <f>Q25/Q12</f>
        <v>2.7780678085456695E-4</v>
      </c>
      <c r="S25" s="18">
        <v>50</v>
      </c>
      <c r="T25" s="49">
        <f>S25/S12</f>
        <v>3.0755580636472672E-4</v>
      </c>
      <c r="U25" s="18">
        <v>50</v>
      </c>
      <c r="V25" s="49">
        <f>U25/U12</f>
        <v>2.155806233443606E-4</v>
      </c>
      <c r="W25" s="18">
        <v>50</v>
      </c>
      <c r="X25" s="49">
        <f>W25/W12</f>
        <v>3.2228731623934026E-4</v>
      </c>
      <c r="Y25" s="18">
        <v>50</v>
      </c>
      <c r="Z25" s="179">
        <f>Y25/Y12</f>
        <v>2.3153312260821261E-4</v>
      </c>
      <c r="AA25" s="286">
        <f t="shared" si="18"/>
        <v>550.12799999999993</v>
      </c>
      <c r="AB25" s="214">
        <f>AA25/AA12</f>
        <v>2.3314111485973945E-4</v>
      </c>
      <c r="AC25" s="215">
        <v>600</v>
      </c>
      <c r="AD25" s="214">
        <f>AC25/AC12</f>
        <v>7.4512858218237356E-4</v>
      </c>
      <c r="AE25" s="75"/>
      <c r="AF25" s="169"/>
      <c r="AG25" s="75"/>
      <c r="AH25" s="215">
        <v>600</v>
      </c>
      <c r="AI25" s="255">
        <f>AH25/AH12</f>
        <v>7.4512858218237356E-4</v>
      </c>
      <c r="AJ25" s="293">
        <f t="shared" si="2"/>
        <v>1750.1279999999999</v>
      </c>
      <c r="AK25" s="1"/>
      <c r="AL25" s="53"/>
      <c r="AM25" s="53">
        <f t="shared" si="17"/>
        <v>4700</v>
      </c>
      <c r="AN25" s="53" t="e">
        <f>#REF!-AM25</f>
        <v>#REF!</v>
      </c>
      <c r="AO25" s="53"/>
    </row>
    <row r="26" spans="1:41">
      <c r="A26" s="3">
        <v>5605</v>
      </c>
      <c r="B26" s="3" t="s">
        <v>15</v>
      </c>
      <c r="C26" s="18"/>
      <c r="D26" s="49">
        <f>C26/C12</f>
        <v>0</v>
      </c>
      <c r="E26" s="18"/>
      <c r="F26" s="49">
        <f>E26/E12</f>
        <v>0</v>
      </c>
      <c r="G26" s="18"/>
      <c r="H26" s="49">
        <f>G26/G12</f>
        <v>0</v>
      </c>
      <c r="I26" s="18"/>
      <c r="J26" s="49">
        <f>I26/I12</f>
        <v>0</v>
      </c>
      <c r="K26" s="18"/>
      <c r="L26" s="49">
        <f>K26/K12</f>
        <v>0</v>
      </c>
      <c r="M26" s="18"/>
      <c r="N26" s="49">
        <f>M26/M12</f>
        <v>0</v>
      </c>
      <c r="O26" s="18"/>
      <c r="P26" s="49">
        <f>O26/O12</f>
        <v>0</v>
      </c>
      <c r="Q26" s="18"/>
      <c r="R26" s="49">
        <f>Q26/Q12</f>
        <v>0</v>
      </c>
      <c r="S26" s="18"/>
      <c r="T26" s="49">
        <f>S26/S12</f>
        <v>0</v>
      </c>
      <c r="U26" s="18"/>
      <c r="V26" s="49">
        <f>U26/U12</f>
        <v>0</v>
      </c>
      <c r="W26" s="18"/>
      <c r="X26" s="49">
        <f>W26/W12</f>
        <v>0</v>
      </c>
      <c r="Y26" s="18"/>
      <c r="Z26" s="179">
        <f>Y26/Y12</f>
        <v>0</v>
      </c>
      <c r="AA26" s="286">
        <f t="shared" si="18"/>
        <v>0</v>
      </c>
      <c r="AB26" s="214">
        <f>AA26/AA12</f>
        <v>0</v>
      </c>
      <c r="AC26" s="215">
        <v>0</v>
      </c>
      <c r="AD26" s="214">
        <f>AC26/AC12</f>
        <v>0</v>
      </c>
      <c r="AE26" s="75"/>
      <c r="AF26" s="169"/>
      <c r="AG26" s="75"/>
      <c r="AH26" s="215">
        <v>0</v>
      </c>
      <c r="AI26" s="255">
        <f>AH26/AH12</f>
        <v>0</v>
      </c>
      <c r="AJ26" s="293">
        <f t="shared" si="2"/>
        <v>0</v>
      </c>
      <c r="AK26" s="1"/>
      <c r="AL26" s="53"/>
      <c r="AM26" s="53">
        <f t="shared" si="17"/>
        <v>0</v>
      </c>
      <c r="AN26" s="53" t="e">
        <f>#REF!-AM26</f>
        <v>#REF!</v>
      </c>
      <c r="AO26" s="53"/>
    </row>
    <row r="27" spans="1:41">
      <c r="A27" s="3">
        <v>5606</v>
      </c>
      <c r="B27" s="3" t="s">
        <v>77</v>
      </c>
      <c r="C27" s="18">
        <v>973.02599999999995</v>
      </c>
      <c r="D27" s="49">
        <f>C27/C12</f>
        <v>3.8460893865789689E-3</v>
      </c>
      <c r="E27" s="18">
        <f>E16*0.05%</f>
        <v>82.849678489285708</v>
      </c>
      <c r="F27" s="49">
        <f>E27/E12</f>
        <v>5.0000000000000001E-4</v>
      </c>
      <c r="G27" s="18">
        <f>G16*0.05%</f>
        <v>97.704063371321979</v>
      </c>
      <c r="H27" s="49">
        <f>G27/G12</f>
        <v>5.0000000000000001E-4</v>
      </c>
      <c r="I27" s="18">
        <f>I16*0.05%</f>
        <v>107.3218999989339</v>
      </c>
      <c r="J27" s="49">
        <f>I27/I12</f>
        <v>5.0000000000000001E-4</v>
      </c>
      <c r="K27" s="18">
        <f>K16*0.05%</f>
        <v>95.384664737366734</v>
      </c>
      <c r="L27" s="49">
        <f>K27/K12</f>
        <v>5.0000000000000001E-4</v>
      </c>
      <c r="M27" s="18">
        <f>M16*0.05%</f>
        <v>101.31991976657781</v>
      </c>
      <c r="N27" s="49">
        <f>M27/M12</f>
        <v>5.0000000000000001E-4</v>
      </c>
      <c r="O27" s="18">
        <f>O16*0.05%</f>
        <v>95.952905688166311</v>
      </c>
      <c r="P27" s="49">
        <f>O27/O12</f>
        <v>5.0000000000000001E-4</v>
      </c>
      <c r="Q27" s="18">
        <f>Q16*0.05%</f>
        <v>89.990603984168445</v>
      </c>
      <c r="R27" s="49">
        <f>Q27/Q12</f>
        <v>5.0000000000000001E-4</v>
      </c>
      <c r="S27" s="18">
        <f>S16*0.05%</f>
        <v>81.286060879477603</v>
      </c>
      <c r="T27" s="49">
        <f>S27/S12</f>
        <v>5.0000000000000001E-4</v>
      </c>
      <c r="U27" s="18">
        <f>U16*0.05%</f>
        <v>115.96589532105543</v>
      </c>
      <c r="V27" s="49">
        <f>U27/U12</f>
        <v>5.0000000000000001E-4</v>
      </c>
      <c r="W27" s="18">
        <f>W12*0.05%</f>
        <v>77.570536413646039</v>
      </c>
      <c r="X27" s="49">
        <f>W27/W12</f>
        <v>5.0000000000000001E-4</v>
      </c>
      <c r="Y27" s="18">
        <f>Y12*0.05%</f>
        <v>107.97591168976545</v>
      </c>
      <c r="Z27" s="179">
        <f>Y27/Y12</f>
        <v>5.0000000000000001E-4</v>
      </c>
      <c r="AA27" s="286">
        <f t="shared" si="18"/>
        <v>2026.3481403397661</v>
      </c>
      <c r="AB27" s="214">
        <f>AA27/AA12</f>
        <v>8.5875480712265667E-4</v>
      </c>
      <c r="AC27" s="215">
        <f>AA27</f>
        <v>2026.3481403397661</v>
      </c>
      <c r="AD27" s="214">
        <f>AC27/AC12</f>
        <v>2.5164831946987653E-3</v>
      </c>
      <c r="AE27" s="75" t="s">
        <v>161</v>
      </c>
      <c r="AF27" s="169">
        <v>-1689</v>
      </c>
      <c r="AG27" s="75" t="s">
        <v>162</v>
      </c>
      <c r="AH27" s="215">
        <f>AA27</f>
        <v>2026.3481403397661</v>
      </c>
      <c r="AI27" s="255">
        <f>AH27/AH12</f>
        <v>2.5164831946987653E-3</v>
      </c>
      <c r="AJ27" s="293">
        <f t="shared" si="2"/>
        <v>6079.0444210192982</v>
      </c>
      <c r="AK27" s="1"/>
      <c r="AL27" s="53"/>
      <c r="AM27" s="53">
        <f t="shared" si="17"/>
        <v>9122.441141394509</v>
      </c>
      <c r="AN27" s="53" t="e">
        <f>#REF!-AM27</f>
        <v>#REF!</v>
      </c>
      <c r="AO27" s="53"/>
    </row>
    <row r="28" spans="1:41">
      <c r="A28" s="3">
        <v>5607</v>
      </c>
      <c r="B28" s="116" t="s">
        <v>58</v>
      </c>
      <c r="C28" s="136"/>
      <c r="D28" s="49">
        <f>C28/C12</f>
        <v>0</v>
      </c>
      <c r="E28" s="43"/>
      <c r="F28" s="49">
        <f>E28/E12</f>
        <v>0</v>
      </c>
      <c r="G28" s="80"/>
      <c r="H28" s="49">
        <f>G28/G12</f>
        <v>0</v>
      </c>
      <c r="I28" s="18"/>
      <c r="J28" s="49">
        <f>I28/I12</f>
        <v>0</v>
      </c>
      <c r="K28" s="43"/>
      <c r="L28" s="49">
        <f>K28/K12</f>
        <v>0</v>
      </c>
      <c r="M28" s="18"/>
      <c r="N28" s="49">
        <f>M28/M12</f>
        <v>0</v>
      </c>
      <c r="O28" s="18"/>
      <c r="P28" s="49">
        <f>O28/O12</f>
        <v>0</v>
      </c>
      <c r="Q28" s="18"/>
      <c r="R28" s="49">
        <f>Q28/Q12</f>
        <v>0</v>
      </c>
      <c r="S28" s="18"/>
      <c r="T28" s="49">
        <f>S28/S12</f>
        <v>0</v>
      </c>
      <c r="U28" s="43"/>
      <c r="V28" s="49">
        <f>U28/U12</f>
        <v>0</v>
      </c>
      <c r="W28" s="33"/>
      <c r="X28" s="49">
        <f>W28/W12</f>
        <v>0</v>
      </c>
      <c r="Y28" s="43"/>
      <c r="Z28" s="179">
        <f>Y28/Y12</f>
        <v>0</v>
      </c>
      <c r="AA28" s="286">
        <f t="shared" si="18"/>
        <v>0</v>
      </c>
      <c r="AB28" s="214">
        <f>AA28/AA12</f>
        <v>0</v>
      </c>
      <c r="AC28" s="205">
        <v>0</v>
      </c>
      <c r="AD28" s="214">
        <f>AC28/AC12</f>
        <v>0</v>
      </c>
      <c r="AE28" s="75"/>
      <c r="AF28" s="169"/>
      <c r="AG28" s="75"/>
      <c r="AH28" s="205">
        <v>0</v>
      </c>
      <c r="AI28" s="255">
        <f>AH28/AH12</f>
        <v>0</v>
      </c>
      <c r="AJ28" s="293">
        <f t="shared" si="2"/>
        <v>0</v>
      </c>
      <c r="AK28" s="1"/>
      <c r="AL28" s="53"/>
      <c r="AM28" s="53">
        <f t="shared" si="17"/>
        <v>0</v>
      </c>
      <c r="AN28" s="53" t="e">
        <f>#REF!-AM28</f>
        <v>#REF!</v>
      </c>
      <c r="AO28" s="53"/>
    </row>
    <row r="29" spans="1:41">
      <c r="A29" s="3">
        <v>5608</v>
      </c>
      <c r="B29" s="116" t="s">
        <v>59</v>
      </c>
      <c r="C29" s="136"/>
      <c r="D29" s="49">
        <f>C29/C12</f>
        <v>0</v>
      </c>
      <c r="E29" s="43"/>
      <c r="F29" s="49">
        <f>E29/E12</f>
        <v>0</v>
      </c>
      <c r="G29" s="80"/>
      <c r="H29" s="49">
        <f>G29/G12</f>
        <v>0</v>
      </c>
      <c r="I29" s="18"/>
      <c r="J29" s="49">
        <f>I29/I12</f>
        <v>0</v>
      </c>
      <c r="K29" s="43"/>
      <c r="L29" s="49">
        <f>K29/K12</f>
        <v>0</v>
      </c>
      <c r="M29" s="18"/>
      <c r="N29" s="49">
        <f>M29/M12</f>
        <v>0</v>
      </c>
      <c r="O29" s="18"/>
      <c r="P29" s="49">
        <f>O29/O12</f>
        <v>0</v>
      </c>
      <c r="Q29" s="18"/>
      <c r="R29" s="49">
        <f>Q29/Q12</f>
        <v>0</v>
      </c>
      <c r="S29" s="18"/>
      <c r="T29" s="49">
        <f>S29/S12</f>
        <v>0</v>
      </c>
      <c r="U29" s="43"/>
      <c r="V29" s="49">
        <f>U29/U12</f>
        <v>0</v>
      </c>
      <c r="W29" s="33"/>
      <c r="X29" s="49">
        <f>W29/W12</f>
        <v>0</v>
      </c>
      <c r="Y29" s="43"/>
      <c r="Z29" s="179">
        <f>Y29/Y12</f>
        <v>0</v>
      </c>
      <c r="AA29" s="286">
        <f t="shared" si="18"/>
        <v>0</v>
      </c>
      <c r="AB29" s="214">
        <f>AA29/AA12</f>
        <v>0</v>
      </c>
      <c r="AC29" s="205">
        <v>0</v>
      </c>
      <c r="AD29" s="214">
        <f>AC29/AC12</f>
        <v>0</v>
      </c>
      <c r="AE29" s="75"/>
      <c r="AF29" s="169"/>
      <c r="AG29" s="75"/>
      <c r="AH29" s="205">
        <v>0</v>
      </c>
      <c r="AI29" s="255">
        <f>AH29/AH12</f>
        <v>0</v>
      </c>
      <c r="AJ29" s="293">
        <f t="shared" si="2"/>
        <v>0</v>
      </c>
      <c r="AK29" s="1"/>
      <c r="AL29" s="53"/>
      <c r="AM29" s="53">
        <f t="shared" si="17"/>
        <v>0</v>
      </c>
      <c r="AN29" s="53" t="e">
        <f>#REF!-AM29</f>
        <v>#REF!</v>
      </c>
      <c r="AO29" s="53"/>
    </row>
    <row r="30" spans="1:41">
      <c r="A30" s="3">
        <v>5609</v>
      </c>
      <c r="B30" s="116" t="s">
        <v>60</v>
      </c>
      <c r="C30" s="136"/>
      <c r="D30" s="49">
        <f>C30/C12</f>
        <v>0</v>
      </c>
      <c r="E30" s="43"/>
      <c r="F30" s="49">
        <f>E30/E12</f>
        <v>0</v>
      </c>
      <c r="G30" s="80"/>
      <c r="H30" s="49">
        <f>G30/G12</f>
        <v>0</v>
      </c>
      <c r="I30" s="18"/>
      <c r="J30" s="49">
        <f>I30/I12</f>
        <v>0</v>
      </c>
      <c r="K30" s="43"/>
      <c r="L30" s="49">
        <f>K30/K12</f>
        <v>0</v>
      </c>
      <c r="M30" s="18"/>
      <c r="N30" s="49">
        <f>M30/M12</f>
        <v>0</v>
      </c>
      <c r="O30" s="18"/>
      <c r="P30" s="49">
        <f>O30/O12</f>
        <v>0</v>
      </c>
      <c r="Q30" s="18"/>
      <c r="R30" s="49">
        <f>Q30/Q12</f>
        <v>0</v>
      </c>
      <c r="S30" s="18"/>
      <c r="T30" s="49">
        <f>S30/S12</f>
        <v>0</v>
      </c>
      <c r="U30" s="43"/>
      <c r="V30" s="49">
        <f>U30/U12</f>
        <v>0</v>
      </c>
      <c r="W30" s="33"/>
      <c r="X30" s="49">
        <f>W30/W12</f>
        <v>0</v>
      </c>
      <c r="Y30" s="43"/>
      <c r="Z30" s="179">
        <f>Y30/Y12</f>
        <v>0</v>
      </c>
      <c r="AA30" s="286">
        <f t="shared" si="18"/>
        <v>0</v>
      </c>
      <c r="AB30" s="214">
        <f>AA30/AA12</f>
        <v>0</v>
      </c>
      <c r="AC30" s="205">
        <v>0</v>
      </c>
      <c r="AD30" s="214">
        <f>AC30/AC12</f>
        <v>0</v>
      </c>
      <c r="AE30" s="75"/>
      <c r="AF30" s="169"/>
      <c r="AG30" s="75"/>
      <c r="AH30" s="205">
        <v>0</v>
      </c>
      <c r="AI30" s="255">
        <f>AH30/AH12</f>
        <v>0</v>
      </c>
      <c r="AJ30" s="293">
        <f t="shared" si="2"/>
        <v>0</v>
      </c>
      <c r="AK30" s="1"/>
      <c r="AL30" s="53"/>
      <c r="AM30" s="53">
        <f t="shared" si="17"/>
        <v>0</v>
      </c>
      <c r="AN30" s="53" t="e">
        <f>#REF!-AM30</f>
        <v>#REF!</v>
      </c>
      <c r="AO30" s="53"/>
    </row>
    <row r="31" spans="1:41">
      <c r="A31" s="3">
        <v>5610</v>
      </c>
      <c r="B31" s="116" t="s">
        <v>61</v>
      </c>
      <c r="C31" s="136"/>
      <c r="D31" s="49">
        <f>C31/C12</f>
        <v>0</v>
      </c>
      <c r="E31" s="43"/>
      <c r="F31" s="49">
        <f>E31/E12</f>
        <v>0</v>
      </c>
      <c r="G31" s="80"/>
      <c r="H31" s="49">
        <f>G31/G12</f>
        <v>0</v>
      </c>
      <c r="I31" s="18"/>
      <c r="J31" s="49">
        <f>I31/I12</f>
        <v>0</v>
      </c>
      <c r="K31" s="43"/>
      <c r="L31" s="49">
        <f>K31/K12</f>
        <v>0</v>
      </c>
      <c r="M31" s="18"/>
      <c r="N31" s="49">
        <f>M31/M12</f>
        <v>0</v>
      </c>
      <c r="O31" s="18"/>
      <c r="P31" s="49">
        <f>O31/O12</f>
        <v>0</v>
      </c>
      <c r="Q31" s="18"/>
      <c r="R31" s="49">
        <f>Q31/Q12</f>
        <v>0</v>
      </c>
      <c r="S31" s="18"/>
      <c r="T31" s="49">
        <f>S31/S12</f>
        <v>0</v>
      </c>
      <c r="U31" s="43"/>
      <c r="V31" s="49">
        <f>U31/U12</f>
        <v>0</v>
      </c>
      <c r="W31" s="33"/>
      <c r="X31" s="49">
        <f>W31/W12</f>
        <v>0</v>
      </c>
      <c r="Y31" s="43"/>
      <c r="Z31" s="179">
        <f>Y31/Y12</f>
        <v>0</v>
      </c>
      <c r="AA31" s="286">
        <f t="shared" si="18"/>
        <v>0</v>
      </c>
      <c r="AB31" s="214">
        <f>AA31/AA12</f>
        <v>0</v>
      </c>
      <c r="AC31" s="205">
        <v>0</v>
      </c>
      <c r="AD31" s="214">
        <f>AC31/AC12</f>
        <v>0</v>
      </c>
      <c r="AE31" s="75"/>
      <c r="AF31" s="169"/>
      <c r="AG31" s="75"/>
      <c r="AH31" s="205">
        <v>0</v>
      </c>
      <c r="AI31" s="255">
        <f>AH31/AH12</f>
        <v>0</v>
      </c>
      <c r="AJ31" s="293">
        <f t="shared" si="2"/>
        <v>0</v>
      </c>
      <c r="AK31" s="1"/>
      <c r="AL31" s="53"/>
      <c r="AM31" s="53">
        <f t="shared" si="17"/>
        <v>0</v>
      </c>
      <c r="AN31" s="53" t="e">
        <f>#REF!-AM31</f>
        <v>#REF!</v>
      </c>
      <c r="AO31" s="53"/>
    </row>
    <row r="32" spans="1:41">
      <c r="A32" s="3">
        <v>5611</v>
      </c>
      <c r="B32" s="116" t="s">
        <v>95</v>
      </c>
      <c r="C32" s="136"/>
      <c r="D32" s="49">
        <f>C32/C12</f>
        <v>0</v>
      </c>
      <c r="E32" s="43"/>
      <c r="F32" s="49">
        <f>E32/E12</f>
        <v>0</v>
      </c>
      <c r="G32" s="80"/>
      <c r="H32" s="49">
        <f>G32/G12</f>
        <v>0</v>
      </c>
      <c r="I32" s="18"/>
      <c r="J32" s="49">
        <f>I32/I12</f>
        <v>0</v>
      </c>
      <c r="K32" s="43"/>
      <c r="L32" s="49">
        <f>K32/K12</f>
        <v>0</v>
      </c>
      <c r="M32" s="18"/>
      <c r="N32" s="49">
        <f>M32/M12</f>
        <v>0</v>
      </c>
      <c r="O32" s="18"/>
      <c r="P32" s="49">
        <f>O32/O12</f>
        <v>0</v>
      </c>
      <c r="Q32" s="18"/>
      <c r="R32" s="49">
        <f>Q32/Q12</f>
        <v>0</v>
      </c>
      <c r="S32" s="18"/>
      <c r="T32" s="49">
        <f>S32/S12</f>
        <v>0</v>
      </c>
      <c r="U32" s="43"/>
      <c r="V32" s="49">
        <f>U32/U12</f>
        <v>0</v>
      </c>
      <c r="W32" s="33"/>
      <c r="X32" s="49">
        <f>W32/W12</f>
        <v>0</v>
      </c>
      <c r="Y32" s="43"/>
      <c r="Z32" s="179">
        <f>Y32/Y12</f>
        <v>0</v>
      </c>
      <c r="AA32" s="286">
        <f t="shared" si="18"/>
        <v>0</v>
      </c>
      <c r="AB32" s="214">
        <f>AA32/AA12</f>
        <v>0</v>
      </c>
      <c r="AC32" s="205">
        <v>0</v>
      </c>
      <c r="AD32" s="214">
        <f>AC32/AC12</f>
        <v>0</v>
      </c>
      <c r="AE32" s="75"/>
      <c r="AF32" s="169"/>
      <c r="AG32" s="75"/>
      <c r="AH32" s="205">
        <v>0</v>
      </c>
      <c r="AI32" s="255">
        <f>AH32/AH12</f>
        <v>0</v>
      </c>
      <c r="AJ32" s="293">
        <f t="shared" si="2"/>
        <v>0</v>
      </c>
      <c r="AK32" s="1"/>
      <c r="AL32" s="53"/>
      <c r="AM32" s="53">
        <f t="shared" si="17"/>
        <v>0</v>
      </c>
      <c r="AN32" s="53" t="e">
        <f>#REF!-AM32</f>
        <v>#REF!</v>
      </c>
      <c r="AO32" s="53"/>
    </row>
    <row r="33" spans="1:41">
      <c r="A33" s="3">
        <v>5612</v>
      </c>
      <c r="B33" s="116" t="s">
        <v>62</v>
      </c>
      <c r="C33" s="136"/>
      <c r="D33" s="49">
        <f>C33/C12</f>
        <v>0</v>
      </c>
      <c r="E33" s="43"/>
      <c r="F33" s="49">
        <f>E33/E12</f>
        <v>0</v>
      </c>
      <c r="G33" s="80"/>
      <c r="H33" s="49">
        <f>G33/G12</f>
        <v>0</v>
      </c>
      <c r="I33" s="18"/>
      <c r="J33" s="49">
        <f>I33/I12</f>
        <v>0</v>
      </c>
      <c r="K33" s="43"/>
      <c r="L33" s="49">
        <f>K33/K12</f>
        <v>0</v>
      </c>
      <c r="M33" s="18"/>
      <c r="N33" s="49">
        <f>M33/M12</f>
        <v>0</v>
      </c>
      <c r="O33" s="18"/>
      <c r="P33" s="49">
        <f>O33/O12</f>
        <v>0</v>
      </c>
      <c r="Q33" s="18"/>
      <c r="R33" s="49">
        <f>Q33/Q12</f>
        <v>0</v>
      </c>
      <c r="S33" s="18"/>
      <c r="T33" s="49">
        <f>S33/S12</f>
        <v>0</v>
      </c>
      <c r="U33" s="43"/>
      <c r="V33" s="49">
        <f>U33/U12</f>
        <v>0</v>
      </c>
      <c r="W33" s="33"/>
      <c r="X33" s="49">
        <f>W33/W12</f>
        <v>0</v>
      </c>
      <c r="Y33" s="43"/>
      <c r="Z33" s="179">
        <f>Y33/Y12</f>
        <v>0</v>
      </c>
      <c r="AA33" s="286">
        <f t="shared" si="18"/>
        <v>0</v>
      </c>
      <c r="AB33" s="214">
        <f>AA33/AA12</f>
        <v>0</v>
      </c>
      <c r="AC33" s="205">
        <v>0</v>
      </c>
      <c r="AD33" s="214">
        <f>AC33/AC12</f>
        <v>0</v>
      </c>
      <c r="AE33" s="75"/>
      <c r="AF33" s="169"/>
      <c r="AG33" s="75"/>
      <c r="AH33" s="205">
        <v>0</v>
      </c>
      <c r="AI33" s="255">
        <f>AH33/AH12</f>
        <v>0</v>
      </c>
      <c r="AJ33" s="293">
        <f t="shared" si="2"/>
        <v>0</v>
      </c>
      <c r="AK33" s="1"/>
      <c r="AL33" s="53"/>
      <c r="AM33" s="53">
        <f t="shared" si="17"/>
        <v>0</v>
      </c>
      <c r="AN33" s="53" t="e">
        <f>#REF!-AM33</f>
        <v>#REF!</v>
      </c>
      <c r="AO33" s="53"/>
    </row>
    <row r="34" spans="1:41">
      <c r="A34" s="3">
        <v>5613</v>
      </c>
      <c r="B34" s="116" t="s">
        <v>63</v>
      </c>
      <c r="C34" s="136"/>
      <c r="D34" s="49">
        <f>C34/C12</f>
        <v>0</v>
      </c>
      <c r="E34" s="43"/>
      <c r="F34" s="49">
        <f>E34/E12</f>
        <v>0</v>
      </c>
      <c r="G34" s="80"/>
      <c r="H34" s="49">
        <f>G34/G12</f>
        <v>0</v>
      </c>
      <c r="I34" s="18"/>
      <c r="J34" s="49">
        <f>I34/I12</f>
        <v>0</v>
      </c>
      <c r="K34" s="43"/>
      <c r="L34" s="49">
        <f>K34/K12</f>
        <v>0</v>
      </c>
      <c r="M34" s="18"/>
      <c r="N34" s="49">
        <f>M34/M12</f>
        <v>0</v>
      </c>
      <c r="O34" s="18"/>
      <c r="P34" s="49">
        <f>O34/O12</f>
        <v>0</v>
      </c>
      <c r="Q34" s="18"/>
      <c r="R34" s="49">
        <f>Q34/Q12</f>
        <v>0</v>
      </c>
      <c r="S34" s="18"/>
      <c r="T34" s="49">
        <f>S34/S12</f>
        <v>0</v>
      </c>
      <c r="U34" s="43"/>
      <c r="V34" s="49">
        <f>U34/U12</f>
        <v>0</v>
      </c>
      <c r="W34" s="33"/>
      <c r="X34" s="49">
        <f>W34/W12</f>
        <v>0</v>
      </c>
      <c r="Y34" s="43"/>
      <c r="Z34" s="179">
        <f>Y34/Y12</f>
        <v>0</v>
      </c>
      <c r="AA34" s="286">
        <f t="shared" si="18"/>
        <v>0</v>
      </c>
      <c r="AB34" s="214">
        <f>AA34/AA12</f>
        <v>0</v>
      </c>
      <c r="AC34" s="205">
        <v>0</v>
      </c>
      <c r="AD34" s="214">
        <f>AC34/AC12</f>
        <v>0</v>
      </c>
      <c r="AE34" s="75"/>
      <c r="AF34" s="169"/>
      <c r="AG34" s="75"/>
      <c r="AH34" s="205">
        <v>0</v>
      </c>
      <c r="AI34" s="255">
        <f>AH34/AH12</f>
        <v>0</v>
      </c>
      <c r="AJ34" s="293">
        <f t="shared" si="2"/>
        <v>0</v>
      </c>
      <c r="AK34" s="1"/>
      <c r="AL34" s="53"/>
      <c r="AM34" s="53">
        <f t="shared" si="17"/>
        <v>0</v>
      </c>
      <c r="AN34" s="53" t="e">
        <f>#REF!-AM34</f>
        <v>#REF!</v>
      </c>
      <c r="AO34" s="53"/>
    </row>
    <row r="35" spans="1:41">
      <c r="A35" s="8">
        <v>5699</v>
      </c>
      <c r="B35" s="117" t="s">
        <v>96</v>
      </c>
      <c r="C35" s="29">
        <f>SUM(C22:C34)</f>
        <v>973.154</v>
      </c>
      <c r="D35" s="66">
        <f>C35/C12</f>
        <v>3.8465953334308337E-3</v>
      </c>
      <c r="E35" s="58">
        <f>SUM(E22:E34)</f>
        <v>132.84967848928571</v>
      </c>
      <c r="F35" s="66">
        <f>E35/E12</f>
        <v>8.0175132186219712E-4</v>
      </c>
      <c r="G35" s="85">
        <f>SUM(G22:G34)</f>
        <v>147.70406337132198</v>
      </c>
      <c r="H35" s="66">
        <f>G35/G12</f>
        <v>7.5587472145337601E-4</v>
      </c>
      <c r="I35" s="21">
        <f>SUM(I22:I34)</f>
        <v>157.3218999989339</v>
      </c>
      <c r="J35" s="66">
        <f>I35/I12</f>
        <v>7.3294406826797094E-4</v>
      </c>
      <c r="K35" s="58">
        <f>SUM(K22:K34)</f>
        <v>145.38466473736673</v>
      </c>
      <c r="L35" s="66">
        <f>K35/K12</f>
        <v>7.6209663858268302E-4</v>
      </c>
      <c r="M35" s="21">
        <f>SUM(M22:M34)</f>
        <v>151.31991976657781</v>
      </c>
      <c r="N35" s="66">
        <f>M35/M12</f>
        <v>7.4674318789035108E-4</v>
      </c>
      <c r="O35" s="21">
        <f>SUM(O22:O34)</f>
        <v>145.95290568816631</v>
      </c>
      <c r="P35" s="66">
        <f>O35/O12</f>
        <v>7.605444808648791E-4</v>
      </c>
      <c r="Q35" s="21">
        <f>SUM(Q22:Q34)</f>
        <v>139.99060398416844</v>
      </c>
      <c r="R35" s="66">
        <f>Q35/Q12</f>
        <v>7.7780678085456701E-4</v>
      </c>
      <c r="S35" s="21">
        <f>SUM(S22:S34)</f>
        <v>131.28606087947759</v>
      </c>
      <c r="T35" s="66">
        <f>S35/S12</f>
        <v>8.0755580636472657E-4</v>
      </c>
      <c r="U35" s="58">
        <f>SUM(U22:U34)</f>
        <v>165.96589532105543</v>
      </c>
      <c r="V35" s="66">
        <f>U35/U12</f>
        <v>7.1558062334436056E-4</v>
      </c>
      <c r="W35" s="40">
        <f>SUM(W22:W34)</f>
        <v>127.57053641364604</v>
      </c>
      <c r="X35" s="66">
        <f>W35/W12</f>
        <v>8.2228731623934027E-4</v>
      </c>
      <c r="Y35" s="58">
        <f>SUM(Y22:Y34)</f>
        <v>157.97591168976544</v>
      </c>
      <c r="Z35" s="224">
        <f>Y35/Y12</f>
        <v>7.3153312260821257E-4</v>
      </c>
      <c r="AA35" s="211">
        <f>SUM(AA22:AA34)</f>
        <v>2576.4761403397661</v>
      </c>
      <c r="AB35" s="245">
        <f>AA35/AA12</f>
        <v>1.0918959219823961E-3</v>
      </c>
      <c r="AC35" s="246">
        <f>SUM(AC22:AC34)</f>
        <v>2626.3481403397664</v>
      </c>
      <c r="AD35" s="245">
        <f>AC35/AC12</f>
        <v>3.261611776881139E-3</v>
      </c>
      <c r="AE35" s="75"/>
      <c r="AF35" s="169"/>
      <c r="AG35" s="75"/>
      <c r="AH35" s="246">
        <f>SUM(AH22:AH34)</f>
        <v>2626.3481403397664</v>
      </c>
      <c r="AI35" s="259">
        <f>AH35/AH12</f>
        <v>3.261611776881139E-3</v>
      </c>
      <c r="AJ35" s="297">
        <f t="shared" si="2"/>
        <v>7829.1724210192988</v>
      </c>
      <c r="AK35" s="1"/>
      <c r="AL35" s="53"/>
      <c r="AM35" s="53">
        <f t="shared" si="17"/>
        <v>13822.441141394511</v>
      </c>
      <c r="AN35" s="53" t="e">
        <f>#REF!-AM35</f>
        <v>#REF!</v>
      </c>
      <c r="AO35" s="53"/>
    </row>
    <row r="36" spans="1:41">
      <c r="A36" s="8">
        <v>5999</v>
      </c>
      <c r="B36" s="117" t="s">
        <v>97</v>
      </c>
      <c r="C36" s="29">
        <f>C21+C35</f>
        <v>153911.06099999999</v>
      </c>
      <c r="D36" s="66">
        <f>C36/C12</f>
        <v>0.60836575609409027</v>
      </c>
      <c r="E36" s="58">
        <f>E21+E35</f>
        <v>94830.032191742866</v>
      </c>
      <c r="F36" s="66">
        <f>E36/E12</f>
        <v>0.57230175132186223</v>
      </c>
      <c r="G36" s="85">
        <f>G21+G35</f>
        <v>97187.379803768301</v>
      </c>
      <c r="H36" s="66">
        <f>G36/G12</f>
        <v>0.49735587472145337</v>
      </c>
      <c r="I36" s="21">
        <f>I21+I35</f>
        <v>111986.74169888806</v>
      </c>
      <c r="J36" s="66">
        <f>I36/I12</f>
        <v>0.52173294406826798</v>
      </c>
      <c r="K36" s="58">
        <f>K21+K35</f>
        <v>89902.354182599462</v>
      </c>
      <c r="L36" s="66">
        <f>K36/K12</f>
        <v>0.47126209663858265</v>
      </c>
      <c r="M36" s="21">
        <f>M21+M35</f>
        <v>89495.2251699349</v>
      </c>
      <c r="N36" s="66">
        <f>M36/M12</f>
        <v>0.44164674318789043</v>
      </c>
      <c r="O36" s="21">
        <f>O21+O35</f>
        <v>93105.127936383695</v>
      </c>
      <c r="P36" s="66">
        <f>O36/O12</f>
        <v>0.48516054448086493</v>
      </c>
      <c r="Q36" s="21">
        <f>Q21+Q35</f>
        <v>86512.972307989039</v>
      </c>
      <c r="R36" s="66">
        <f>Q36/Q12</f>
        <v>0.48067780678085459</v>
      </c>
      <c r="S36" s="21">
        <f>S21+S35</f>
        <v>72020.67830268947</v>
      </c>
      <c r="T36" s="66">
        <f>S36/S12</f>
        <v>0.44300755580636469</v>
      </c>
      <c r="U36" s="58">
        <f>U21+U35</f>
        <v>120306.6334479345</v>
      </c>
      <c r="V36" s="66">
        <f>U36/U12</f>
        <v>0.51871558062334444</v>
      </c>
      <c r="W36" s="40">
        <f>W21+W35</f>
        <v>70204.79313250148</v>
      </c>
      <c r="X36" s="66">
        <f>W36/W12</f>
        <v>0.45252228731623934</v>
      </c>
      <c r="Y36" s="58">
        <f>Y21+Y35</f>
        <v>103426.13785178144</v>
      </c>
      <c r="Z36" s="224">
        <f>Y36/Y12</f>
        <v>0.47893153312260822</v>
      </c>
      <c r="AA36" s="211">
        <f>AA21+AA35</f>
        <v>1182888.6660262132</v>
      </c>
      <c r="AB36" s="245">
        <f>AA36/AA12</f>
        <v>0.50130148320445678</v>
      </c>
      <c r="AC36" s="246">
        <f>AC35+AC21</f>
        <v>405241.42314033979</v>
      </c>
      <c r="AD36" s="245">
        <f>AC36/AC12</f>
        <v>0.50326161177688111</v>
      </c>
      <c r="AE36" s="75"/>
      <c r="AF36" s="169"/>
      <c r="AG36" s="75"/>
      <c r="AH36" s="246">
        <f>AH35+AH21</f>
        <v>405241.42314033979</v>
      </c>
      <c r="AI36" s="259">
        <f>AH36/AH12</f>
        <v>0.50326161177688111</v>
      </c>
      <c r="AJ36" s="297">
        <f t="shared" si="2"/>
        <v>1993371.5123068928</v>
      </c>
      <c r="AK36" s="1"/>
      <c r="AL36" s="53"/>
      <c r="AM36" s="53">
        <f t="shared" si="17"/>
        <v>8780991.6120440215</v>
      </c>
      <c r="AN36" s="53" t="e">
        <f>#REF!-AM36</f>
        <v>#REF!</v>
      </c>
      <c r="AO36" s="53"/>
    </row>
    <row r="37" spans="1:41" ht="15.75" thickBot="1">
      <c r="A37" s="9"/>
      <c r="B37" s="118" t="s">
        <v>69</v>
      </c>
      <c r="C37" s="28">
        <f>(C16-C36)</f>
        <v>99079.939000000013</v>
      </c>
      <c r="D37" s="67">
        <f>C37/C12</f>
        <v>0.39163424390590973</v>
      </c>
      <c r="E37" s="59">
        <f>(E16-E36)</f>
        <v>70869.324786828554</v>
      </c>
      <c r="F37" s="67">
        <f>E37/E12</f>
        <v>0.42769824867813772</v>
      </c>
      <c r="G37" s="86">
        <f>(G16-G36)</f>
        <v>98220.746938875644</v>
      </c>
      <c r="H37" s="67">
        <f>G37/G12</f>
        <v>0.50264412527854663</v>
      </c>
      <c r="I37" s="22">
        <f>(I16-I36)</f>
        <v>102657.05829897973</v>
      </c>
      <c r="J37" s="67">
        <f>I37/I12</f>
        <v>0.47826705593173197</v>
      </c>
      <c r="K37" s="59">
        <f>(K16-K36)</f>
        <v>100866.97529213401</v>
      </c>
      <c r="L37" s="67">
        <f>K37/K12</f>
        <v>0.52873790336141735</v>
      </c>
      <c r="M37" s="22">
        <f>(M16-M36)</f>
        <v>113144.61436322071</v>
      </c>
      <c r="N37" s="67">
        <f>M37/M12</f>
        <v>0.55835325681210957</v>
      </c>
      <c r="O37" s="22">
        <f>(O16-O36)</f>
        <v>98800.683439948931</v>
      </c>
      <c r="P37" s="67">
        <f>O37/O12</f>
        <v>0.51483945551913513</v>
      </c>
      <c r="Q37" s="22">
        <f>(Q16-Q36)</f>
        <v>93468.23566034784</v>
      </c>
      <c r="R37" s="67">
        <f>Q37/Q12</f>
        <v>0.51932219321914541</v>
      </c>
      <c r="S37" s="22">
        <f>(S16-S36)</f>
        <v>90551.443456265741</v>
      </c>
      <c r="T37" s="67">
        <f>S37/S12</f>
        <v>0.55699244419363525</v>
      </c>
      <c r="U37" s="59">
        <f>(U16-U36)</f>
        <v>111625.15719417637</v>
      </c>
      <c r="V37" s="67">
        <f>U37/U12</f>
        <v>0.48128441937665556</v>
      </c>
      <c r="W37" s="41">
        <f>(W16-W36)</f>
        <v>84936.279694790603</v>
      </c>
      <c r="X37" s="67">
        <f>W37/W12</f>
        <v>0.54747771268376066</v>
      </c>
      <c r="Y37" s="59">
        <f>(Y16-Y36)</f>
        <v>112525.68552774945</v>
      </c>
      <c r="Z37" s="225">
        <f>Y37/Y12</f>
        <v>0.52106846687739172</v>
      </c>
      <c r="AA37" s="288">
        <f>(AA16-AA36)</f>
        <v>1176746.6146533173</v>
      </c>
      <c r="AB37" s="247">
        <f>AA37/AA12</f>
        <v>0.49869851679554328</v>
      </c>
      <c r="AC37" s="243">
        <f>(AC16-AC36)</f>
        <v>399988.72685966024</v>
      </c>
      <c r="AD37" s="247">
        <f>AC37/AC12</f>
        <v>0.49673838822311883</v>
      </c>
      <c r="AE37" s="75"/>
      <c r="AF37" s="169"/>
      <c r="AG37" s="75"/>
      <c r="AH37" s="243">
        <f>(AH16-AH36)</f>
        <v>399988.72685966024</v>
      </c>
      <c r="AI37" s="260">
        <f>AH37/AH12</f>
        <v>0.49673838822311883</v>
      </c>
      <c r="AJ37" s="298">
        <f t="shared" si="2"/>
        <v>1976724.068372638</v>
      </c>
      <c r="AK37" s="1"/>
      <c r="AL37" s="53"/>
      <c r="AM37" s="53">
        <f t="shared" si="17"/>
        <v>9463890.6707449984</v>
      </c>
      <c r="AN37" s="53" t="e">
        <f>#REF!-AM37</f>
        <v>#REF!</v>
      </c>
      <c r="AO37" s="53"/>
    </row>
    <row r="38" spans="1:41" ht="15.75" thickTop="1">
      <c r="A38" s="2">
        <v>6002</v>
      </c>
      <c r="B38" s="112" t="s">
        <v>46</v>
      </c>
      <c r="C38" s="136"/>
      <c r="D38" s="49">
        <f>C38/C12</f>
        <v>0</v>
      </c>
      <c r="E38" s="43"/>
      <c r="F38" s="49">
        <f>E38/E12</f>
        <v>0</v>
      </c>
      <c r="G38" s="80"/>
      <c r="H38" s="49">
        <f>G38/G12</f>
        <v>0</v>
      </c>
      <c r="I38" s="18"/>
      <c r="J38" s="49">
        <f>I38/I12</f>
        <v>0</v>
      </c>
      <c r="K38" s="43"/>
      <c r="L38" s="49">
        <f>K38/K12</f>
        <v>0</v>
      </c>
      <c r="M38" s="18"/>
      <c r="N38" s="49">
        <f>M38/M12</f>
        <v>0</v>
      </c>
      <c r="O38" s="18"/>
      <c r="P38" s="49">
        <f>O38/O12</f>
        <v>0</v>
      </c>
      <c r="Q38" s="18"/>
      <c r="R38" s="49">
        <f>Q38/Q12</f>
        <v>0</v>
      </c>
      <c r="S38" s="18"/>
      <c r="T38" s="49">
        <f>S38/S12</f>
        <v>0</v>
      </c>
      <c r="U38" s="43"/>
      <c r="V38" s="49">
        <f>U38/U12</f>
        <v>0</v>
      </c>
      <c r="W38" s="33"/>
      <c r="X38" s="49">
        <f>W38/W12</f>
        <v>0</v>
      </c>
      <c r="Y38" s="43"/>
      <c r="Z38" s="179">
        <f>Y38/Y12</f>
        <v>0</v>
      </c>
      <c r="AA38" s="286">
        <f>C38+E38+G38+I38+K38+M38+O38+Q38+S38+U38+W38+Y38</f>
        <v>0</v>
      </c>
      <c r="AB38" s="214">
        <f>AA38/AA12</f>
        <v>0</v>
      </c>
      <c r="AC38" s="205">
        <v>0</v>
      </c>
      <c r="AD38" s="214">
        <f>AC38/AC12</f>
        <v>0</v>
      </c>
      <c r="AE38" s="75"/>
      <c r="AF38" s="169"/>
      <c r="AG38" s="75"/>
      <c r="AH38" s="205">
        <v>0</v>
      </c>
      <c r="AI38" s="255">
        <f>AH38/AH12</f>
        <v>0</v>
      </c>
      <c r="AJ38" s="293">
        <f t="shared" si="2"/>
        <v>0</v>
      </c>
      <c r="AK38" s="1"/>
      <c r="AL38" s="53"/>
      <c r="AM38" s="53">
        <f t="shared" si="17"/>
        <v>0</v>
      </c>
      <c r="AN38" s="53" t="e">
        <f>#REF!-AM38</f>
        <v>#REF!</v>
      </c>
      <c r="AO38" s="53"/>
    </row>
    <row r="39" spans="1:41">
      <c r="A39" s="2">
        <v>6003</v>
      </c>
      <c r="B39" s="2" t="s">
        <v>0</v>
      </c>
      <c r="C39" s="18"/>
      <c r="D39" s="49">
        <f>C39/C12</f>
        <v>0</v>
      </c>
      <c r="E39" s="18"/>
      <c r="F39" s="49">
        <f>E39/E12</f>
        <v>0</v>
      </c>
      <c r="G39" s="18">
        <v>0</v>
      </c>
      <c r="H39" s="49">
        <f>G39/G12</f>
        <v>0</v>
      </c>
      <c r="I39" s="18"/>
      <c r="J39" s="49">
        <f>I39/I12</f>
        <v>0</v>
      </c>
      <c r="K39" s="18">
        <v>0</v>
      </c>
      <c r="L39" s="49">
        <f>K39/K12</f>
        <v>0</v>
      </c>
      <c r="M39" s="18"/>
      <c r="N39" s="49">
        <f>M39/M12</f>
        <v>0</v>
      </c>
      <c r="O39" s="18"/>
      <c r="P39" s="49">
        <f>O39/O12</f>
        <v>0</v>
      </c>
      <c r="Q39" s="18"/>
      <c r="R39" s="49">
        <f>Q39/Q12</f>
        <v>0</v>
      </c>
      <c r="S39" s="18">
        <v>0</v>
      </c>
      <c r="T39" s="49">
        <f>S39/S12</f>
        <v>0</v>
      </c>
      <c r="U39" s="18"/>
      <c r="V39" s="49">
        <f>U39/U12</f>
        <v>0</v>
      </c>
      <c r="W39" s="18">
        <v>0</v>
      </c>
      <c r="X39" s="49">
        <f>W39/W12</f>
        <v>0</v>
      </c>
      <c r="Y39" s="18">
        <v>0</v>
      </c>
      <c r="Z39" s="179">
        <f>Y39/Y12</f>
        <v>0</v>
      </c>
      <c r="AA39" s="286">
        <f>C39+E39+G39+I39+K39+M39+O39+Q39+S39+U39+W39+Y39</f>
        <v>0</v>
      </c>
      <c r="AB39" s="214">
        <f>AA39/AA12</f>
        <v>0</v>
      </c>
      <c r="AC39" s="205">
        <v>0</v>
      </c>
      <c r="AD39" s="214">
        <f>AC39/AC12</f>
        <v>0</v>
      </c>
      <c r="AE39" s="75"/>
      <c r="AF39" s="169"/>
      <c r="AG39" s="75"/>
      <c r="AH39" s="205">
        <v>0</v>
      </c>
      <c r="AI39" s="255">
        <f>AH39/AH12</f>
        <v>0</v>
      </c>
      <c r="AJ39" s="293">
        <f t="shared" si="2"/>
        <v>0</v>
      </c>
      <c r="AK39" s="1"/>
      <c r="AL39" s="53"/>
      <c r="AM39" s="53">
        <f t="shared" si="17"/>
        <v>0</v>
      </c>
      <c r="AN39" s="53" t="e">
        <f>#REF!-AM39</f>
        <v>#REF!</v>
      </c>
      <c r="AO39" s="53"/>
    </row>
    <row r="40" spans="1:41">
      <c r="A40" s="2">
        <v>6004</v>
      </c>
      <c r="B40" s="112" t="s">
        <v>1</v>
      </c>
      <c r="C40" s="136"/>
      <c r="D40" s="49">
        <f>C40/C12</f>
        <v>0</v>
      </c>
      <c r="E40" s="43"/>
      <c r="F40" s="49">
        <f>E40/E12</f>
        <v>0</v>
      </c>
      <c r="G40" s="80"/>
      <c r="H40" s="49">
        <f>G40/G12</f>
        <v>0</v>
      </c>
      <c r="I40" s="18"/>
      <c r="J40" s="49">
        <f>I40/I12</f>
        <v>0</v>
      </c>
      <c r="K40" s="43"/>
      <c r="L40" s="49">
        <f>K40/K12</f>
        <v>0</v>
      </c>
      <c r="M40" s="18"/>
      <c r="N40" s="49">
        <f>M40/M12</f>
        <v>0</v>
      </c>
      <c r="O40" s="18"/>
      <c r="P40" s="49">
        <f>O40/O12</f>
        <v>0</v>
      </c>
      <c r="Q40" s="18"/>
      <c r="R40" s="49">
        <f>Q40/Q12</f>
        <v>0</v>
      </c>
      <c r="S40" s="18"/>
      <c r="T40" s="49">
        <f>S40/S12</f>
        <v>0</v>
      </c>
      <c r="U40" s="43"/>
      <c r="V40" s="49">
        <f>U40/U12</f>
        <v>0</v>
      </c>
      <c r="W40" s="33"/>
      <c r="X40" s="49">
        <f>W40/W12</f>
        <v>0</v>
      </c>
      <c r="Y40" s="43"/>
      <c r="Z40" s="179">
        <f>Y40/Y12</f>
        <v>0</v>
      </c>
      <c r="AA40" s="286">
        <f>C40+E40+G40+I40+K40+M40+O40+Q40+S40+U40+W40+Y40</f>
        <v>0</v>
      </c>
      <c r="AB40" s="214">
        <f>AA40/AA12</f>
        <v>0</v>
      </c>
      <c r="AC40" s="205">
        <v>0</v>
      </c>
      <c r="AD40" s="214">
        <f>AC40/AC12</f>
        <v>0</v>
      </c>
      <c r="AE40" s="75"/>
      <c r="AF40" s="169"/>
      <c r="AG40" s="75"/>
      <c r="AH40" s="205">
        <v>0</v>
      </c>
      <c r="AI40" s="255">
        <f>AH40/AH12</f>
        <v>0</v>
      </c>
      <c r="AJ40" s="293">
        <f t="shared" si="2"/>
        <v>0</v>
      </c>
      <c r="AK40" s="1"/>
      <c r="AL40" s="53"/>
      <c r="AM40" s="53">
        <f t="shared" si="17"/>
        <v>0</v>
      </c>
      <c r="AN40" s="53" t="e">
        <f>#REF!-AM40</f>
        <v>#REF!</v>
      </c>
      <c r="AO40" s="53"/>
    </row>
    <row r="41" spans="1:41" ht="15.75" thickBot="1">
      <c r="A41" s="4">
        <v>6099</v>
      </c>
      <c r="B41" s="113" t="s">
        <v>98</v>
      </c>
      <c r="C41" s="27">
        <f>SUM(C38:C40)</f>
        <v>0</v>
      </c>
      <c r="D41" s="68">
        <f>C41/C12</f>
        <v>0</v>
      </c>
      <c r="E41" s="55">
        <f>SUM(E38:E40)</f>
        <v>0</v>
      </c>
      <c r="F41" s="68">
        <f>E41/E12</f>
        <v>0</v>
      </c>
      <c r="G41" s="82">
        <f>SUM(G38:G40)</f>
        <v>0</v>
      </c>
      <c r="H41" s="68">
        <f>G41/G12</f>
        <v>0</v>
      </c>
      <c r="I41" s="20">
        <f>SUM(I38:I40)</f>
        <v>0</v>
      </c>
      <c r="J41" s="68">
        <f>I41/I12</f>
        <v>0</v>
      </c>
      <c r="K41" s="55">
        <f>SUM(K38:K40)</f>
        <v>0</v>
      </c>
      <c r="L41" s="68">
        <f>K41/K12</f>
        <v>0</v>
      </c>
      <c r="M41" s="20">
        <f>SUM(M38:M40)</f>
        <v>0</v>
      </c>
      <c r="N41" s="68">
        <f>M41/M12</f>
        <v>0</v>
      </c>
      <c r="O41" s="20">
        <f>SUM(O38:O40)</f>
        <v>0</v>
      </c>
      <c r="P41" s="68">
        <f>O41/O12</f>
        <v>0</v>
      </c>
      <c r="Q41" s="20">
        <f>SUM(Q38:Q40)</f>
        <v>0</v>
      </c>
      <c r="R41" s="68">
        <f>Q41/Q12</f>
        <v>0</v>
      </c>
      <c r="S41" s="20">
        <f>SUM(S38:S40)</f>
        <v>0</v>
      </c>
      <c r="T41" s="68">
        <f>S41/S12</f>
        <v>0</v>
      </c>
      <c r="U41" s="55">
        <f>SUM(U38:U40)</f>
        <v>0</v>
      </c>
      <c r="V41" s="68">
        <f>U41/U12</f>
        <v>0</v>
      </c>
      <c r="W41" s="34">
        <f>SUM(W38:W40)</f>
        <v>0</v>
      </c>
      <c r="X41" s="68">
        <f>W41/W12</f>
        <v>0</v>
      </c>
      <c r="Y41" s="55">
        <f>SUM(Y38:Y40)</f>
        <v>0</v>
      </c>
      <c r="Z41" s="223">
        <f>Y41/Y12</f>
        <v>0</v>
      </c>
      <c r="AA41" s="287">
        <f>SUM(AA38:AA40)</f>
        <v>0</v>
      </c>
      <c r="AB41" s="245">
        <f>AA41/AA12</f>
        <v>0</v>
      </c>
      <c r="AC41" s="210">
        <v>0</v>
      </c>
      <c r="AD41" s="245">
        <f>AC41/AC12</f>
        <v>0</v>
      </c>
      <c r="AE41" s="75"/>
      <c r="AF41" s="169"/>
      <c r="AG41" s="75"/>
      <c r="AH41" s="210">
        <v>0</v>
      </c>
      <c r="AI41" s="259">
        <f>AH41/AH12</f>
        <v>0</v>
      </c>
      <c r="AJ41" s="293">
        <f t="shared" si="2"/>
        <v>0</v>
      </c>
      <c r="AK41" s="1"/>
      <c r="AL41" s="53"/>
      <c r="AM41" s="53">
        <f t="shared" si="17"/>
        <v>0</v>
      </c>
      <c r="AN41" s="53" t="e">
        <f>#REF!-AM41</f>
        <v>#REF!</v>
      </c>
      <c r="AO41" s="53"/>
    </row>
    <row r="42" spans="1:41" ht="15.75" thickTop="1">
      <c r="A42" s="99">
        <v>6101</v>
      </c>
      <c r="B42" s="111" t="s">
        <v>2</v>
      </c>
      <c r="C42" s="136">
        <v>7587.33</v>
      </c>
      <c r="D42" s="49">
        <f>C42/C12</f>
        <v>2.9990513496527545E-2</v>
      </c>
      <c r="E42" s="136">
        <v>7500</v>
      </c>
      <c r="F42" s="49">
        <f>E42/E12</f>
        <v>4.5262698279329563E-2</v>
      </c>
      <c r="G42" s="136">
        <v>7500</v>
      </c>
      <c r="H42" s="49">
        <f>G42/G12</f>
        <v>3.8381208218006391E-2</v>
      </c>
      <c r="I42" s="136">
        <v>7500</v>
      </c>
      <c r="J42" s="49">
        <f>I42/I12</f>
        <v>3.4941610240195632E-2</v>
      </c>
      <c r="K42" s="136">
        <v>7500</v>
      </c>
      <c r="L42" s="49">
        <f>K42/K12</f>
        <v>3.9314495787402454E-2</v>
      </c>
      <c r="M42" s="136">
        <v>7500</v>
      </c>
      <c r="N42" s="49">
        <f>M42/M12</f>
        <v>3.701147818355266E-2</v>
      </c>
      <c r="O42" s="136">
        <v>7500</v>
      </c>
      <c r="P42" s="49">
        <f>O42/O12</f>
        <v>3.9081672129731869E-2</v>
      </c>
      <c r="Q42" s="136">
        <v>7500</v>
      </c>
      <c r="R42" s="49">
        <f>Q42/Q12</f>
        <v>4.1671017128185044E-2</v>
      </c>
      <c r="S42" s="136">
        <v>7500</v>
      </c>
      <c r="T42" s="49">
        <f>S42/S12</f>
        <v>4.6133370954709006E-2</v>
      </c>
      <c r="U42" s="136">
        <v>7500</v>
      </c>
      <c r="V42" s="49">
        <f>U42/U12</f>
        <v>3.2337093501654091E-2</v>
      </c>
      <c r="W42" s="136">
        <v>7500</v>
      </c>
      <c r="X42" s="49">
        <f>W42/W12</f>
        <v>4.8343097435901039E-2</v>
      </c>
      <c r="Y42" s="136">
        <v>7500</v>
      </c>
      <c r="Z42" s="179">
        <f>Y42/Y12</f>
        <v>3.4729968391231894E-2</v>
      </c>
      <c r="AA42" s="286">
        <f t="shared" ref="AA42:AA69" si="19">C42+E42+G42+I42+K42+M42+O42+Q42+S42+U42+W42+Y42</f>
        <v>90087.33</v>
      </c>
      <c r="AB42" s="214">
        <f>AA42/AA12</f>
        <v>3.8178497642252812E-2</v>
      </c>
      <c r="AC42" s="205">
        <v>90000</v>
      </c>
      <c r="AD42" s="214">
        <f>AC42/AC12</f>
        <v>0.11176928732735603</v>
      </c>
      <c r="AE42" s="75"/>
      <c r="AF42" s="169"/>
      <c r="AG42" s="75"/>
      <c r="AH42" s="205">
        <v>90000</v>
      </c>
      <c r="AI42" s="255">
        <f>AH42/AH12</f>
        <v>0.11176928732735603</v>
      </c>
      <c r="AJ42" s="293">
        <f t="shared" si="2"/>
        <v>270087.33</v>
      </c>
      <c r="AK42" s="1"/>
      <c r="AL42" s="53"/>
      <c r="AM42" s="53">
        <f t="shared" si="17"/>
        <v>705000</v>
      </c>
      <c r="AN42" s="53" t="e">
        <f>#REF!-AM42</f>
        <v>#REF!</v>
      </c>
      <c r="AO42" s="53"/>
    </row>
    <row r="43" spans="1:41">
      <c r="A43" s="99">
        <v>6102</v>
      </c>
      <c r="B43" s="111" t="s">
        <v>3</v>
      </c>
      <c r="C43" s="140">
        <v>800</v>
      </c>
      <c r="D43" s="49">
        <f>C43/C12</f>
        <v>3.1621678241518475E-3</v>
      </c>
      <c r="E43" s="140">
        <v>2000</v>
      </c>
      <c r="F43" s="49">
        <f>E43/E12</f>
        <v>1.2070052874487884E-2</v>
      </c>
      <c r="G43" s="140">
        <v>2000</v>
      </c>
      <c r="H43" s="49">
        <f>G43/G12</f>
        <v>1.0234988858135037E-2</v>
      </c>
      <c r="I43" s="140">
        <v>2000</v>
      </c>
      <c r="J43" s="49">
        <f>I43/I12</f>
        <v>9.3177627307188347E-3</v>
      </c>
      <c r="K43" s="140">
        <v>2000</v>
      </c>
      <c r="L43" s="49">
        <f>K43/K12</f>
        <v>1.0483865543307321E-2</v>
      </c>
      <c r="M43" s="140">
        <v>2000</v>
      </c>
      <c r="N43" s="49">
        <f>M43/M12</f>
        <v>9.8697275156140411E-3</v>
      </c>
      <c r="O43" s="140">
        <v>2000</v>
      </c>
      <c r="P43" s="49">
        <f>O43/O12</f>
        <v>1.0421779234595165E-2</v>
      </c>
      <c r="Q43" s="140">
        <v>2000</v>
      </c>
      <c r="R43" s="49">
        <f>Q43/Q12</f>
        <v>1.1112271234182677E-2</v>
      </c>
      <c r="S43" s="140">
        <v>2000</v>
      </c>
      <c r="T43" s="49">
        <f>S43/S12</f>
        <v>1.2302232254589068E-2</v>
      </c>
      <c r="U43" s="140">
        <v>2000</v>
      </c>
      <c r="V43" s="49">
        <f>U43/U12</f>
        <v>8.6232249337744246E-3</v>
      </c>
      <c r="W43" s="140">
        <v>2000</v>
      </c>
      <c r="X43" s="49">
        <f>W43/W12</f>
        <v>1.2891492649573609E-2</v>
      </c>
      <c r="Y43" s="140">
        <v>2000</v>
      </c>
      <c r="Z43" s="179">
        <f>Y43/Y12</f>
        <v>9.261324904328504E-3</v>
      </c>
      <c r="AA43" s="286">
        <f t="shared" si="19"/>
        <v>22800</v>
      </c>
      <c r="AB43" s="214">
        <f>AA43/AA12</f>
        <v>9.6625102136267561E-3</v>
      </c>
      <c r="AC43" s="206">
        <v>23000</v>
      </c>
      <c r="AD43" s="214">
        <f>AC43/AC12</f>
        <v>2.8563262316990985E-2</v>
      </c>
      <c r="AE43" s="75"/>
      <c r="AF43" s="169"/>
      <c r="AG43" s="75"/>
      <c r="AH43" s="206">
        <v>23000</v>
      </c>
      <c r="AI43" s="255">
        <f>AH43/AH12</f>
        <v>2.8563262316990985E-2</v>
      </c>
      <c r="AJ43" s="293">
        <f t="shared" si="2"/>
        <v>68800</v>
      </c>
      <c r="AK43" s="1"/>
      <c r="AL43" s="53"/>
      <c r="AM43" s="53">
        <f t="shared" si="17"/>
        <v>188000</v>
      </c>
      <c r="AN43" s="53" t="e">
        <f>#REF!-AM43</f>
        <v>#REF!</v>
      </c>
      <c r="AO43" s="53"/>
    </row>
    <row r="44" spans="1:41">
      <c r="A44" s="99">
        <v>6103</v>
      </c>
      <c r="B44" s="111" t="s">
        <v>4</v>
      </c>
      <c r="C44" s="136"/>
      <c r="D44" s="49">
        <f>C44/C12</f>
        <v>0</v>
      </c>
      <c r="E44" s="80"/>
      <c r="F44" s="49">
        <f>E44/E12</f>
        <v>0</v>
      </c>
      <c r="G44" s="80"/>
      <c r="H44" s="49">
        <f>G44/G12</f>
        <v>0</v>
      </c>
      <c r="I44" s="136">
        <v>0</v>
      </c>
      <c r="J44" s="49">
        <f>I44/I12</f>
        <v>0</v>
      </c>
      <c r="K44" s="80">
        <v>0</v>
      </c>
      <c r="L44" s="49">
        <f>K44/K12</f>
        <v>0</v>
      </c>
      <c r="M44" s="136"/>
      <c r="N44" s="49">
        <f>M44/M12</f>
        <v>0</v>
      </c>
      <c r="O44" s="136"/>
      <c r="P44" s="49">
        <f>O44/O12</f>
        <v>0</v>
      </c>
      <c r="Q44" s="136">
        <v>0</v>
      </c>
      <c r="R44" s="49">
        <f>Q44/Q12</f>
        <v>0</v>
      </c>
      <c r="S44" s="136"/>
      <c r="T44" s="49">
        <f>S44/S12</f>
        <v>0</v>
      </c>
      <c r="U44" s="80">
        <v>0</v>
      </c>
      <c r="V44" s="49">
        <f>U44/U12</f>
        <v>0</v>
      </c>
      <c r="W44" s="80"/>
      <c r="X44" s="49">
        <f>W44/W12</f>
        <v>0</v>
      </c>
      <c r="Y44" s="80"/>
      <c r="Z44" s="179">
        <f>Y44/Y12</f>
        <v>0</v>
      </c>
      <c r="AA44" s="286">
        <f t="shared" si="19"/>
        <v>0</v>
      </c>
      <c r="AB44" s="214">
        <f>AA44/AA12</f>
        <v>0</v>
      </c>
      <c r="AC44" s="205">
        <v>0</v>
      </c>
      <c r="AD44" s="214">
        <f>AC44/AC12</f>
        <v>0</v>
      </c>
      <c r="AE44" s="75"/>
      <c r="AF44" s="169"/>
      <c r="AG44" s="75"/>
      <c r="AH44" s="205">
        <v>0</v>
      </c>
      <c r="AI44" s="255">
        <f>AH44/AH12</f>
        <v>0</v>
      </c>
      <c r="AJ44" s="293">
        <f t="shared" si="2"/>
        <v>0</v>
      </c>
      <c r="AK44" s="1"/>
      <c r="AL44" s="53"/>
      <c r="AM44" s="53">
        <f t="shared" si="17"/>
        <v>0</v>
      </c>
      <c r="AN44" s="53" t="e">
        <f>#REF!-AM44</f>
        <v>#REF!</v>
      </c>
      <c r="AO44" s="53"/>
    </row>
    <row r="45" spans="1:41">
      <c r="A45" s="99">
        <v>6104</v>
      </c>
      <c r="B45" s="111" t="s">
        <v>5</v>
      </c>
      <c r="C45" s="140">
        <v>159.62899999999999</v>
      </c>
      <c r="D45" s="49">
        <f>C45/C12</f>
        <v>6.30967109501919E-4</v>
      </c>
      <c r="E45" s="140">
        <v>200</v>
      </c>
      <c r="F45" s="49">
        <f>E45/E12</f>
        <v>1.2070052874487884E-3</v>
      </c>
      <c r="G45" s="140">
        <v>200</v>
      </c>
      <c r="H45" s="49">
        <f>G45/G12</f>
        <v>1.0234988858135038E-3</v>
      </c>
      <c r="I45" s="140">
        <v>200</v>
      </c>
      <c r="J45" s="49">
        <f>I45/I12</f>
        <v>9.3177627307188351E-4</v>
      </c>
      <c r="K45" s="140">
        <v>200</v>
      </c>
      <c r="L45" s="49">
        <f>K45/K12</f>
        <v>1.048386554330732E-3</v>
      </c>
      <c r="M45" s="140">
        <v>200</v>
      </c>
      <c r="N45" s="49">
        <f>M45/M12</f>
        <v>9.8697275156140428E-4</v>
      </c>
      <c r="O45" s="140">
        <v>200</v>
      </c>
      <c r="P45" s="49">
        <f>O45/O12</f>
        <v>1.0421779234595166E-3</v>
      </c>
      <c r="Q45" s="140">
        <v>200</v>
      </c>
      <c r="R45" s="49">
        <f>Q45/Q12</f>
        <v>1.1112271234182678E-3</v>
      </c>
      <c r="S45" s="140">
        <v>200</v>
      </c>
      <c r="T45" s="49">
        <f>S45/S12</f>
        <v>1.2302232254589069E-3</v>
      </c>
      <c r="U45" s="140">
        <v>200</v>
      </c>
      <c r="V45" s="49">
        <f>U45/U12</f>
        <v>8.6232249337744242E-4</v>
      </c>
      <c r="W45" s="140">
        <v>200</v>
      </c>
      <c r="X45" s="49">
        <f>W45/W12</f>
        <v>1.289149264957361E-3</v>
      </c>
      <c r="Y45" s="140">
        <v>200</v>
      </c>
      <c r="Z45" s="179">
        <f>Y45/Y12</f>
        <v>9.2613249043285045E-4</v>
      </c>
      <c r="AA45" s="286">
        <f t="shared" si="19"/>
        <v>2359.6289999999999</v>
      </c>
      <c r="AB45" s="214">
        <f>AA45/AA12</f>
        <v>9.9999733828376697E-4</v>
      </c>
      <c r="AC45" s="207">
        <v>2359.6289999999999</v>
      </c>
      <c r="AD45" s="214">
        <f>AC45/AC12</f>
        <v>2.9303783520773529E-3</v>
      </c>
      <c r="AE45" s="75"/>
      <c r="AF45" s="169"/>
      <c r="AG45" s="75"/>
      <c r="AH45" s="207">
        <v>2359.6289999999999</v>
      </c>
      <c r="AI45" s="255">
        <f>AH45/AH12</f>
        <v>2.9303783520773529E-3</v>
      </c>
      <c r="AJ45" s="293">
        <f t="shared" si="2"/>
        <v>7078.8869999999997</v>
      </c>
      <c r="AK45" s="1"/>
      <c r="AL45" s="53"/>
      <c r="AM45" s="53">
        <f t="shared" si="17"/>
        <v>18800</v>
      </c>
      <c r="AN45" s="53" t="e">
        <f>#REF!-AM45</f>
        <v>#REF!</v>
      </c>
      <c r="AO45" s="53"/>
    </row>
    <row r="46" spans="1:41">
      <c r="A46" s="99">
        <v>6105</v>
      </c>
      <c r="B46" s="111" t="s">
        <v>6</v>
      </c>
      <c r="C46" s="140"/>
      <c r="D46" s="49">
        <f>C46/C12</f>
        <v>0</v>
      </c>
      <c r="E46" s="54"/>
      <c r="F46" s="49">
        <f>E46/E12</f>
        <v>0</v>
      </c>
      <c r="G46" s="79"/>
      <c r="H46" s="49">
        <f>G46/G12</f>
        <v>0</v>
      </c>
      <c r="I46" s="23"/>
      <c r="J46" s="49">
        <f>I46/I12</f>
        <v>0</v>
      </c>
      <c r="K46" s="54"/>
      <c r="L46" s="49">
        <f>K46/K12</f>
        <v>0</v>
      </c>
      <c r="M46" s="23"/>
      <c r="N46" s="49">
        <f>M46/M12</f>
        <v>0</v>
      </c>
      <c r="O46" s="23"/>
      <c r="P46" s="49">
        <f>O46/O12</f>
        <v>0</v>
      </c>
      <c r="Q46" s="23"/>
      <c r="R46" s="49">
        <f>Q46/Q12</f>
        <v>0</v>
      </c>
      <c r="S46" s="23">
        <v>0</v>
      </c>
      <c r="T46" s="49">
        <f>S46/S12</f>
        <v>0</v>
      </c>
      <c r="U46" s="54"/>
      <c r="V46" s="49">
        <f>U46/U12</f>
        <v>0</v>
      </c>
      <c r="W46" s="32"/>
      <c r="X46" s="49">
        <f>W46/W12</f>
        <v>0</v>
      </c>
      <c r="Y46" s="54">
        <v>0</v>
      </c>
      <c r="Z46" s="179">
        <f>Y46/Y12</f>
        <v>0</v>
      </c>
      <c r="AA46" s="286">
        <f t="shared" si="19"/>
        <v>0</v>
      </c>
      <c r="AB46" s="214">
        <f>AA46/AA12</f>
        <v>0</v>
      </c>
      <c r="AC46" s="207">
        <v>0</v>
      </c>
      <c r="AD46" s="214">
        <f>AC46/AC12</f>
        <v>0</v>
      </c>
      <c r="AE46" s="75"/>
      <c r="AF46" s="169"/>
      <c r="AG46" s="75"/>
      <c r="AH46" s="207">
        <v>0</v>
      </c>
      <c r="AI46" s="255">
        <f>AH46/AH12</f>
        <v>0</v>
      </c>
      <c r="AJ46" s="293">
        <f t="shared" si="2"/>
        <v>0</v>
      </c>
      <c r="AK46" s="1"/>
      <c r="AL46" s="53"/>
      <c r="AM46" s="53">
        <f t="shared" si="17"/>
        <v>0</v>
      </c>
      <c r="AN46" s="53" t="e">
        <f>#REF!-AM46</f>
        <v>#REF!</v>
      </c>
      <c r="AO46" s="53"/>
    </row>
    <row r="47" spans="1:41">
      <c r="A47" s="99">
        <v>6106</v>
      </c>
      <c r="B47" s="111" t="s">
        <v>7</v>
      </c>
      <c r="C47" s="23"/>
      <c r="D47" s="49">
        <f>C47/C12</f>
        <v>0</v>
      </c>
      <c r="E47" s="23"/>
      <c r="F47" s="49">
        <f>E47/E12</f>
        <v>0</v>
      </c>
      <c r="G47" s="23"/>
      <c r="H47" s="49">
        <f>G47/G12</f>
        <v>0</v>
      </c>
      <c r="I47" s="23"/>
      <c r="J47" s="49">
        <f>I47/I12</f>
        <v>0</v>
      </c>
      <c r="K47" s="23"/>
      <c r="L47" s="49">
        <f>K47/K12</f>
        <v>0</v>
      </c>
      <c r="M47" s="23">
        <v>0</v>
      </c>
      <c r="N47" s="49">
        <f>M47/M12</f>
        <v>0</v>
      </c>
      <c r="O47" s="23">
        <v>0</v>
      </c>
      <c r="P47" s="49">
        <f>O47/O12</f>
        <v>0</v>
      </c>
      <c r="Q47" s="23">
        <v>0</v>
      </c>
      <c r="R47" s="49">
        <f>Q47/Q12</f>
        <v>0</v>
      </c>
      <c r="S47" s="23">
        <v>0</v>
      </c>
      <c r="T47" s="49">
        <f>S47/S12</f>
        <v>0</v>
      </c>
      <c r="U47" s="23">
        <v>0</v>
      </c>
      <c r="V47" s="49">
        <f>U47/U12</f>
        <v>0</v>
      </c>
      <c r="W47" s="23"/>
      <c r="X47" s="49">
        <f>W47/W12</f>
        <v>0</v>
      </c>
      <c r="Y47" s="23"/>
      <c r="Z47" s="179">
        <f>Y47/Y12</f>
        <v>0</v>
      </c>
      <c r="AA47" s="286">
        <f t="shared" si="19"/>
        <v>0</v>
      </c>
      <c r="AB47" s="214">
        <f>AA47/AA12</f>
        <v>0</v>
      </c>
      <c r="AC47" s="207">
        <v>0</v>
      </c>
      <c r="AD47" s="214">
        <f>AC47/AC12</f>
        <v>0</v>
      </c>
      <c r="AE47" s="75"/>
      <c r="AF47" s="169"/>
      <c r="AG47" s="75"/>
      <c r="AH47" s="207">
        <v>0</v>
      </c>
      <c r="AI47" s="255">
        <f>AH47/AH12</f>
        <v>0</v>
      </c>
      <c r="AJ47" s="293">
        <f t="shared" si="2"/>
        <v>0</v>
      </c>
      <c r="AK47" s="1"/>
      <c r="AL47" s="53"/>
      <c r="AM47" s="53">
        <f t="shared" si="17"/>
        <v>0</v>
      </c>
      <c r="AN47" s="53" t="e">
        <f>#REF!-AM47</f>
        <v>#REF!</v>
      </c>
      <c r="AO47" s="53"/>
    </row>
    <row r="48" spans="1:41">
      <c r="A48" s="99">
        <v>6107</v>
      </c>
      <c r="B48" s="111" t="s">
        <v>8</v>
      </c>
      <c r="C48" s="23"/>
      <c r="D48" s="49">
        <f>C48/C12</f>
        <v>0</v>
      </c>
      <c r="E48" s="23"/>
      <c r="F48" s="49">
        <f>E48/E12</f>
        <v>0</v>
      </c>
      <c r="G48" s="23"/>
      <c r="H48" s="49">
        <f>G48/G12</f>
        <v>0</v>
      </c>
      <c r="I48" s="23"/>
      <c r="J48" s="49">
        <f>I48/I12</f>
        <v>0</v>
      </c>
      <c r="K48" s="23"/>
      <c r="L48" s="49">
        <f>K48/K12</f>
        <v>0</v>
      </c>
      <c r="M48" s="23">
        <v>0</v>
      </c>
      <c r="N48" s="49">
        <f>M48/M12</f>
        <v>0</v>
      </c>
      <c r="O48" s="23">
        <v>0</v>
      </c>
      <c r="P48" s="49">
        <f>O48/O12</f>
        <v>0</v>
      </c>
      <c r="Q48" s="23"/>
      <c r="R48" s="49">
        <f>Q48/Q12</f>
        <v>0</v>
      </c>
      <c r="S48" s="23"/>
      <c r="T48" s="49">
        <f>S48/S12</f>
        <v>0</v>
      </c>
      <c r="U48" s="23"/>
      <c r="V48" s="49">
        <f>U48/U12</f>
        <v>0</v>
      </c>
      <c r="W48" s="23"/>
      <c r="X48" s="49">
        <f>W48/W12</f>
        <v>0</v>
      </c>
      <c r="Y48" s="23"/>
      <c r="Z48" s="179">
        <f>Y48/Y12</f>
        <v>0</v>
      </c>
      <c r="AA48" s="286">
        <f t="shared" si="19"/>
        <v>0</v>
      </c>
      <c r="AB48" s="214">
        <f>AA48/AA12</f>
        <v>0</v>
      </c>
      <c r="AC48" s="207">
        <v>0</v>
      </c>
      <c r="AD48" s="214">
        <f>AC48/AC12</f>
        <v>0</v>
      </c>
      <c r="AE48" s="75"/>
      <c r="AF48" s="169"/>
      <c r="AG48" s="75"/>
      <c r="AH48" s="207">
        <v>0</v>
      </c>
      <c r="AI48" s="255">
        <f>AH48/AH12</f>
        <v>0</v>
      </c>
      <c r="AJ48" s="293">
        <f t="shared" si="2"/>
        <v>0</v>
      </c>
      <c r="AK48" s="1"/>
      <c r="AL48" s="53"/>
      <c r="AM48" s="53">
        <f t="shared" si="17"/>
        <v>0</v>
      </c>
      <c r="AN48" s="53" t="e">
        <f>#REF!-AM48</f>
        <v>#REF!</v>
      </c>
      <c r="AO48" s="53"/>
    </row>
    <row r="49" spans="1:41">
      <c r="A49" s="99">
        <v>6108</v>
      </c>
      <c r="B49" s="111" t="s">
        <v>9</v>
      </c>
      <c r="C49" s="23"/>
      <c r="D49" s="49">
        <f>C49/C12</f>
        <v>0</v>
      </c>
      <c r="E49" s="23"/>
      <c r="F49" s="49">
        <f>E49/E12</f>
        <v>0</v>
      </c>
      <c r="G49" s="23"/>
      <c r="H49" s="49">
        <f>G49/G12</f>
        <v>0</v>
      </c>
      <c r="I49" s="23">
        <v>0</v>
      </c>
      <c r="J49" s="49">
        <f>I49/I12</f>
        <v>0</v>
      </c>
      <c r="K49" s="23">
        <v>0</v>
      </c>
      <c r="L49" s="49">
        <f>K49/K12</f>
        <v>0</v>
      </c>
      <c r="M49" s="23"/>
      <c r="N49" s="49">
        <f>M49/M12</f>
        <v>0</v>
      </c>
      <c r="O49" s="23"/>
      <c r="P49" s="49">
        <f>O49/O12</f>
        <v>0</v>
      </c>
      <c r="Q49" s="23"/>
      <c r="R49" s="49">
        <f>Q49/Q12</f>
        <v>0</v>
      </c>
      <c r="S49" s="23"/>
      <c r="T49" s="49">
        <f>S49/S12</f>
        <v>0</v>
      </c>
      <c r="U49" s="23"/>
      <c r="V49" s="49">
        <f>U49/U12</f>
        <v>0</v>
      </c>
      <c r="W49" s="23"/>
      <c r="X49" s="49">
        <f>W49/W12</f>
        <v>0</v>
      </c>
      <c r="Y49" s="23"/>
      <c r="Z49" s="179">
        <f>Y49/Y12</f>
        <v>0</v>
      </c>
      <c r="AA49" s="286">
        <f t="shared" si="19"/>
        <v>0</v>
      </c>
      <c r="AB49" s="214">
        <f>AA49/AA12</f>
        <v>0</v>
      </c>
      <c r="AC49" s="207">
        <v>0</v>
      </c>
      <c r="AD49" s="214">
        <f>AC49/AC12</f>
        <v>0</v>
      </c>
      <c r="AE49" s="75"/>
      <c r="AF49" s="169"/>
      <c r="AG49" s="75"/>
      <c r="AH49" s="207">
        <v>0</v>
      </c>
      <c r="AI49" s="255">
        <f>AH49/AH12</f>
        <v>0</v>
      </c>
      <c r="AJ49" s="293">
        <f t="shared" si="2"/>
        <v>0</v>
      </c>
      <c r="AK49" s="1"/>
      <c r="AL49" s="53"/>
      <c r="AM49" s="53">
        <f t="shared" si="17"/>
        <v>0</v>
      </c>
      <c r="AN49" s="53" t="e">
        <f>#REF!-AM49</f>
        <v>#REF!</v>
      </c>
      <c r="AO49" s="53"/>
    </row>
    <row r="50" spans="1:41">
      <c r="A50" s="99">
        <v>6109</v>
      </c>
      <c r="B50" s="111" t="s">
        <v>79</v>
      </c>
      <c r="C50" s="140"/>
      <c r="D50" s="49">
        <f>C50/C12</f>
        <v>0</v>
      </c>
      <c r="E50" s="140"/>
      <c r="F50" s="49">
        <f>E50/E12</f>
        <v>0</v>
      </c>
      <c r="G50" s="140"/>
      <c r="H50" s="49">
        <f>G50/G12</f>
        <v>0</v>
      </c>
      <c r="I50" s="140"/>
      <c r="J50" s="49">
        <f>I50/I12</f>
        <v>0</v>
      </c>
      <c r="K50" s="140"/>
      <c r="L50" s="49">
        <f>K50/K12</f>
        <v>0</v>
      </c>
      <c r="M50" s="140"/>
      <c r="N50" s="49">
        <f>M50/M12</f>
        <v>0</v>
      </c>
      <c r="O50" s="140"/>
      <c r="P50" s="49">
        <f>O50/O12</f>
        <v>0</v>
      </c>
      <c r="Q50" s="140"/>
      <c r="R50" s="49">
        <f>Q50/Q12</f>
        <v>0</v>
      </c>
      <c r="S50" s="140"/>
      <c r="T50" s="49">
        <f>S50/S12</f>
        <v>0</v>
      </c>
      <c r="U50" s="140"/>
      <c r="V50" s="49">
        <f>U50/U12</f>
        <v>0</v>
      </c>
      <c r="W50" s="140"/>
      <c r="X50" s="49">
        <f>W50/W12</f>
        <v>0</v>
      </c>
      <c r="Y50" s="140"/>
      <c r="Z50" s="179">
        <f>Y50/Y12</f>
        <v>0</v>
      </c>
      <c r="AA50" s="286">
        <f t="shared" si="19"/>
        <v>0</v>
      </c>
      <c r="AB50" s="214">
        <f>AA50/AA12</f>
        <v>0</v>
      </c>
      <c r="AC50" s="207">
        <v>0</v>
      </c>
      <c r="AD50" s="214">
        <f>AC50/AC12</f>
        <v>0</v>
      </c>
      <c r="AE50" s="75"/>
      <c r="AF50" s="169"/>
      <c r="AG50" s="75"/>
      <c r="AH50" s="207">
        <v>0</v>
      </c>
      <c r="AI50" s="255">
        <f>AH50/AH12</f>
        <v>0</v>
      </c>
      <c r="AJ50" s="293">
        <f t="shared" si="2"/>
        <v>0</v>
      </c>
      <c r="AK50" s="1"/>
      <c r="AL50" s="53"/>
      <c r="AM50" s="53">
        <f t="shared" si="17"/>
        <v>0</v>
      </c>
      <c r="AN50" s="53" t="e">
        <f>#REF!-AM50</f>
        <v>#REF!</v>
      </c>
      <c r="AO50" s="53"/>
    </row>
    <row r="51" spans="1:41">
      <c r="A51" s="99">
        <v>6110</v>
      </c>
      <c r="B51" s="111" t="s">
        <v>10</v>
      </c>
      <c r="C51" s="23">
        <v>13</v>
      </c>
      <c r="D51" s="49">
        <f>C111/C12</f>
        <v>5.929064670284714E-5</v>
      </c>
      <c r="E51" s="23">
        <v>50</v>
      </c>
      <c r="F51" s="49">
        <f>E111/E12</f>
        <v>0</v>
      </c>
      <c r="G51" s="23">
        <v>50</v>
      </c>
      <c r="H51" s="49">
        <f>G111/G12</f>
        <v>0</v>
      </c>
      <c r="I51" s="23">
        <v>50</v>
      </c>
      <c r="J51" s="49">
        <f>I111/I12</f>
        <v>0</v>
      </c>
      <c r="K51" s="23">
        <v>50</v>
      </c>
      <c r="L51" s="49">
        <f>K111/K12</f>
        <v>0</v>
      </c>
      <c r="M51" s="23">
        <v>50</v>
      </c>
      <c r="N51" s="49">
        <f>M111/M12</f>
        <v>0</v>
      </c>
      <c r="O51" s="23">
        <v>50</v>
      </c>
      <c r="P51" s="49">
        <f>O111/O12</f>
        <v>0</v>
      </c>
      <c r="Q51" s="23">
        <v>50</v>
      </c>
      <c r="R51" s="49">
        <f>Q111/Q12</f>
        <v>0</v>
      </c>
      <c r="S51" s="23">
        <v>50</v>
      </c>
      <c r="T51" s="49">
        <f>S111/S12</f>
        <v>0</v>
      </c>
      <c r="U51" s="23">
        <v>50</v>
      </c>
      <c r="V51" s="49">
        <f>U111/U12</f>
        <v>0</v>
      </c>
      <c r="W51" s="23">
        <v>50</v>
      </c>
      <c r="X51" s="49">
        <f>W111/W12</f>
        <v>0</v>
      </c>
      <c r="Y51" s="23">
        <v>30</v>
      </c>
      <c r="Z51" s="179">
        <f t="shared" ref="Z51" si="20">Y51/Y$12</f>
        <v>1.3891987356492758E-4</v>
      </c>
      <c r="AA51" s="286">
        <f t="shared" si="19"/>
        <v>543</v>
      </c>
      <c r="AB51" s="214">
        <f>AA51/AA12</f>
        <v>2.3012030903505826E-4</v>
      </c>
      <c r="AC51" s="207">
        <v>600</v>
      </c>
      <c r="AD51" s="214">
        <f>AC51/AC12</f>
        <v>7.4512858218237356E-4</v>
      </c>
      <c r="AE51" s="75"/>
      <c r="AF51" s="169"/>
      <c r="AG51" s="75"/>
      <c r="AH51" s="207">
        <v>600</v>
      </c>
      <c r="AI51" s="255">
        <f>AH51/AH12</f>
        <v>7.4512858218237356E-4</v>
      </c>
      <c r="AJ51" s="293">
        <f t="shared" si="2"/>
        <v>1743</v>
      </c>
      <c r="AK51" s="1"/>
      <c r="AL51" s="53"/>
      <c r="AM51" s="53">
        <f t="shared" si="17"/>
        <v>4512</v>
      </c>
      <c r="AN51" s="53" t="e">
        <f>#REF!-AM51</f>
        <v>#REF!</v>
      </c>
      <c r="AO51" s="53"/>
    </row>
    <row r="52" spans="1:41">
      <c r="A52" s="99">
        <v>6111</v>
      </c>
      <c r="B52" s="111" t="s">
        <v>11</v>
      </c>
      <c r="C52" s="136"/>
      <c r="D52" s="49">
        <f>C52/C12</f>
        <v>0</v>
      </c>
      <c r="E52" s="80"/>
      <c r="F52" s="49">
        <f>E52/E12</f>
        <v>0</v>
      </c>
      <c r="G52" s="80"/>
      <c r="H52" s="49">
        <f>G52/G12</f>
        <v>0</v>
      </c>
      <c r="I52" s="136"/>
      <c r="J52" s="49">
        <f>I52/I12</f>
        <v>0</v>
      </c>
      <c r="K52" s="80"/>
      <c r="L52" s="49">
        <f>K52/K12</f>
        <v>0</v>
      </c>
      <c r="M52" s="136"/>
      <c r="N52" s="49">
        <f>M52/M12</f>
        <v>0</v>
      </c>
      <c r="O52" s="136"/>
      <c r="P52" s="49">
        <f>O52/O12</f>
        <v>0</v>
      </c>
      <c r="Q52" s="136"/>
      <c r="R52" s="49">
        <f>Q52/Q12</f>
        <v>0</v>
      </c>
      <c r="S52" s="136"/>
      <c r="T52" s="49">
        <f>S52/S12</f>
        <v>0</v>
      </c>
      <c r="U52" s="80"/>
      <c r="V52" s="49">
        <f>U52/U12</f>
        <v>0</v>
      </c>
      <c r="W52" s="80"/>
      <c r="X52" s="49">
        <f>W52/W12</f>
        <v>0</v>
      </c>
      <c r="Y52" s="80"/>
      <c r="Z52" s="179">
        <f>Y52/Y12</f>
        <v>0</v>
      </c>
      <c r="AA52" s="286">
        <f t="shared" si="19"/>
        <v>0</v>
      </c>
      <c r="AB52" s="214">
        <f>AA52/AA12</f>
        <v>0</v>
      </c>
      <c r="AC52" s="205">
        <v>0</v>
      </c>
      <c r="AD52" s="214">
        <f>AC52/AC12</f>
        <v>0</v>
      </c>
      <c r="AE52" s="75"/>
      <c r="AF52" s="169"/>
      <c r="AG52" s="75"/>
      <c r="AH52" s="205">
        <v>0</v>
      </c>
      <c r="AI52" s="255">
        <f>AH52/AH12</f>
        <v>0</v>
      </c>
      <c r="AJ52" s="293">
        <f t="shared" si="2"/>
        <v>0</v>
      </c>
      <c r="AK52" s="1"/>
      <c r="AL52" s="53"/>
      <c r="AM52" s="53">
        <f t="shared" si="17"/>
        <v>0</v>
      </c>
      <c r="AN52" s="53" t="e">
        <f>#REF!-AM52</f>
        <v>#REF!</v>
      </c>
      <c r="AO52" s="53"/>
    </row>
    <row r="53" spans="1:41">
      <c r="A53" s="99">
        <v>6112</v>
      </c>
      <c r="B53" s="111" t="s">
        <v>12</v>
      </c>
      <c r="C53" s="136">
        <v>430</v>
      </c>
      <c r="D53" s="49">
        <f>C53/C12</f>
        <v>1.699665205481618E-3</v>
      </c>
      <c r="E53" s="136">
        <v>430</v>
      </c>
      <c r="F53" s="49">
        <f>E53/E12</f>
        <v>2.5950613680148951E-3</v>
      </c>
      <c r="G53" s="136">
        <v>430</v>
      </c>
      <c r="H53" s="49">
        <f>G53/G12</f>
        <v>2.2005226044990332E-3</v>
      </c>
      <c r="I53" s="136">
        <v>430</v>
      </c>
      <c r="J53" s="49">
        <f>I53/I12</f>
        <v>2.0033189871045496E-3</v>
      </c>
      <c r="K53" s="136">
        <v>430</v>
      </c>
      <c r="L53" s="49">
        <f>K53/K12</f>
        <v>2.254031091811074E-3</v>
      </c>
      <c r="M53" s="136">
        <v>430</v>
      </c>
      <c r="N53" s="49">
        <f>M53/M12</f>
        <v>2.1219914158570191E-3</v>
      </c>
      <c r="O53" s="136">
        <v>430</v>
      </c>
      <c r="P53" s="49">
        <f>O53/O12</f>
        <v>2.2406825354379604E-3</v>
      </c>
      <c r="Q53" s="136">
        <v>430</v>
      </c>
      <c r="R53" s="49">
        <f>Q53/Q12</f>
        <v>2.3891383153492756E-3</v>
      </c>
      <c r="S53" s="136">
        <v>430</v>
      </c>
      <c r="T53" s="49">
        <f>S53/S12</f>
        <v>2.6449799347366496E-3</v>
      </c>
      <c r="U53" s="136">
        <v>430</v>
      </c>
      <c r="V53" s="49">
        <f>U53/U12</f>
        <v>1.8539933607615011E-3</v>
      </c>
      <c r="W53" s="136">
        <v>430</v>
      </c>
      <c r="X53" s="49">
        <f>W53/W12</f>
        <v>2.771670919658326E-3</v>
      </c>
      <c r="Y53" s="136">
        <v>430</v>
      </c>
      <c r="Z53" s="179">
        <f>Y53/Y12</f>
        <v>1.9911848544306283E-3</v>
      </c>
      <c r="AA53" s="286">
        <f t="shared" si="19"/>
        <v>5160</v>
      </c>
      <c r="AB53" s="214">
        <f>AA53/AA12</f>
        <v>2.1867786272944762E-3</v>
      </c>
      <c r="AC53" s="205">
        <v>5160</v>
      </c>
      <c r="AD53" s="214">
        <f>AC53/AC12</f>
        <v>6.4081058067684124E-3</v>
      </c>
      <c r="AE53" s="75"/>
      <c r="AF53" s="169"/>
      <c r="AG53" s="75"/>
      <c r="AH53" s="205">
        <v>5160</v>
      </c>
      <c r="AI53" s="255">
        <f>AH53/AH12</f>
        <v>6.4081058067684124E-3</v>
      </c>
      <c r="AJ53" s="293">
        <f t="shared" si="2"/>
        <v>15480</v>
      </c>
      <c r="AK53" s="1"/>
      <c r="AL53" s="53"/>
      <c r="AM53" s="53">
        <f t="shared" si="17"/>
        <v>40420</v>
      </c>
      <c r="AN53" s="53" t="e">
        <f>#REF!-AM53</f>
        <v>#REF!</v>
      </c>
      <c r="AO53" s="53"/>
    </row>
    <row r="54" spans="1:41">
      <c r="A54" s="99">
        <v>6113</v>
      </c>
      <c r="B54" s="111" t="s">
        <v>13</v>
      </c>
      <c r="C54" s="136"/>
      <c r="D54" s="49">
        <f>C54/C12</f>
        <v>0</v>
      </c>
      <c r="E54" s="43"/>
      <c r="F54" s="49">
        <f>E54/E12</f>
        <v>0</v>
      </c>
      <c r="G54" s="80"/>
      <c r="H54" s="49">
        <f>G54/G12</f>
        <v>0</v>
      </c>
      <c r="I54" s="18"/>
      <c r="J54" s="49">
        <f>I54/I12</f>
        <v>0</v>
      </c>
      <c r="K54" s="43"/>
      <c r="L54" s="49">
        <f>K54/K12</f>
        <v>0</v>
      </c>
      <c r="M54" s="18"/>
      <c r="N54" s="49">
        <f>M54/M12</f>
        <v>0</v>
      </c>
      <c r="O54" s="18"/>
      <c r="P54" s="49">
        <f>O54/O12</f>
        <v>0</v>
      </c>
      <c r="Q54" s="18">
        <v>0</v>
      </c>
      <c r="R54" s="49">
        <f>Q54/Q12</f>
        <v>0</v>
      </c>
      <c r="S54" s="18"/>
      <c r="T54" s="49">
        <f>S54/S12</f>
        <v>0</v>
      </c>
      <c r="U54" s="43"/>
      <c r="V54" s="49">
        <f>U54/U12</f>
        <v>0</v>
      </c>
      <c r="W54" s="33">
        <v>0</v>
      </c>
      <c r="X54" s="49">
        <f>W54/W12</f>
        <v>0</v>
      </c>
      <c r="Y54" s="43"/>
      <c r="Z54" s="179">
        <f>Y54/Y12</f>
        <v>0</v>
      </c>
      <c r="AA54" s="286">
        <f t="shared" si="19"/>
        <v>0</v>
      </c>
      <c r="AB54" s="214">
        <f>AA54/AA12</f>
        <v>0</v>
      </c>
      <c r="AC54" s="205">
        <v>0</v>
      </c>
      <c r="AD54" s="214">
        <f>AC54/AC12</f>
        <v>0</v>
      </c>
      <c r="AE54" s="75"/>
      <c r="AF54" s="169"/>
      <c r="AG54" s="75"/>
      <c r="AH54" s="205">
        <v>0</v>
      </c>
      <c r="AI54" s="255">
        <f>AH54/AH12</f>
        <v>0</v>
      </c>
      <c r="AJ54" s="293">
        <f t="shared" si="2"/>
        <v>0</v>
      </c>
      <c r="AK54" s="1"/>
      <c r="AL54" s="53"/>
      <c r="AM54" s="53">
        <f t="shared" si="17"/>
        <v>0</v>
      </c>
      <c r="AN54" s="53" t="e">
        <f>#REF!-AM54</f>
        <v>#REF!</v>
      </c>
      <c r="AO54" s="53"/>
    </row>
    <row r="55" spans="1:41">
      <c r="A55" s="99">
        <v>6114</v>
      </c>
      <c r="B55" s="111" t="s">
        <v>88</v>
      </c>
      <c r="C55" s="23">
        <v>0</v>
      </c>
      <c r="D55" s="49">
        <f>C55/C12</f>
        <v>0</v>
      </c>
      <c r="E55" s="23">
        <v>250</v>
      </c>
      <c r="F55" s="49">
        <f>E55/E12</f>
        <v>1.5087566093109856E-3</v>
      </c>
      <c r="G55" s="23">
        <v>250</v>
      </c>
      <c r="H55" s="49">
        <f>G55/G12</f>
        <v>1.2793736072668797E-3</v>
      </c>
      <c r="I55" s="23">
        <v>250</v>
      </c>
      <c r="J55" s="49">
        <f>I55/I12</f>
        <v>1.1647203413398543E-3</v>
      </c>
      <c r="K55" s="23">
        <v>250</v>
      </c>
      <c r="L55" s="49">
        <f>K55/K12</f>
        <v>1.3104831929134152E-3</v>
      </c>
      <c r="M55" s="23">
        <v>250</v>
      </c>
      <c r="N55" s="49">
        <f>M55/M12</f>
        <v>1.2337159394517551E-3</v>
      </c>
      <c r="O55" s="23">
        <v>250</v>
      </c>
      <c r="P55" s="49">
        <f>O55/O12</f>
        <v>1.3027224043243957E-3</v>
      </c>
      <c r="Q55" s="23">
        <v>250</v>
      </c>
      <c r="R55" s="49">
        <f>Q55/Q12</f>
        <v>1.3890339042728346E-3</v>
      </c>
      <c r="S55" s="23">
        <v>250</v>
      </c>
      <c r="T55" s="49">
        <f>S55/S12</f>
        <v>1.5377790318236335E-3</v>
      </c>
      <c r="U55" s="23">
        <v>250</v>
      </c>
      <c r="V55" s="49">
        <f>U55/U12</f>
        <v>1.0779031167218031E-3</v>
      </c>
      <c r="W55" s="23">
        <v>250</v>
      </c>
      <c r="X55" s="49">
        <f>W55/W12</f>
        <v>1.6114365811967012E-3</v>
      </c>
      <c r="Y55" s="23">
        <v>250</v>
      </c>
      <c r="Z55" s="179">
        <f>Y55/Y12</f>
        <v>1.157665613041063E-3</v>
      </c>
      <c r="AA55" s="286">
        <f t="shared" si="19"/>
        <v>2750</v>
      </c>
      <c r="AB55" s="214">
        <f>AA55/AA12</f>
        <v>1.1654343459418237E-3</v>
      </c>
      <c r="AC55" s="207">
        <v>2750</v>
      </c>
      <c r="AD55" s="214">
        <f>AC55/AC12</f>
        <v>3.4151726683358786E-3</v>
      </c>
      <c r="AE55" s="75"/>
      <c r="AF55" s="169"/>
      <c r="AG55" s="75"/>
      <c r="AH55" s="207">
        <v>2750</v>
      </c>
      <c r="AI55" s="255">
        <f>AH55/AH12</f>
        <v>3.4151726683358786E-3</v>
      </c>
      <c r="AJ55" s="293">
        <f t="shared" si="2"/>
        <v>8250</v>
      </c>
      <c r="AK55" s="1"/>
      <c r="AL55" s="53"/>
      <c r="AM55" s="53">
        <f t="shared" si="17"/>
        <v>23500</v>
      </c>
      <c r="AN55" s="53" t="e">
        <f>#REF!-AM55</f>
        <v>#REF!</v>
      </c>
      <c r="AO55" s="53"/>
    </row>
    <row r="56" spans="1:41">
      <c r="A56" s="99">
        <v>6115</v>
      </c>
      <c r="B56" s="111" t="s">
        <v>14</v>
      </c>
      <c r="C56" s="54">
        <v>43.1</v>
      </c>
      <c r="D56" s="17">
        <f>C56/C12</f>
        <v>1.7036179152618078E-4</v>
      </c>
      <c r="E56" s="54">
        <v>75</v>
      </c>
      <c r="F56" s="17">
        <f>E56/E12</f>
        <v>4.5262698279329567E-4</v>
      </c>
      <c r="G56" s="54">
        <v>75</v>
      </c>
      <c r="H56" s="17">
        <f>G56/G12</f>
        <v>3.8381208218006389E-4</v>
      </c>
      <c r="I56" s="54">
        <v>75</v>
      </c>
      <c r="J56" s="17">
        <f>I56/I12</f>
        <v>3.4941610240195629E-4</v>
      </c>
      <c r="K56" s="54">
        <v>75</v>
      </c>
      <c r="L56" s="17">
        <f>K56/K12</f>
        <v>3.9314495787402457E-4</v>
      </c>
      <c r="M56" s="54">
        <v>75</v>
      </c>
      <c r="N56" s="17">
        <f>M56/M12</f>
        <v>3.7011478183552655E-4</v>
      </c>
      <c r="O56" s="54">
        <v>75</v>
      </c>
      <c r="P56" s="17">
        <f>O56/O12</f>
        <v>3.9081672129731869E-4</v>
      </c>
      <c r="Q56" s="54">
        <v>75</v>
      </c>
      <c r="R56" s="17">
        <f>Q56/Q12</f>
        <v>4.167101712818504E-4</v>
      </c>
      <c r="S56" s="54">
        <v>75</v>
      </c>
      <c r="T56" s="17">
        <f>S56/S12</f>
        <v>4.6133370954709005E-4</v>
      </c>
      <c r="U56" s="54">
        <v>75</v>
      </c>
      <c r="V56" s="17">
        <f>U56/U12</f>
        <v>3.2337093501654088E-4</v>
      </c>
      <c r="W56" s="54">
        <v>75</v>
      </c>
      <c r="X56" s="17">
        <f>W56/W12</f>
        <v>4.8343097435901038E-4</v>
      </c>
      <c r="Y56" s="54">
        <v>75</v>
      </c>
      <c r="Z56" s="226">
        <f>Y56/Y12</f>
        <v>3.4729968391231889E-4</v>
      </c>
      <c r="AA56" s="286">
        <f t="shared" si="19"/>
        <v>868.1</v>
      </c>
      <c r="AB56" s="214">
        <f>AA56/AA12</f>
        <v>3.6789583844076259E-4</v>
      </c>
      <c r="AC56" s="207">
        <v>900</v>
      </c>
      <c r="AD56" s="214">
        <f>AC56/AC12</f>
        <v>1.1176928732735602E-3</v>
      </c>
      <c r="AE56" s="75"/>
      <c r="AF56" s="169"/>
      <c r="AG56" s="75"/>
      <c r="AH56" s="207">
        <v>900</v>
      </c>
      <c r="AI56" s="255">
        <f>AH56/AH12</f>
        <v>1.1176928732735602E-3</v>
      </c>
      <c r="AJ56" s="293">
        <f t="shared" si="2"/>
        <v>2668.1</v>
      </c>
      <c r="AK56" s="1"/>
      <c r="AL56" s="53"/>
      <c r="AM56" s="53">
        <f t="shared" si="17"/>
        <v>7050</v>
      </c>
      <c r="AN56" s="53" t="e">
        <f>#REF!-AM56</f>
        <v>#REF!</v>
      </c>
      <c r="AO56" s="53"/>
    </row>
    <row r="57" spans="1:41">
      <c r="A57" s="99">
        <v>6116</v>
      </c>
      <c r="B57" s="111" t="s">
        <v>15</v>
      </c>
      <c r="C57" s="43">
        <v>69</v>
      </c>
      <c r="D57" s="49">
        <f>C57/C12</f>
        <v>2.7273697483309683E-4</v>
      </c>
      <c r="E57" s="43">
        <v>70</v>
      </c>
      <c r="F57" s="49">
        <f>E57/E12</f>
        <v>4.2245185060707594E-4</v>
      </c>
      <c r="G57" s="43">
        <v>70</v>
      </c>
      <c r="H57" s="49">
        <f>G57/G12</f>
        <v>3.5822461003472632E-4</v>
      </c>
      <c r="I57" s="43">
        <v>100</v>
      </c>
      <c r="J57" s="49">
        <f>I57/I12</f>
        <v>4.6588813653594175E-4</v>
      </c>
      <c r="K57" s="43">
        <v>100</v>
      </c>
      <c r="L57" s="49">
        <f>K57/K12</f>
        <v>5.2419327716536602E-4</v>
      </c>
      <c r="M57" s="43">
        <v>100</v>
      </c>
      <c r="N57" s="49">
        <f>M57/M12</f>
        <v>4.9348637578070214E-4</v>
      </c>
      <c r="O57" s="43">
        <v>100</v>
      </c>
      <c r="P57" s="49">
        <f>O57/O12</f>
        <v>5.2108896172975829E-4</v>
      </c>
      <c r="Q57" s="43">
        <v>100</v>
      </c>
      <c r="R57" s="49">
        <f>Q57/Q12</f>
        <v>5.556135617091339E-4</v>
      </c>
      <c r="S57" s="43">
        <v>100</v>
      </c>
      <c r="T57" s="49">
        <f>S57/S12</f>
        <v>6.1511161272945344E-4</v>
      </c>
      <c r="U57" s="43">
        <v>100</v>
      </c>
      <c r="V57" s="49">
        <f>U57/U12</f>
        <v>4.3116124668872121E-4</v>
      </c>
      <c r="W57" s="43">
        <v>100</v>
      </c>
      <c r="X57" s="49">
        <f>W57/W12</f>
        <v>6.4457463247868051E-4</v>
      </c>
      <c r="Y57" s="43">
        <v>100</v>
      </c>
      <c r="Z57" s="179">
        <f>Y57/Y12</f>
        <v>4.6306624521642522E-4</v>
      </c>
      <c r="AA57" s="286">
        <f t="shared" si="19"/>
        <v>1109</v>
      </c>
      <c r="AB57" s="214">
        <f>AA57/AA12</f>
        <v>4.6998788714526632E-4</v>
      </c>
      <c r="AC57" s="207">
        <v>1200</v>
      </c>
      <c r="AD57" s="214">
        <f>AC57/AC12</f>
        <v>1.4902571643647471E-3</v>
      </c>
      <c r="AE57" s="75"/>
      <c r="AF57" s="169"/>
      <c r="AG57" s="75"/>
      <c r="AH57" s="207">
        <v>1200</v>
      </c>
      <c r="AI57" s="255">
        <f>AH57/AH12</f>
        <v>1.4902571643647471E-3</v>
      </c>
      <c r="AJ57" s="293">
        <f t="shared" si="2"/>
        <v>3509</v>
      </c>
      <c r="AK57" s="1"/>
      <c r="AL57" s="53"/>
      <c r="AM57" s="53">
        <f t="shared" si="17"/>
        <v>9118</v>
      </c>
      <c r="AN57" s="53" t="e">
        <f>#REF!-AM57</f>
        <v>#REF!</v>
      </c>
      <c r="AO57" s="53"/>
    </row>
    <row r="58" spans="1:41">
      <c r="A58" s="99">
        <v>6117</v>
      </c>
      <c r="B58" s="111" t="s">
        <v>16</v>
      </c>
      <c r="C58" s="136"/>
      <c r="D58" s="49">
        <f>C58/C12</f>
        <v>0</v>
      </c>
      <c r="E58" s="43"/>
      <c r="F58" s="49">
        <f>E58/E12</f>
        <v>0</v>
      </c>
      <c r="G58" s="80"/>
      <c r="H58" s="49">
        <f>G58/G12</f>
        <v>0</v>
      </c>
      <c r="I58" s="18"/>
      <c r="J58" s="49">
        <f>I58/I12</f>
        <v>0</v>
      </c>
      <c r="K58" s="43">
        <v>0</v>
      </c>
      <c r="L58" s="49">
        <f>K58/K12</f>
        <v>0</v>
      </c>
      <c r="M58" s="18"/>
      <c r="N58" s="49">
        <f>M58/M12</f>
        <v>0</v>
      </c>
      <c r="O58" s="18"/>
      <c r="P58" s="49">
        <f>O58/O12</f>
        <v>0</v>
      </c>
      <c r="Q58" s="18"/>
      <c r="R58" s="49">
        <f>Q58/Q12</f>
        <v>0</v>
      </c>
      <c r="S58" s="18"/>
      <c r="T58" s="49">
        <f>S58/S12</f>
        <v>0</v>
      </c>
      <c r="U58" s="43"/>
      <c r="V58" s="49">
        <f>U58/U12</f>
        <v>0</v>
      </c>
      <c r="W58" s="33"/>
      <c r="X58" s="49">
        <f>W58/W12</f>
        <v>0</v>
      </c>
      <c r="Y58" s="43"/>
      <c r="Z58" s="179">
        <f>Y58/Y12</f>
        <v>0</v>
      </c>
      <c r="AA58" s="286">
        <f t="shared" si="19"/>
        <v>0</v>
      </c>
      <c r="AB58" s="214">
        <f>AA58/AA12</f>
        <v>0</v>
      </c>
      <c r="AC58" s="205">
        <v>0</v>
      </c>
      <c r="AD58" s="214">
        <f>AC58/AC12</f>
        <v>0</v>
      </c>
      <c r="AE58" s="75"/>
      <c r="AF58" s="169"/>
      <c r="AG58" s="75"/>
      <c r="AH58" s="205">
        <v>0</v>
      </c>
      <c r="AI58" s="255">
        <f>AH58/AH12</f>
        <v>0</v>
      </c>
      <c r="AJ58" s="293">
        <f t="shared" si="2"/>
        <v>0</v>
      </c>
      <c r="AK58" s="1"/>
      <c r="AL58" s="53"/>
      <c r="AM58" s="53">
        <f t="shared" si="17"/>
        <v>0</v>
      </c>
      <c r="AN58" s="53" t="e">
        <f>#REF!-AM58</f>
        <v>#REF!</v>
      </c>
      <c r="AO58" s="53"/>
    </row>
    <row r="59" spans="1:41">
      <c r="A59" s="99">
        <v>6118</v>
      </c>
      <c r="B59" s="112" t="s">
        <v>17</v>
      </c>
      <c r="C59" s="79"/>
      <c r="D59" s="49">
        <f t="shared" ref="D59" si="21">C59/C$12</f>
        <v>0</v>
      </c>
      <c r="E59" s="79"/>
      <c r="F59" s="49">
        <f t="shared" ref="F59" si="22">E59/E$12</f>
        <v>0</v>
      </c>
      <c r="G59" s="79"/>
      <c r="H59" s="49">
        <f t="shared" ref="H59" si="23">G59/G$5</f>
        <v>0</v>
      </c>
      <c r="I59" s="79"/>
      <c r="J59" s="49" t="e">
        <f>I59/J$5</f>
        <v>#DIV/0!</v>
      </c>
      <c r="K59" s="79"/>
      <c r="L59" s="49">
        <f t="shared" ref="L59" si="24">K59/K$5</f>
        <v>0</v>
      </c>
      <c r="M59" s="79"/>
      <c r="N59" s="49">
        <f t="shared" ref="N59" si="25">M59/M$5</f>
        <v>0</v>
      </c>
      <c r="O59" s="79"/>
      <c r="P59" s="49">
        <f t="shared" ref="P59" si="26">O59/O$5</f>
        <v>0</v>
      </c>
      <c r="Q59" s="79"/>
      <c r="R59" s="49">
        <f t="shared" ref="R59" si="27">Q59/Q$5</f>
        <v>0</v>
      </c>
      <c r="S59" s="79"/>
      <c r="T59" s="49">
        <f t="shared" ref="T59" si="28">S59/S$5</f>
        <v>0</v>
      </c>
      <c r="U59" s="79"/>
      <c r="V59" s="49">
        <f t="shared" ref="V59" si="29">U59/U$5</f>
        <v>0</v>
      </c>
      <c r="W59" s="79"/>
      <c r="X59" s="49">
        <f t="shared" ref="X59" si="30">W59/W$5</f>
        <v>0</v>
      </c>
      <c r="Y59" s="79"/>
      <c r="Z59" s="179">
        <f t="shared" ref="Z59" si="31">Y59/Y$5</f>
        <v>0</v>
      </c>
      <c r="AA59" s="286">
        <f t="shared" si="19"/>
        <v>0</v>
      </c>
      <c r="AB59" s="214">
        <f t="shared" ref="AB59" si="32">AA59/AA$5</f>
        <v>0</v>
      </c>
      <c r="AC59" s="207">
        <v>0</v>
      </c>
      <c r="AD59" s="214">
        <f t="shared" ref="AD59" si="33">AC59/AC$5</f>
        <v>0</v>
      </c>
      <c r="AE59" s="170"/>
      <c r="AF59" s="170"/>
      <c r="AG59" s="170"/>
      <c r="AH59" s="207">
        <v>0</v>
      </c>
      <c r="AI59" s="255">
        <f t="shared" ref="AI59" si="34">AH59/AH$5</f>
        <v>0</v>
      </c>
      <c r="AJ59" s="293">
        <f t="shared" si="2"/>
        <v>0</v>
      </c>
      <c r="AK59" s="1"/>
      <c r="AL59" s="53"/>
      <c r="AM59" s="53">
        <f t="shared" si="17"/>
        <v>0</v>
      </c>
      <c r="AN59" s="53" t="e">
        <f>#REF!-AM59</f>
        <v>#REF!</v>
      </c>
      <c r="AO59" s="53"/>
    </row>
    <row r="60" spans="1:41">
      <c r="A60" s="99">
        <v>6119</v>
      </c>
      <c r="B60" s="111" t="s">
        <v>18</v>
      </c>
      <c r="C60" s="136"/>
      <c r="D60" s="49">
        <f>C60/C12</f>
        <v>0</v>
      </c>
      <c r="E60" s="43"/>
      <c r="F60" s="49">
        <f>E60/E12</f>
        <v>0</v>
      </c>
      <c r="G60" s="80"/>
      <c r="H60" s="49">
        <f>G60/G12</f>
        <v>0</v>
      </c>
      <c r="I60" s="18"/>
      <c r="J60" s="49">
        <f>I60/I12</f>
        <v>0</v>
      </c>
      <c r="K60" s="43">
        <v>0</v>
      </c>
      <c r="L60" s="49">
        <f>K60/K12</f>
        <v>0</v>
      </c>
      <c r="M60" s="18"/>
      <c r="N60" s="49">
        <f>M60/M12</f>
        <v>0</v>
      </c>
      <c r="O60" s="18">
        <v>0</v>
      </c>
      <c r="P60" s="49">
        <f>O60/O12</f>
        <v>0</v>
      </c>
      <c r="Q60" s="18"/>
      <c r="R60" s="49">
        <f>Q60/Q12</f>
        <v>0</v>
      </c>
      <c r="S60" s="18"/>
      <c r="T60" s="49">
        <f>S60/S12</f>
        <v>0</v>
      </c>
      <c r="U60" s="43"/>
      <c r="V60" s="49">
        <f>U60/U12</f>
        <v>0</v>
      </c>
      <c r="W60" s="33"/>
      <c r="X60" s="49">
        <f>W60/W12</f>
        <v>0</v>
      </c>
      <c r="Y60" s="43"/>
      <c r="Z60" s="179">
        <f>Y60/Y12</f>
        <v>0</v>
      </c>
      <c r="AA60" s="286">
        <f t="shared" si="19"/>
        <v>0</v>
      </c>
      <c r="AB60" s="214">
        <f>AA60/AA12</f>
        <v>0</v>
      </c>
      <c r="AC60" s="205">
        <v>0</v>
      </c>
      <c r="AD60" s="214">
        <f>AC60/AC12</f>
        <v>0</v>
      </c>
      <c r="AE60" s="75"/>
      <c r="AF60" s="169"/>
      <c r="AG60" s="75"/>
      <c r="AH60" s="205">
        <v>0</v>
      </c>
      <c r="AI60" s="255">
        <f>AH60/AH12</f>
        <v>0</v>
      </c>
      <c r="AJ60" s="293">
        <f t="shared" si="2"/>
        <v>0</v>
      </c>
      <c r="AK60" s="1"/>
      <c r="AL60" s="53"/>
      <c r="AM60" s="53">
        <f t="shared" si="17"/>
        <v>0</v>
      </c>
      <c r="AN60" s="53" t="e">
        <f>#REF!-AM60</f>
        <v>#REF!</v>
      </c>
      <c r="AO60" s="53"/>
    </row>
    <row r="61" spans="1:41">
      <c r="A61" s="99">
        <v>6120</v>
      </c>
      <c r="B61" s="111" t="s">
        <v>19</v>
      </c>
      <c r="C61" s="136"/>
      <c r="D61" s="49">
        <f>C61/C12</f>
        <v>0</v>
      </c>
      <c r="E61" s="43"/>
      <c r="F61" s="49">
        <f>E61/E12</f>
        <v>0</v>
      </c>
      <c r="G61" s="80"/>
      <c r="H61" s="49">
        <f>G61/G12</f>
        <v>0</v>
      </c>
      <c r="I61" s="18"/>
      <c r="J61" s="49">
        <f>I61/I12</f>
        <v>0</v>
      </c>
      <c r="K61" s="43">
        <v>0</v>
      </c>
      <c r="L61" s="49">
        <f>K61/K12</f>
        <v>0</v>
      </c>
      <c r="M61" s="18"/>
      <c r="N61" s="49">
        <f>M61/M12</f>
        <v>0</v>
      </c>
      <c r="O61" s="18"/>
      <c r="P61" s="49">
        <f>O61/O12</f>
        <v>0</v>
      </c>
      <c r="Q61" s="18"/>
      <c r="R61" s="49">
        <f>Q61/Q12</f>
        <v>0</v>
      </c>
      <c r="S61" s="18"/>
      <c r="T61" s="49">
        <f>S61/S12</f>
        <v>0</v>
      </c>
      <c r="U61" s="43"/>
      <c r="V61" s="49">
        <f>U61/U12</f>
        <v>0</v>
      </c>
      <c r="W61" s="33"/>
      <c r="X61" s="49">
        <f>W61/W12</f>
        <v>0</v>
      </c>
      <c r="Y61" s="43"/>
      <c r="Z61" s="179">
        <f>Y61/Y12</f>
        <v>0</v>
      </c>
      <c r="AA61" s="286">
        <f t="shared" si="19"/>
        <v>0</v>
      </c>
      <c r="AB61" s="214">
        <f>AA61/AA12</f>
        <v>0</v>
      </c>
      <c r="AC61" s="205">
        <v>0</v>
      </c>
      <c r="AD61" s="214">
        <f>AC61/AC12</f>
        <v>0</v>
      </c>
      <c r="AE61" s="75"/>
      <c r="AF61" s="169"/>
      <c r="AG61" s="75"/>
      <c r="AH61" s="205">
        <v>0</v>
      </c>
      <c r="AI61" s="255">
        <f>AH61/AH12</f>
        <v>0</v>
      </c>
      <c r="AJ61" s="293">
        <f t="shared" si="2"/>
        <v>0</v>
      </c>
      <c r="AK61" s="1"/>
      <c r="AL61" s="53"/>
      <c r="AM61" s="53">
        <f t="shared" si="17"/>
        <v>0</v>
      </c>
      <c r="AN61" s="53" t="e">
        <f>#REF!-AM61</f>
        <v>#REF!</v>
      </c>
      <c r="AO61" s="53"/>
    </row>
    <row r="62" spans="1:41">
      <c r="A62" s="2">
        <v>6121</v>
      </c>
      <c r="B62" s="111" t="s">
        <v>20</v>
      </c>
      <c r="C62" s="18">
        <v>30.8</v>
      </c>
      <c r="D62" s="49">
        <f>C62/C12</f>
        <v>1.2174346122984612E-4</v>
      </c>
      <c r="E62" s="18">
        <v>50</v>
      </c>
      <c r="F62" s="49">
        <f>E62/E12</f>
        <v>3.0175132186219711E-4</v>
      </c>
      <c r="G62" s="18">
        <v>50</v>
      </c>
      <c r="H62" s="49">
        <f>G62/G12</f>
        <v>2.5587472145337595E-4</v>
      </c>
      <c r="I62" s="18">
        <v>50</v>
      </c>
      <c r="J62" s="49">
        <f>I62/I12</f>
        <v>2.3294406826797088E-4</v>
      </c>
      <c r="K62" s="18">
        <v>50</v>
      </c>
      <c r="L62" s="49">
        <f>K62/K12</f>
        <v>2.6209663858268301E-4</v>
      </c>
      <c r="M62" s="18">
        <v>50</v>
      </c>
      <c r="N62" s="49">
        <f>M62/M12</f>
        <v>2.4674318789035107E-4</v>
      </c>
      <c r="O62" s="18">
        <v>50</v>
      </c>
      <c r="P62" s="49">
        <f>O62/O12</f>
        <v>2.6054448086487914E-4</v>
      </c>
      <c r="Q62" s="18">
        <v>50</v>
      </c>
      <c r="R62" s="49">
        <f>Q62/Q12</f>
        <v>2.7780678085456695E-4</v>
      </c>
      <c r="S62" s="18">
        <v>50</v>
      </c>
      <c r="T62" s="49">
        <f>S62/S12</f>
        <v>3.0755580636472672E-4</v>
      </c>
      <c r="U62" s="18">
        <v>50</v>
      </c>
      <c r="V62" s="49">
        <f>U62/U12</f>
        <v>2.155806233443606E-4</v>
      </c>
      <c r="W62" s="18">
        <v>50</v>
      </c>
      <c r="X62" s="49">
        <f>W62/W12</f>
        <v>3.2228731623934026E-4</v>
      </c>
      <c r="Y62" s="18">
        <v>50</v>
      </c>
      <c r="Z62" s="179">
        <f>Y62/Y12</f>
        <v>2.3153312260821261E-4</v>
      </c>
      <c r="AA62" s="286">
        <f t="shared" si="19"/>
        <v>580.79999999999995</v>
      </c>
      <c r="AB62" s="214">
        <f>AA62/AA12</f>
        <v>2.4613973386291313E-4</v>
      </c>
      <c r="AC62" s="205">
        <v>600</v>
      </c>
      <c r="AD62" s="214">
        <f>AC62/AC12</f>
        <v>7.4512858218237356E-4</v>
      </c>
      <c r="AE62" s="75"/>
      <c r="AF62" s="169"/>
      <c r="AG62" s="75"/>
      <c r="AH62" s="205">
        <v>600</v>
      </c>
      <c r="AI62" s="255">
        <f>AH62/AH12</f>
        <v>7.4512858218237356E-4</v>
      </c>
      <c r="AJ62" s="293">
        <f t="shared" si="2"/>
        <v>1780.8</v>
      </c>
      <c r="AK62" s="1"/>
      <c r="AL62" s="53"/>
      <c r="AM62" s="53">
        <f t="shared" si="17"/>
        <v>4700</v>
      </c>
      <c r="AN62" s="53" t="e">
        <f>#REF!-AM62</f>
        <v>#REF!</v>
      </c>
      <c r="AO62" s="53"/>
    </row>
    <row r="63" spans="1:41">
      <c r="A63" s="2">
        <v>6122</v>
      </c>
      <c r="B63" s="111" t="s">
        <v>21</v>
      </c>
      <c r="C63" s="136"/>
      <c r="D63" s="49">
        <f>C63/C12</f>
        <v>0</v>
      </c>
      <c r="E63" s="43"/>
      <c r="F63" s="49">
        <f>E63/E12</f>
        <v>0</v>
      </c>
      <c r="G63" s="80"/>
      <c r="H63" s="49">
        <f>G63/G12</f>
        <v>0</v>
      </c>
      <c r="I63" s="18"/>
      <c r="J63" s="49">
        <f>I63/I12</f>
        <v>0</v>
      </c>
      <c r="K63" s="43">
        <v>0</v>
      </c>
      <c r="L63" s="49">
        <f>K63/K12</f>
        <v>0</v>
      </c>
      <c r="M63" s="18"/>
      <c r="N63" s="49">
        <f>M63/M12</f>
        <v>0</v>
      </c>
      <c r="O63" s="18"/>
      <c r="P63" s="49">
        <f>O63/O12</f>
        <v>0</v>
      </c>
      <c r="Q63" s="18"/>
      <c r="R63" s="49">
        <f>Q63/Q12</f>
        <v>0</v>
      </c>
      <c r="S63" s="18"/>
      <c r="T63" s="49">
        <f>S63/S12</f>
        <v>0</v>
      </c>
      <c r="U63" s="43"/>
      <c r="V63" s="49">
        <f>U63/U12</f>
        <v>0</v>
      </c>
      <c r="W63" s="33"/>
      <c r="X63" s="49">
        <f>W63/W12</f>
        <v>0</v>
      </c>
      <c r="Y63" s="43"/>
      <c r="Z63" s="179">
        <f>Y63/Y12</f>
        <v>0</v>
      </c>
      <c r="AA63" s="286">
        <f t="shared" si="19"/>
        <v>0</v>
      </c>
      <c r="AB63" s="214">
        <f>AA63/AA12</f>
        <v>0</v>
      </c>
      <c r="AC63" s="205">
        <v>0</v>
      </c>
      <c r="AD63" s="214">
        <f>AC63/AC12</f>
        <v>0</v>
      </c>
      <c r="AE63" s="75"/>
      <c r="AF63" s="169"/>
      <c r="AG63" s="75"/>
      <c r="AH63" s="205">
        <v>0</v>
      </c>
      <c r="AI63" s="255">
        <f>AH63/AH12</f>
        <v>0</v>
      </c>
      <c r="AJ63" s="293">
        <f t="shared" si="2"/>
        <v>0</v>
      </c>
      <c r="AK63" s="1"/>
      <c r="AL63" s="53"/>
      <c r="AM63" s="53">
        <f t="shared" si="17"/>
        <v>0</v>
      </c>
      <c r="AN63" s="53" t="e">
        <f>#REF!-AM63</f>
        <v>#REF!</v>
      </c>
      <c r="AO63" s="53"/>
    </row>
    <row r="64" spans="1:41">
      <c r="A64" s="2">
        <v>6123</v>
      </c>
      <c r="B64" s="111" t="s">
        <v>22</v>
      </c>
      <c r="C64" s="136"/>
      <c r="D64" s="49">
        <f>C64/C12</f>
        <v>0</v>
      </c>
      <c r="E64" s="43"/>
      <c r="F64" s="49">
        <f>E64/E12</f>
        <v>0</v>
      </c>
      <c r="G64" s="80"/>
      <c r="H64" s="49">
        <f>G64/G12</f>
        <v>0</v>
      </c>
      <c r="I64" s="18"/>
      <c r="J64" s="49">
        <f>I64/I12</f>
        <v>0</v>
      </c>
      <c r="K64" s="43">
        <v>0</v>
      </c>
      <c r="L64" s="49">
        <f>K64/K12</f>
        <v>0</v>
      </c>
      <c r="M64" s="18"/>
      <c r="N64" s="49">
        <f>M64/M12</f>
        <v>0</v>
      </c>
      <c r="O64" s="18"/>
      <c r="P64" s="49">
        <f>O64/O12</f>
        <v>0</v>
      </c>
      <c r="Q64" s="18"/>
      <c r="R64" s="49">
        <f>Q64/Q12</f>
        <v>0</v>
      </c>
      <c r="S64" s="18"/>
      <c r="T64" s="49">
        <f>S64/S12</f>
        <v>0</v>
      </c>
      <c r="U64" s="43"/>
      <c r="V64" s="49">
        <f>U64/U12</f>
        <v>0</v>
      </c>
      <c r="W64" s="33"/>
      <c r="X64" s="49">
        <f>W64/W12</f>
        <v>0</v>
      </c>
      <c r="Y64" s="43"/>
      <c r="Z64" s="179">
        <f>Y64/Y12</f>
        <v>0</v>
      </c>
      <c r="AA64" s="286">
        <f t="shared" si="19"/>
        <v>0</v>
      </c>
      <c r="AB64" s="214">
        <f>AA64/AA12</f>
        <v>0</v>
      </c>
      <c r="AC64" s="205">
        <v>0</v>
      </c>
      <c r="AD64" s="214">
        <f>AC64/AC12</f>
        <v>0</v>
      </c>
      <c r="AE64" s="75"/>
      <c r="AF64" s="169"/>
      <c r="AG64" s="75"/>
      <c r="AH64" s="205">
        <v>0</v>
      </c>
      <c r="AI64" s="255">
        <f>AH64/AH12</f>
        <v>0</v>
      </c>
      <c r="AJ64" s="293">
        <f t="shared" si="2"/>
        <v>0</v>
      </c>
      <c r="AK64" s="1"/>
      <c r="AL64" s="53"/>
      <c r="AM64" s="53">
        <f t="shared" si="17"/>
        <v>0</v>
      </c>
      <c r="AN64" s="53" t="e">
        <f>#REF!-AM64</f>
        <v>#REF!</v>
      </c>
      <c r="AO64" s="53"/>
    </row>
    <row r="65" spans="1:41">
      <c r="A65" s="99">
        <v>6124</v>
      </c>
      <c r="B65" s="111" t="s">
        <v>23</v>
      </c>
      <c r="C65" s="18">
        <v>17</v>
      </c>
      <c r="D65" s="49">
        <f>C65/C12</f>
        <v>6.7196066263226756E-5</v>
      </c>
      <c r="E65" s="18">
        <v>100</v>
      </c>
      <c r="F65" s="49">
        <f>E65/E12</f>
        <v>6.0350264372439422E-4</v>
      </c>
      <c r="G65" s="18">
        <v>100</v>
      </c>
      <c r="H65" s="49">
        <f>G65/G12</f>
        <v>5.1174944290675189E-4</v>
      </c>
      <c r="I65" s="18">
        <v>100</v>
      </c>
      <c r="J65" s="49">
        <f>I65/I12</f>
        <v>4.6588813653594175E-4</v>
      </c>
      <c r="K65" s="18">
        <v>100</v>
      </c>
      <c r="L65" s="49">
        <f t="shared" ref="L65" si="35">K65/K12</f>
        <v>5.2419327716536602E-4</v>
      </c>
      <c r="M65" s="18">
        <v>100</v>
      </c>
      <c r="N65" s="49">
        <f t="shared" ref="N65" si="36">M65/M12</f>
        <v>4.9348637578070214E-4</v>
      </c>
      <c r="O65" s="18">
        <v>100</v>
      </c>
      <c r="P65" s="49">
        <f t="shared" ref="P65" si="37">O65/O12</f>
        <v>5.2108896172975829E-4</v>
      </c>
      <c r="Q65" s="18">
        <v>100</v>
      </c>
      <c r="R65" s="49">
        <f t="shared" ref="R65" si="38">Q65/Q12</f>
        <v>5.556135617091339E-4</v>
      </c>
      <c r="S65" s="18">
        <v>100</v>
      </c>
      <c r="T65" s="49">
        <f t="shared" ref="T65" si="39">S65/S12</f>
        <v>6.1511161272945344E-4</v>
      </c>
      <c r="U65" s="18">
        <v>100</v>
      </c>
      <c r="V65" s="49">
        <f t="shared" ref="V65" si="40">U65/U12</f>
        <v>4.3116124668872121E-4</v>
      </c>
      <c r="W65" s="18">
        <v>100</v>
      </c>
      <c r="X65" s="49">
        <f t="shared" ref="X65" si="41">W65/W12</f>
        <v>6.4457463247868051E-4</v>
      </c>
      <c r="Y65" s="18">
        <v>100</v>
      </c>
      <c r="Z65" s="179">
        <f t="shared" ref="Z65" si="42">Y65/Y12</f>
        <v>4.6306624521642522E-4</v>
      </c>
      <c r="AA65" s="286">
        <f t="shared" si="19"/>
        <v>1117</v>
      </c>
      <c r="AB65" s="214">
        <f>AA65/AA12</f>
        <v>4.7337824160618801E-4</v>
      </c>
      <c r="AC65" s="205">
        <v>1200</v>
      </c>
      <c r="AD65" s="214">
        <f>AC65/AC12</f>
        <v>1.4902571643647471E-3</v>
      </c>
      <c r="AE65" s="75"/>
      <c r="AF65" s="169"/>
      <c r="AG65" s="75"/>
      <c r="AH65" s="205">
        <v>1200</v>
      </c>
      <c r="AI65" s="255">
        <f>AH65/AH12</f>
        <v>1.4902571643647471E-3</v>
      </c>
      <c r="AJ65" s="293">
        <f t="shared" si="2"/>
        <v>3517</v>
      </c>
      <c r="AK65" s="1"/>
      <c r="AL65" s="53"/>
      <c r="AM65" s="53">
        <f t="shared" si="17"/>
        <v>9400</v>
      </c>
      <c r="AN65" s="53" t="e">
        <f>#REF!-AM65</f>
        <v>#REF!</v>
      </c>
      <c r="AO65" s="53"/>
    </row>
    <row r="66" spans="1:41">
      <c r="A66" s="99">
        <v>6125</v>
      </c>
      <c r="B66" s="111" t="s">
        <v>78</v>
      </c>
      <c r="C66" s="18"/>
      <c r="D66" s="49">
        <f>C66/C12</f>
        <v>0</v>
      </c>
      <c r="E66" s="18">
        <v>125</v>
      </c>
      <c r="F66" s="49">
        <f>E66/E12</f>
        <v>7.5437830465549278E-4</v>
      </c>
      <c r="G66" s="18">
        <v>125</v>
      </c>
      <c r="H66" s="49">
        <f>G66/G12</f>
        <v>6.3968680363343984E-4</v>
      </c>
      <c r="I66" s="18">
        <v>125</v>
      </c>
      <c r="J66" s="49">
        <f>I66/I12</f>
        <v>5.8236017066992717E-4</v>
      </c>
      <c r="K66" s="18">
        <v>125</v>
      </c>
      <c r="L66" s="49">
        <f>K66/K12</f>
        <v>6.5524159645670758E-4</v>
      </c>
      <c r="M66" s="18">
        <v>125</v>
      </c>
      <c r="N66" s="49">
        <f>M66/M12</f>
        <v>6.1685796972587757E-4</v>
      </c>
      <c r="O66" s="18">
        <v>125</v>
      </c>
      <c r="P66" s="49">
        <f>O66/O12</f>
        <v>6.5136120216219783E-4</v>
      </c>
      <c r="Q66" s="18">
        <v>125</v>
      </c>
      <c r="R66" s="49">
        <f>Q66/Q12</f>
        <v>6.9451695213641729E-4</v>
      </c>
      <c r="S66" s="18">
        <v>125</v>
      </c>
      <c r="T66" s="49">
        <f>S66/S12</f>
        <v>7.6888951591181677E-4</v>
      </c>
      <c r="U66" s="18">
        <v>125</v>
      </c>
      <c r="V66" s="49">
        <f>U66/U12</f>
        <v>5.3895155836090154E-4</v>
      </c>
      <c r="W66" s="18">
        <v>125</v>
      </c>
      <c r="X66" s="49">
        <f>W66/W12</f>
        <v>8.0571829059835059E-4</v>
      </c>
      <c r="Y66" s="18">
        <v>125</v>
      </c>
      <c r="Z66" s="179">
        <f>Y66/Y12</f>
        <v>5.788328065205315E-4</v>
      </c>
      <c r="AA66" s="286">
        <f t="shared" si="19"/>
        <v>1375</v>
      </c>
      <c r="AB66" s="214">
        <f>AA66/AA12</f>
        <v>5.8271717297091186E-4</v>
      </c>
      <c r="AC66" s="205">
        <v>1375</v>
      </c>
      <c r="AD66" s="214">
        <f>AC66/AC12</f>
        <v>1.7075863341679393E-3</v>
      </c>
      <c r="AE66" s="75"/>
      <c r="AF66" s="169"/>
      <c r="AG66" s="75"/>
      <c r="AH66" s="205">
        <v>1375</v>
      </c>
      <c r="AI66" s="255">
        <f>AH66/AH12</f>
        <v>1.7075863341679393E-3</v>
      </c>
      <c r="AJ66" s="293">
        <f t="shared" si="2"/>
        <v>4125</v>
      </c>
      <c r="AK66" s="1"/>
      <c r="AL66" s="53"/>
      <c r="AM66" s="53">
        <f t="shared" si="17"/>
        <v>11750</v>
      </c>
      <c r="AN66" s="53" t="e">
        <f>#REF!-AM66</f>
        <v>#REF!</v>
      </c>
      <c r="AO66" s="53"/>
    </row>
    <row r="67" spans="1:41">
      <c r="A67" s="2">
        <v>6126</v>
      </c>
      <c r="B67" s="111" t="s">
        <v>104</v>
      </c>
      <c r="C67" s="136"/>
      <c r="D67" s="49">
        <f>C67/C12</f>
        <v>0</v>
      </c>
      <c r="E67" s="43"/>
      <c r="F67" s="49">
        <f>E67/E12</f>
        <v>0</v>
      </c>
      <c r="G67" s="80"/>
      <c r="H67" s="49">
        <f>G67/G12</f>
        <v>0</v>
      </c>
      <c r="I67" s="18"/>
      <c r="J67" s="49">
        <f>I67/I12</f>
        <v>0</v>
      </c>
      <c r="K67" s="43">
        <v>0</v>
      </c>
      <c r="L67" s="49">
        <f>K67/K12</f>
        <v>0</v>
      </c>
      <c r="M67" s="18"/>
      <c r="N67" s="49">
        <f>M67/M12</f>
        <v>0</v>
      </c>
      <c r="O67" s="18"/>
      <c r="P67" s="49">
        <f>O67/O12</f>
        <v>0</v>
      </c>
      <c r="Q67" s="18"/>
      <c r="R67" s="49">
        <f>Q67/Q12</f>
        <v>0</v>
      </c>
      <c r="S67" s="18"/>
      <c r="T67" s="49">
        <f>S67/S12</f>
        <v>0</v>
      </c>
      <c r="U67" s="43"/>
      <c r="V67" s="49">
        <f>U67/U12</f>
        <v>0</v>
      </c>
      <c r="W67" s="33"/>
      <c r="X67" s="49">
        <f>W67/W12</f>
        <v>0</v>
      </c>
      <c r="Y67" s="43"/>
      <c r="Z67" s="179">
        <f>Y67/Y12</f>
        <v>0</v>
      </c>
      <c r="AA67" s="286">
        <f t="shared" si="19"/>
        <v>0</v>
      </c>
      <c r="AB67" s="214">
        <f>AA67/AA12</f>
        <v>0</v>
      </c>
      <c r="AC67" s="205">
        <v>0</v>
      </c>
      <c r="AD67" s="214">
        <f>AC67/AC12</f>
        <v>0</v>
      </c>
      <c r="AE67" s="75"/>
      <c r="AF67" s="169"/>
      <c r="AG67" s="75"/>
      <c r="AH67" s="205">
        <v>0</v>
      </c>
      <c r="AI67" s="255">
        <f>AH67/AH12</f>
        <v>0</v>
      </c>
      <c r="AJ67" s="293">
        <f t="shared" si="2"/>
        <v>0</v>
      </c>
      <c r="AK67" s="1"/>
      <c r="AL67" s="53"/>
      <c r="AM67" s="53">
        <f t="shared" si="17"/>
        <v>0</v>
      </c>
      <c r="AN67" s="53" t="e">
        <f>#REF!-AM67</f>
        <v>#REF!</v>
      </c>
      <c r="AO67" s="53"/>
    </row>
    <row r="68" spans="1:41">
      <c r="A68" s="99">
        <v>6127</v>
      </c>
      <c r="B68" s="111" t="s">
        <v>76</v>
      </c>
      <c r="C68" s="18">
        <v>408.63299999999998</v>
      </c>
      <c r="D68" s="49">
        <f>C68/C12</f>
        <v>1.6152076556083023E-3</v>
      </c>
      <c r="E68" s="18">
        <v>500</v>
      </c>
      <c r="F68" s="49">
        <f>E68/E12</f>
        <v>3.0175132186219711E-3</v>
      </c>
      <c r="G68" s="18">
        <v>500</v>
      </c>
      <c r="H68" s="49">
        <f>G68/G12</f>
        <v>2.5587472145337594E-3</v>
      </c>
      <c r="I68" s="18">
        <v>500</v>
      </c>
      <c r="J68" s="49">
        <f>I68/I12</f>
        <v>2.3294406826797087E-3</v>
      </c>
      <c r="K68" s="18">
        <v>500</v>
      </c>
      <c r="L68" s="49">
        <f t="shared" ref="L68" si="43">K68/K12</f>
        <v>2.6209663858268303E-3</v>
      </c>
      <c r="M68" s="18">
        <v>500</v>
      </c>
      <c r="N68" s="49">
        <f t="shared" ref="N68" si="44">M68/M12</f>
        <v>2.4674318789035103E-3</v>
      </c>
      <c r="O68" s="18">
        <v>500</v>
      </c>
      <c r="P68" s="49">
        <f t="shared" ref="P68" si="45">O68/O12</f>
        <v>2.6054448086487913E-3</v>
      </c>
      <c r="Q68" s="18">
        <v>500</v>
      </c>
      <c r="R68" s="49">
        <f t="shared" ref="R68" si="46">Q68/Q12</f>
        <v>2.7780678085456692E-3</v>
      </c>
      <c r="S68" s="18">
        <v>500</v>
      </c>
      <c r="T68" s="49">
        <f t="shared" ref="T68" si="47">S68/S12</f>
        <v>3.0755580636472671E-3</v>
      </c>
      <c r="U68" s="18">
        <v>500</v>
      </c>
      <c r="V68" s="49">
        <f t="shared" ref="V68" si="48">U68/U12</f>
        <v>2.1558062334436062E-3</v>
      </c>
      <c r="W68" s="18">
        <v>500</v>
      </c>
      <c r="X68" s="49">
        <f t="shared" ref="X68" si="49">W68/W12</f>
        <v>3.2228731623934023E-3</v>
      </c>
      <c r="Y68" s="18">
        <v>500</v>
      </c>
      <c r="Z68" s="179">
        <f t="shared" ref="Z68" si="50">Y68/Y12</f>
        <v>2.315331226082126E-3</v>
      </c>
      <c r="AA68" s="286">
        <f t="shared" si="19"/>
        <v>5908.6329999999998</v>
      </c>
      <c r="AB68" s="214">
        <f>AA68/AA12</f>
        <v>2.5040450311873729E-3</v>
      </c>
      <c r="AC68" s="205">
        <v>6000</v>
      </c>
      <c r="AD68" s="214">
        <f>AC68/AC12</f>
        <v>7.4512858218237351E-3</v>
      </c>
      <c r="AE68" s="75"/>
      <c r="AF68" s="169"/>
      <c r="AG68" s="75"/>
      <c r="AH68" s="205">
        <v>6000</v>
      </c>
      <c r="AI68" s="255">
        <f>AH68/AH12</f>
        <v>7.4512858218237351E-3</v>
      </c>
      <c r="AJ68" s="293">
        <f t="shared" si="2"/>
        <v>17908.633000000002</v>
      </c>
      <c r="AK68" s="1"/>
      <c r="AL68" s="53"/>
      <c r="AM68" s="53">
        <f t="shared" si="17"/>
        <v>47000</v>
      </c>
      <c r="AN68" s="53" t="e">
        <f>#REF!-AM68</f>
        <v>#REF!</v>
      </c>
      <c r="AO68" s="53"/>
    </row>
    <row r="69" spans="1:41">
      <c r="A69" s="2">
        <v>6128</v>
      </c>
      <c r="B69" s="111" t="s">
        <v>99</v>
      </c>
      <c r="C69" s="136"/>
      <c r="D69" s="49"/>
      <c r="E69" s="43"/>
      <c r="F69" s="49"/>
      <c r="G69" s="80"/>
      <c r="H69" s="49"/>
      <c r="I69" s="18"/>
      <c r="J69" s="49"/>
      <c r="K69" s="43"/>
      <c r="L69" s="49"/>
      <c r="M69" s="18"/>
      <c r="N69" s="49"/>
      <c r="O69" s="18"/>
      <c r="P69" s="49"/>
      <c r="Q69" s="18"/>
      <c r="R69" s="49"/>
      <c r="S69" s="18"/>
      <c r="T69" s="49"/>
      <c r="U69" s="43"/>
      <c r="V69" s="49"/>
      <c r="W69" s="33"/>
      <c r="X69" s="49"/>
      <c r="Y69" s="43"/>
      <c r="Z69" s="179"/>
      <c r="AA69" s="286">
        <f t="shared" si="19"/>
        <v>0</v>
      </c>
      <c r="AB69" s="214"/>
      <c r="AC69" s="205">
        <v>0</v>
      </c>
      <c r="AD69" s="214"/>
      <c r="AE69" s="75"/>
      <c r="AF69" s="169"/>
      <c r="AG69" s="75"/>
      <c r="AH69" s="205">
        <v>0</v>
      </c>
      <c r="AI69" s="255"/>
      <c r="AJ69" s="293">
        <f t="shared" si="2"/>
        <v>0</v>
      </c>
      <c r="AK69" s="1"/>
      <c r="AL69" s="53"/>
      <c r="AM69" s="53">
        <f t="shared" si="17"/>
        <v>0</v>
      </c>
      <c r="AN69" s="53" t="e">
        <f>#REF!-AM69</f>
        <v>#REF!</v>
      </c>
      <c r="AO69" s="53"/>
    </row>
    <row r="70" spans="1:41" ht="15.75" thickBot="1">
      <c r="A70" s="4">
        <v>6199</v>
      </c>
      <c r="B70" s="113" t="s">
        <v>24</v>
      </c>
      <c r="C70" s="27">
        <f>SUM(C42:C69)</f>
        <v>9558.4920000000002</v>
      </c>
      <c r="D70" s="68">
        <f>C70/C12</f>
        <v>3.7781944812266051E-2</v>
      </c>
      <c r="E70" s="55">
        <f>SUM(E42:E68)</f>
        <v>11350</v>
      </c>
      <c r="F70" s="68">
        <f>E70/E12</f>
        <v>6.8497550062718737E-2</v>
      </c>
      <c r="G70" s="82">
        <f>SUM(G42:G68)</f>
        <v>11350</v>
      </c>
      <c r="H70" s="68">
        <f>G70/G12</f>
        <v>5.8083561769916338E-2</v>
      </c>
      <c r="I70" s="20">
        <f>SUM(I42:I68)</f>
        <v>11380</v>
      </c>
      <c r="J70" s="68">
        <f>I70/I12</f>
        <v>5.3018069937790173E-2</v>
      </c>
      <c r="K70" s="55">
        <f>SUM(K42:K68)</f>
        <v>11380</v>
      </c>
      <c r="L70" s="68">
        <f>K70/K12</f>
        <v>5.9653194941418658E-2</v>
      </c>
      <c r="M70" s="20">
        <f>SUM(M42:M68)</f>
        <v>11380</v>
      </c>
      <c r="N70" s="68">
        <f>M70/M12</f>
        <v>5.6158749563843896E-2</v>
      </c>
      <c r="O70" s="20">
        <f>SUM(O42:O68)</f>
        <v>11380</v>
      </c>
      <c r="P70" s="68">
        <f>O70/O12</f>
        <v>5.9299923844846489E-2</v>
      </c>
      <c r="Q70" s="20">
        <f>SUM(Q42:Q68)</f>
        <v>11380</v>
      </c>
      <c r="R70" s="68">
        <f>Q70/Q12</f>
        <v>6.3228823322499433E-2</v>
      </c>
      <c r="S70" s="20">
        <f>SUM(S42:S68)</f>
        <v>11380</v>
      </c>
      <c r="T70" s="68">
        <f>S70/S12</f>
        <v>6.9999701528611791E-2</v>
      </c>
      <c r="U70" s="55">
        <f>SUM(U42:U68)</f>
        <v>11380</v>
      </c>
      <c r="V70" s="68">
        <f>U70/U12</f>
        <v>4.9066149873176472E-2</v>
      </c>
      <c r="W70" s="34">
        <f>SUM(W42:W68)</f>
        <v>11380</v>
      </c>
      <c r="X70" s="68">
        <f>W70/W12</f>
        <v>7.3352593176073844E-2</v>
      </c>
      <c r="Y70" s="55">
        <f>SUM(Y42:Y68)</f>
        <v>11360</v>
      </c>
      <c r="Z70" s="223">
        <f>Y70/Y12</f>
        <v>5.2604325456585901E-2</v>
      </c>
      <c r="AA70" s="211">
        <f>SUM(AA42:AA69)</f>
        <v>134658.492</v>
      </c>
      <c r="AB70" s="245">
        <f>AA70/AA12</f>
        <v>5.7067502381648101E-2</v>
      </c>
      <c r="AC70" s="211">
        <f>SUM(AC42:AC69)</f>
        <v>135144.62900000002</v>
      </c>
      <c r="AD70" s="245">
        <f>AC70/AC12</f>
        <v>0.16783354299388817</v>
      </c>
      <c r="AE70" s="75"/>
      <c r="AF70" s="169"/>
      <c r="AG70" s="75"/>
      <c r="AH70" s="211">
        <f>SUM(AH42:AH69)</f>
        <v>135144.62900000002</v>
      </c>
      <c r="AI70" s="259">
        <f>AH70/AH12</f>
        <v>0.16783354299388817</v>
      </c>
      <c r="AJ70" s="297">
        <f t="shared" ref="AJ70:AJ133" si="51">SUM(AA70+AC70+AH70)</f>
        <v>404947.75000000006</v>
      </c>
      <c r="AK70" s="1"/>
      <c r="AL70" s="53"/>
      <c r="AM70" s="53">
        <f t="shared" si="17"/>
        <v>1069250</v>
      </c>
      <c r="AN70" s="53" t="e">
        <f>#REF!-AM70</f>
        <v>#REF!</v>
      </c>
      <c r="AO70" s="53"/>
    </row>
    <row r="71" spans="1:41" ht="15.75" thickTop="1">
      <c r="A71" s="99">
        <v>6201</v>
      </c>
      <c r="B71" s="112" t="s">
        <v>25</v>
      </c>
      <c r="C71" s="80">
        <v>7307.3019999999997</v>
      </c>
      <c r="D71" s="49">
        <f>C71/C12</f>
        <v>2.8883644082200552E-2</v>
      </c>
      <c r="E71" s="80">
        <v>7000</v>
      </c>
      <c r="F71" s="49">
        <f>E71/E12</f>
        <v>4.2245185060707596E-2</v>
      </c>
      <c r="G71" s="80">
        <v>7000</v>
      </c>
      <c r="H71" s="49">
        <f>G71/G12</f>
        <v>3.5822461003472632E-2</v>
      </c>
      <c r="I71" s="80">
        <v>7000</v>
      </c>
      <c r="J71" s="49">
        <f>I71/I12</f>
        <v>3.2612169557515926E-2</v>
      </c>
      <c r="K71" s="80">
        <v>7000</v>
      </c>
      <c r="L71" s="49">
        <f>K71/K12</f>
        <v>3.6693529401575622E-2</v>
      </c>
      <c r="M71" s="80">
        <v>7000</v>
      </c>
      <c r="N71" s="49">
        <f>M71/M12</f>
        <v>3.4544046304649148E-2</v>
      </c>
      <c r="O71" s="80">
        <v>7000</v>
      </c>
      <c r="P71" s="49">
        <f>O71/O12</f>
        <v>3.6476227321083077E-2</v>
      </c>
      <c r="Q71" s="80">
        <v>7000</v>
      </c>
      <c r="R71" s="49">
        <f>Q71/Q12</f>
        <v>3.8892949319639374E-2</v>
      </c>
      <c r="S71" s="80">
        <v>7000</v>
      </c>
      <c r="T71" s="49">
        <f>S71/S12</f>
        <v>4.3057812891061739E-2</v>
      </c>
      <c r="U71" s="80">
        <v>7000</v>
      </c>
      <c r="V71" s="49">
        <f>U71/U12</f>
        <v>3.0181287268210483E-2</v>
      </c>
      <c r="W71" s="80">
        <v>7000</v>
      </c>
      <c r="X71" s="49">
        <f>W71/W12</f>
        <v>4.5120224273507634E-2</v>
      </c>
      <c r="Y71" s="80">
        <v>7000</v>
      </c>
      <c r="Z71" s="179">
        <f>Y71/Y12</f>
        <v>3.2414637165149765E-2</v>
      </c>
      <c r="AA71" s="286">
        <f t="shared" ref="AA71:AA86" si="52">C71+E71+G71+I71+K71+M71+O71+Q71+S71+U71+W71+Y71</f>
        <v>84307.301999999996</v>
      </c>
      <c r="AB71" s="214">
        <f>AA71/AA12</f>
        <v>3.5728954677996291E-2</v>
      </c>
      <c r="AC71" s="208">
        <v>84307.301999999996</v>
      </c>
      <c r="AD71" s="214">
        <f>AC71/AC12</f>
        <v>0.10469963401146865</v>
      </c>
      <c r="AE71" s="75"/>
      <c r="AF71" s="169"/>
      <c r="AG71" s="75"/>
      <c r="AH71" s="208">
        <v>84307.301999999996</v>
      </c>
      <c r="AI71" s="255">
        <f>AH71/AH12</f>
        <v>0.10469963401146865</v>
      </c>
      <c r="AJ71" s="293">
        <f t="shared" si="51"/>
        <v>252921.90599999999</v>
      </c>
      <c r="AK71" s="1"/>
      <c r="AL71" s="53"/>
      <c r="AM71" s="53">
        <f t="shared" si="17"/>
        <v>658000</v>
      </c>
      <c r="AN71" s="53" t="e">
        <f>#REF!-AM71</f>
        <v>#REF!</v>
      </c>
      <c r="AO71" s="53"/>
    </row>
    <row r="72" spans="1:41">
      <c r="A72" s="2">
        <v>6202</v>
      </c>
      <c r="B72" s="112" t="s">
        <v>26</v>
      </c>
      <c r="C72" s="80">
        <v>2087.8000000000002</v>
      </c>
      <c r="D72" s="49">
        <f>C72/C12</f>
        <v>8.2524674790802836E-3</v>
      </c>
      <c r="E72" s="80">
        <v>2000</v>
      </c>
      <c r="F72" s="49">
        <f>E72/E12</f>
        <v>1.2070052874487884E-2</v>
      </c>
      <c r="G72" s="80">
        <v>2000</v>
      </c>
      <c r="H72" s="49">
        <f>G72/G12</f>
        <v>1.0234988858135037E-2</v>
      </c>
      <c r="I72" s="80">
        <v>2000</v>
      </c>
      <c r="J72" s="49">
        <f>I72/I12</f>
        <v>9.3177627307188347E-3</v>
      </c>
      <c r="K72" s="80">
        <v>2000</v>
      </c>
      <c r="L72" s="49">
        <f>K72/K12</f>
        <v>1.0483865543307321E-2</v>
      </c>
      <c r="M72" s="80">
        <v>2000</v>
      </c>
      <c r="N72" s="49">
        <f>M72/M12</f>
        <v>9.8697275156140411E-3</v>
      </c>
      <c r="O72" s="80">
        <v>2000</v>
      </c>
      <c r="P72" s="49">
        <f>O72/O12</f>
        <v>1.0421779234595165E-2</v>
      </c>
      <c r="Q72" s="80">
        <v>2000</v>
      </c>
      <c r="R72" s="49">
        <f>Q72/Q12</f>
        <v>1.1112271234182677E-2</v>
      </c>
      <c r="S72" s="80">
        <v>2000</v>
      </c>
      <c r="T72" s="49">
        <f>S72/S12</f>
        <v>1.2302232254589068E-2</v>
      </c>
      <c r="U72" s="80">
        <v>2000</v>
      </c>
      <c r="V72" s="49">
        <f>U72/U12</f>
        <v>8.6232249337744246E-3</v>
      </c>
      <c r="W72" s="80">
        <v>2000</v>
      </c>
      <c r="X72" s="49">
        <f>W72/W12</f>
        <v>1.2891492649573609E-2</v>
      </c>
      <c r="Y72" s="80">
        <v>2000</v>
      </c>
      <c r="Z72" s="179">
        <f>Y72/Y12</f>
        <v>9.261324904328504E-3</v>
      </c>
      <c r="AA72" s="286">
        <f t="shared" si="52"/>
        <v>24087.8</v>
      </c>
      <c r="AB72" s="214">
        <f>AA72/AA12</f>
        <v>1.0208272522973622E-2</v>
      </c>
      <c r="AC72" s="208">
        <v>24087.8</v>
      </c>
      <c r="AD72" s="214">
        <f>AC72/AC12</f>
        <v>2.9914180436487629E-2</v>
      </c>
      <c r="AE72" s="75"/>
      <c r="AF72" s="169"/>
      <c r="AG72" s="75"/>
      <c r="AH72" s="208">
        <v>24087.8</v>
      </c>
      <c r="AI72" s="255">
        <f>AH72/AH12</f>
        <v>2.9914180436487629E-2</v>
      </c>
      <c r="AJ72" s="293">
        <f t="shared" si="51"/>
        <v>72263.399999999994</v>
      </c>
      <c r="AK72" s="1"/>
      <c r="AL72" s="53"/>
      <c r="AM72" s="53">
        <f t="shared" si="17"/>
        <v>188000</v>
      </c>
      <c r="AN72" s="53" t="e">
        <f>#REF!-AM72</f>
        <v>#REF!</v>
      </c>
      <c r="AO72" s="53"/>
    </row>
    <row r="73" spans="1:41">
      <c r="A73" s="2">
        <v>6203</v>
      </c>
      <c r="B73" s="112" t="s">
        <v>27</v>
      </c>
      <c r="C73" s="80">
        <v>1043.9000000000001</v>
      </c>
      <c r="D73" s="49">
        <f>C73/C12</f>
        <v>4.1262337395401418E-3</v>
      </c>
      <c r="E73" s="80">
        <v>1000</v>
      </c>
      <c r="F73" s="49">
        <f>E73/E12</f>
        <v>6.0350264372439422E-3</v>
      </c>
      <c r="G73" s="80">
        <v>1000</v>
      </c>
      <c r="H73" s="49">
        <f>G73/G12</f>
        <v>5.1174944290675187E-3</v>
      </c>
      <c r="I73" s="80">
        <v>1000</v>
      </c>
      <c r="J73" s="49">
        <f>I73/I12</f>
        <v>4.6588813653594173E-3</v>
      </c>
      <c r="K73" s="80">
        <v>1000</v>
      </c>
      <c r="L73" s="49">
        <f>K73/K12</f>
        <v>5.2419327716536606E-3</v>
      </c>
      <c r="M73" s="80">
        <v>1000</v>
      </c>
      <c r="N73" s="49">
        <f>M73/M12</f>
        <v>4.9348637578070205E-3</v>
      </c>
      <c r="O73" s="80">
        <v>1000</v>
      </c>
      <c r="P73" s="49">
        <f>O73/O12</f>
        <v>5.2108896172975826E-3</v>
      </c>
      <c r="Q73" s="80">
        <v>1000</v>
      </c>
      <c r="R73" s="49">
        <f>Q73/Q12</f>
        <v>5.5561356170913383E-3</v>
      </c>
      <c r="S73" s="80">
        <v>1000</v>
      </c>
      <c r="T73" s="49">
        <f>S73/S12</f>
        <v>6.1511161272945342E-3</v>
      </c>
      <c r="U73" s="80">
        <v>1000</v>
      </c>
      <c r="V73" s="49">
        <f>U73/U12</f>
        <v>4.3116124668872123E-3</v>
      </c>
      <c r="W73" s="80">
        <v>1000</v>
      </c>
      <c r="X73" s="49">
        <f>W73/W12</f>
        <v>6.4457463247868047E-3</v>
      </c>
      <c r="Y73" s="80">
        <v>1000</v>
      </c>
      <c r="Z73" s="179">
        <f>Y73/Y12</f>
        <v>4.630662452164252E-3</v>
      </c>
      <c r="AA73" s="286">
        <f t="shared" si="52"/>
        <v>12043.9</v>
      </c>
      <c r="AB73" s="214">
        <f>AA73/AA12</f>
        <v>5.1041362614868109E-3</v>
      </c>
      <c r="AC73" s="208">
        <v>12043.9</v>
      </c>
      <c r="AD73" s="214">
        <f>AC73/AC12</f>
        <v>1.4957090218243815E-2</v>
      </c>
      <c r="AE73" s="75"/>
      <c r="AF73" s="169"/>
      <c r="AG73" s="75"/>
      <c r="AH73" s="208">
        <v>12043.9</v>
      </c>
      <c r="AI73" s="255">
        <f>AH73/AH12</f>
        <v>1.4957090218243815E-2</v>
      </c>
      <c r="AJ73" s="293">
        <f t="shared" si="51"/>
        <v>36131.699999999997</v>
      </c>
      <c r="AK73" s="1"/>
      <c r="AL73" s="53"/>
      <c r="AM73" s="53">
        <f t="shared" si="17"/>
        <v>94000</v>
      </c>
      <c r="AN73" s="53" t="e">
        <f>#REF!-AM73</f>
        <v>#REF!</v>
      </c>
      <c r="AO73" s="53"/>
    </row>
    <row r="74" spans="1:41">
      <c r="A74" s="2">
        <v>6204</v>
      </c>
      <c r="B74" s="112" t="s">
        <v>28</v>
      </c>
      <c r="C74" s="136"/>
      <c r="D74" s="49">
        <f>C74/C12</f>
        <v>0</v>
      </c>
      <c r="E74" s="136"/>
      <c r="F74" s="49">
        <f>E74/E12</f>
        <v>0</v>
      </c>
      <c r="G74" s="136"/>
      <c r="H74" s="49">
        <f>G74/G12</f>
        <v>0</v>
      </c>
      <c r="I74" s="136"/>
      <c r="J74" s="49">
        <f>I74/I12</f>
        <v>0</v>
      </c>
      <c r="K74" s="136"/>
      <c r="L74" s="49">
        <f>K74/K12</f>
        <v>0</v>
      </c>
      <c r="M74" s="136"/>
      <c r="N74" s="49">
        <f>M74/M12</f>
        <v>0</v>
      </c>
      <c r="O74" s="136"/>
      <c r="P74" s="49">
        <f>O74/O12</f>
        <v>0</v>
      </c>
      <c r="Q74" s="136"/>
      <c r="R74" s="49">
        <f>Q74/Q12</f>
        <v>0</v>
      </c>
      <c r="S74" s="136"/>
      <c r="T74" s="49">
        <f>S74/S12</f>
        <v>0</v>
      </c>
      <c r="U74" s="136"/>
      <c r="V74" s="49">
        <f>U74/U12</f>
        <v>0</v>
      </c>
      <c r="W74" s="136"/>
      <c r="X74" s="49">
        <f>W74/W12</f>
        <v>0</v>
      </c>
      <c r="Y74" s="136"/>
      <c r="Z74" s="179">
        <f>Y74/Y12</f>
        <v>0</v>
      </c>
      <c r="AA74" s="286">
        <f t="shared" si="52"/>
        <v>0</v>
      </c>
      <c r="AB74" s="214">
        <f>AA74/AA12</f>
        <v>0</v>
      </c>
      <c r="AC74" s="205">
        <v>0</v>
      </c>
      <c r="AD74" s="214">
        <f>AC74/AC12</f>
        <v>0</v>
      </c>
      <c r="AE74" s="75"/>
      <c r="AF74" s="169"/>
      <c r="AG74" s="75"/>
      <c r="AH74" s="205">
        <v>0</v>
      </c>
      <c r="AI74" s="255">
        <f>AH74/AH12</f>
        <v>0</v>
      </c>
      <c r="AJ74" s="293">
        <f t="shared" si="51"/>
        <v>0</v>
      </c>
      <c r="AK74" s="1"/>
      <c r="AL74" s="53"/>
      <c r="AM74" s="53">
        <f t="shared" si="17"/>
        <v>0</v>
      </c>
      <c r="AN74" s="53" t="e">
        <f>#REF!-AM74</f>
        <v>#REF!</v>
      </c>
      <c r="AO74" s="53"/>
    </row>
    <row r="75" spans="1:41">
      <c r="A75" s="2">
        <v>6205</v>
      </c>
      <c r="B75" s="112" t="s">
        <v>29</v>
      </c>
      <c r="C75" s="136"/>
      <c r="D75" s="49">
        <f>C75/C12</f>
        <v>0</v>
      </c>
      <c r="E75" s="136"/>
      <c r="F75" s="49">
        <f>E75/E12</f>
        <v>0</v>
      </c>
      <c r="G75" s="136"/>
      <c r="H75" s="49">
        <f>G75/G12</f>
        <v>0</v>
      </c>
      <c r="I75" s="136"/>
      <c r="J75" s="49">
        <f>I75/I12</f>
        <v>0</v>
      </c>
      <c r="K75" s="136"/>
      <c r="L75" s="49">
        <f>K75/K12</f>
        <v>0</v>
      </c>
      <c r="M75" s="136"/>
      <c r="N75" s="49">
        <f>M75/M12</f>
        <v>0</v>
      </c>
      <c r="O75" s="136"/>
      <c r="P75" s="49">
        <f>O75/O12</f>
        <v>0</v>
      </c>
      <c r="Q75" s="136"/>
      <c r="R75" s="49">
        <f>Q75/Q12</f>
        <v>0</v>
      </c>
      <c r="S75" s="136"/>
      <c r="T75" s="49">
        <f>S75/S12</f>
        <v>0</v>
      </c>
      <c r="U75" s="136"/>
      <c r="V75" s="49">
        <f>U75/U12</f>
        <v>0</v>
      </c>
      <c r="W75" s="136"/>
      <c r="X75" s="49">
        <f>W75/W12</f>
        <v>0</v>
      </c>
      <c r="Y75" s="136"/>
      <c r="Z75" s="179">
        <f>Y75/Y12</f>
        <v>0</v>
      </c>
      <c r="AA75" s="286">
        <f t="shared" si="52"/>
        <v>0</v>
      </c>
      <c r="AB75" s="214">
        <f>AA75/AA12</f>
        <v>0</v>
      </c>
      <c r="AC75" s="205">
        <v>0</v>
      </c>
      <c r="AD75" s="214">
        <f>AC75/AC12</f>
        <v>0</v>
      </c>
      <c r="AE75" s="75"/>
      <c r="AF75" s="169"/>
      <c r="AG75" s="75"/>
      <c r="AH75" s="205">
        <v>0</v>
      </c>
      <c r="AI75" s="255">
        <f>AH75/AH12</f>
        <v>0</v>
      </c>
      <c r="AJ75" s="293">
        <f t="shared" si="51"/>
        <v>0</v>
      </c>
      <c r="AK75" s="1"/>
      <c r="AL75" s="53"/>
      <c r="AM75" s="53">
        <f t="shared" ref="AM75:AM131" si="53">G75*9.4+I75*9.4+K75*9.4+M75*9.4+O75*9.4+Q75*9.4+S75*9.4+U75*9.4+W75*9.4+Y75*9.4</f>
        <v>0</v>
      </c>
      <c r="AN75" s="53" t="e">
        <f>#REF!-AM75</f>
        <v>#REF!</v>
      </c>
      <c r="AO75" s="53"/>
    </row>
    <row r="76" spans="1:41">
      <c r="A76" s="2">
        <v>6206</v>
      </c>
      <c r="B76" s="2" t="s">
        <v>207</v>
      </c>
      <c r="C76" s="136"/>
      <c r="D76" s="49">
        <f>C76/C12</f>
        <v>0</v>
      </c>
      <c r="E76" s="136"/>
      <c r="F76" s="49">
        <f>E76/E12</f>
        <v>0</v>
      </c>
      <c r="G76" s="136"/>
      <c r="H76" s="49">
        <f>G76/G12</f>
        <v>0</v>
      </c>
      <c r="I76" s="136"/>
      <c r="J76" s="49">
        <f>I76/I12</f>
        <v>0</v>
      </c>
      <c r="K76" s="136">
        <v>0</v>
      </c>
      <c r="L76" s="49">
        <f>K76/K12</f>
        <v>0</v>
      </c>
      <c r="M76" s="136"/>
      <c r="N76" s="49">
        <f>M76/M12</f>
        <v>0</v>
      </c>
      <c r="O76" s="136"/>
      <c r="P76" s="49">
        <f>O76/O12</f>
        <v>0</v>
      </c>
      <c r="Q76" s="136"/>
      <c r="R76" s="49">
        <f>Q76/Q12</f>
        <v>0</v>
      </c>
      <c r="S76" s="136"/>
      <c r="T76" s="49">
        <f>S76/S12</f>
        <v>0</v>
      </c>
      <c r="U76" s="136"/>
      <c r="V76" s="49">
        <f>U76/U12</f>
        <v>0</v>
      </c>
      <c r="W76" s="136"/>
      <c r="X76" s="49">
        <f>W76/W12</f>
        <v>0</v>
      </c>
      <c r="Y76" s="80"/>
      <c r="Z76" s="179">
        <f>Y76/Y12</f>
        <v>0</v>
      </c>
      <c r="AA76" s="286">
        <f t="shared" si="52"/>
        <v>0</v>
      </c>
      <c r="AB76" s="214">
        <f>AA76/AA12</f>
        <v>0</v>
      </c>
      <c r="AC76" s="205">
        <v>0</v>
      </c>
      <c r="AD76" s="214">
        <f>AC76/AC12</f>
        <v>0</v>
      </c>
      <c r="AE76" s="75"/>
      <c r="AF76" s="169"/>
      <c r="AG76" s="75"/>
      <c r="AH76" s="205">
        <v>0</v>
      </c>
      <c r="AI76" s="255">
        <f>AH76/AH12</f>
        <v>0</v>
      </c>
      <c r="AJ76" s="293">
        <f t="shared" si="51"/>
        <v>0</v>
      </c>
      <c r="AK76" s="1"/>
      <c r="AL76" s="53"/>
      <c r="AM76" s="53">
        <f t="shared" si="53"/>
        <v>0</v>
      </c>
      <c r="AN76" s="53" t="e">
        <f>#REF!-AM76</f>
        <v>#REF!</v>
      </c>
      <c r="AO76" s="53"/>
    </row>
    <row r="77" spans="1:41">
      <c r="A77" s="2">
        <v>6207</v>
      </c>
      <c r="B77" s="2" t="s">
        <v>208</v>
      </c>
      <c r="C77" s="136">
        <v>35.1</v>
      </c>
      <c r="D77" s="49">
        <f>C77/C12</f>
        <v>1.3874011328466229E-4</v>
      </c>
      <c r="E77" s="136">
        <v>100</v>
      </c>
      <c r="F77" s="49">
        <f>E77/E12</f>
        <v>6.0350264372439422E-4</v>
      </c>
      <c r="G77" s="136">
        <v>100</v>
      </c>
      <c r="H77" s="49">
        <f>G77/G12</f>
        <v>5.1174944290675189E-4</v>
      </c>
      <c r="I77" s="136">
        <v>100</v>
      </c>
      <c r="J77" s="49">
        <f>I77/I12</f>
        <v>4.6588813653594175E-4</v>
      </c>
      <c r="K77" s="136">
        <v>100</v>
      </c>
      <c r="L77" s="49">
        <f>K77/K12</f>
        <v>5.2419327716536602E-4</v>
      </c>
      <c r="M77" s="136">
        <v>100</v>
      </c>
      <c r="N77" s="49">
        <f>M77/M12</f>
        <v>4.9348637578070214E-4</v>
      </c>
      <c r="O77" s="136">
        <v>100</v>
      </c>
      <c r="P77" s="49">
        <f>O77/O12</f>
        <v>5.2108896172975829E-4</v>
      </c>
      <c r="Q77" s="136">
        <v>100</v>
      </c>
      <c r="R77" s="49">
        <f>Q77/Q12</f>
        <v>5.556135617091339E-4</v>
      </c>
      <c r="S77" s="136">
        <v>100</v>
      </c>
      <c r="T77" s="49">
        <f>S77/S12</f>
        <v>6.1511161272945344E-4</v>
      </c>
      <c r="U77" s="136">
        <v>100</v>
      </c>
      <c r="V77" s="49">
        <f>U77/U12</f>
        <v>4.3116124668872121E-4</v>
      </c>
      <c r="W77" s="136">
        <v>100</v>
      </c>
      <c r="X77" s="49">
        <f>W77/W12</f>
        <v>6.4457463247868051E-4</v>
      </c>
      <c r="Y77" s="136">
        <v>100</v>
      </c>
      <c r="Z77" s="179">
        <f>Y77/Y12</f>
        <v>4.6306624521642522E-4</v>
      </c>
      <c r="AA77" s="286">
        <f t="shared" si="52"/>
        <v>1135.0999999999999</v>
      </c>
      <c r="AB77" s="214">
        <f>AA77/AA12</f>
        <v>4.8104891857402325E-4</v>
      </c>
      <c r="AC77" s="205">
        <v>1135.0999999999999</v>
      </c>
      <c r="AD77" s="214">
        <f>AC77/AC12</f>
        <v>1.4096590893920202E-3</v>
      </c>
      <c r="AE77" s="75"/>
      <c r="AF77" s="169"/>
      <c r="AG77" s="75"/>
      <c r="AH77" s="205">
        <v>1135.0999999999999</v>
      </c>
      <c r="AI77" s="255">
        <f>AH77/AH12</f>
        <v>1.4096590893920202E-3</v>
      </c>
      <c r="AJ77" s="293">
        <f t="shared" si="51"/>
        <v>3405.2999999999997</v>
      </c>
      <c r="AK77" s="1"/>
      <c r="AL77" s="53"/>
      <c r="AM77" s="53">
        <f t="shared" si="53"/>
        <v>9400</v>
      </c>
      <c r="AN77" s="53" t="e">
        <f>#REF!-AM77</f>
        <v>#REF!</v>
      </c>
      <c r="AO77" s="53"/>
    </row>
    <row r="78" spans="1:41">
      <c r="A78" s="2">
        <v>6208</v>
      </c>
      <c r="B78" s="2" t="s">
        <v>209</v>
      </c>
      <c r="C78" s="136"/>
      <c r="D78" s="49">
        <f>C78/C12</f>
        <v>0</v>
      </c>
      <c r="E78" s="136"/>
      <c r="F78" s="49">
        <f>E78/E12</f>
        <v>0</v>
      </c>
      <c r="G78" s="136"/>
      <c r="H78" s="49">
        <f>G78/G12</f>
        <v>0</v>
      </c>
      <c r="I78" s="136"/>
      <c r="J78" s="49">
        <f>I78/I12</f>
        <v>0</v>
      </c>
      <c r="K78" s="136"/>
      <c r="L78" s="49">
        <f>K78/K12</f>
        <v>0</v>
      </c>
      <c r="M78" s="136"/>
      <c r="N78" s="49">
        <f>M78/M12</f>
        <v>0</v>
      </c>
      <c r="O78" s="136"/>
      <c r="P78" s="49">
        <f>O78/O12</f>
        <v>0</v>
      </c>
      <c r="Q78" s="136"/>
      <c r="R78" s="49">
        <f>Q78/Q12</f>
        <v>0</v>
      </c>
      <c r="S78" s="136"/>
      <c r="T78" s="49">
        <f>S78/S12</f>
        <v>0</v>
      </c>
      <c r="U78" s="136"/>
      <c r="V78" s="49">
        <f>U78/U12</f>
        <v>0</v>
      </c>
      <c r="W78" s="136"/>
      <c r="X78" s="49">
        <f>W78/W12</f>
        <v>0</v>
      </c>
      <c r="Y78" s="80"/>
      <c r="Z78" s="179">
        <f>Y78/Y12</f>
        <v>0</v>
      </c>
      <c r="AA78" s="286">
        <f t="shared" si="52"/>
        <v>0</v>
      </c>
      <c r="AB78" s="214">
        <f>AA78/AA12</f>
        <v>0</v>
      </c>
      <c r="AC78" s="205">
        <v>0</v>
      </c>
      <c r="AD78" s="214">
        <f>AC78/AC12</f>
        <v>0</v>
      </c>
      <c r="AE78" s="75"/>
      <c r="AF78" s="169"/>
      <c r="AG78" s="75"/>
      <c r="AH78" s="205">
        <v>0</v>
      </c>
      <c r="AI78" s="255">
        <f>AH78/AH12</f>
        <v>0</v>
      </c>
      <c r="AJ78" s="293">
        <f t="shared" si="51"/>
        <v>0</v>
      </c>
      <c r="AK78" s="1"/>
      <c r="AL78" s="53"/>
      <c r="AM78" s="53">
        <f t="shared" si="53"/>
        <v>0</v>
      </c>
      <c r="AN78" s="53" t="e">
        <f>#REF!-AM78</f>
        <v>#REF!</v>
      </c>
      <c r="AO78" s="53"/>
    </row>
    <row r="79" spans="1:41">
      <c r="A79" s="2">
        <v>6209</v>
      </c>
      <c r="B79" s="112" t="s">
        <v>30</v>
      </c>
      <c r="C79" s="136">
        <v>656.39</v>
      </c>
      <c r="D79" s="49">
        <f>C79/C12</f>
        <v>2.5945191726187886E-3</v>
      </c>
      <c r="E79" s="136">
        <v>650</v>
      </c>
      <c r="F79" s="49">
        <f>E79/E12</f>
        <v>3.9227671842085622E-3</v>
      </c>
      <c r="G79" s="136">
        <v>650</v>
      </c>
      <c r="H79" s="49">
        <f>G79/G12</f>
        <v>3.326371378893887E-3</v>
      </c>
      <c r="I79" s="136">
        <v>650</v>
      </c>
      <c r="J79" s="49">
        <f>I79/I12</f>
        <v>3.0282728874836216E-3</v>
      </c>
      <c r="K79" s="136">
        <v>650</v>
      </c>
      <c r="L79" s="49">
        <f>K79/K12</f>
        <v>3.4072563015748792E-3</v>
      </c>
      <c r="M79" s="136">
        <v>650</v>
      </c>
      <c r="N79" s="49">
        <f>M79/M12</f>
        <v>3.2076614425745635E-3</v>
      </c>
      <c r="O79" s="136">
        <v>650</v>
      </c>
      <c r="P79" s="49">
        <f>O79/O12</f>
        <v>3.3870782512434288E-3</v>
      </c>
      <c r="Q79" s="136">
        <v>650</v>
      </c>
      <c r="R79" s="49">
        <f>Q79/Q12</f>
        <v>3.6114881511093702E-3</v>
      </c>
      <c r="S79" s="136">
        <v>650</v>
      </c>
      <c r="T79" s="49">
        <f>S79/S12</f>
        <v>3.9982254827414469E-3</v>
      </c>
      <c r="U79" s="136">
        <v>650</v>
      </c>
      <c r="V79" s="49">
        <f>U79/U12</f>
        <v>2.8025481034766879E-3</v>
      </c>
      <c r="W79" s="136">
        <v>650</v>
      </c>
      <c r="X79" s="49">
        <f>W79/W12</f>
        <v>4.189735111111423E-3</v>
      </c>
      <c r="Y79" s="136">
        <v>650</v>
      </c>
      <c r="Z79" s="179">
        <f>Y79/Y12</f>
        <v>3.0099305939067641E-3</v>
      </c>
      <c r="AA79" s="286">
        <f t="shared" si="52"/>
        <v>7806.3899999999994</v>
      </c>
      <c r="AB79" s="214">
        <f>AA79/AA12</f>
        <v>3.3083036450242877E-3</v>
      </c>
      <c r="AC79" s="205">
        <v>7806.3899999999994</v>
      </c>
      <c r="AD79" s="214">
        <f>AC79/AC12</f>
        <v>9.6946071877710982E-3</v>
      </c>
      <c r="AE79" s="75"/>
      <c r="AF79" s="169"/>
      <c r="AG79" s="75"/>
      <c r="AH79" s="205">
        <v>7806.3899999999994</v>
      </c>
      <c r="AI79" s="255">
        <f>AH79/AH12</f>
        <v>9.6946071877710982E-3</v>
      </c>
      <c r="AJ79" s="293">
        <f t="shared" si="51"/>
        <v>23419.17</v>
      </c>
      <c r="AK79" s="1"/>
      <c r="AL79" s="53"/>
      <c r="AM79" s="53">
        <f t="shared" si="53"/>
        <v>61100</v>
      </c>
      <c r="AN79" s="53" t="e">
        <f>#REF!-AM79</f>
        <v>#REF!</v>
      </c>
      <c r="AO79" s="53"/>
    </row>
    <row r="80" spans="1:41">
      <c r="A80" s="2">
        <v>6210</v>
      </c>
      <c r="B80" s="112" t="s">
        <v>31</v>
      </c>
      <c r="C80" s="136">
        <v>175.39</v>
      </c>
      <c r="D80" s="49">
        <f>C80/C12</f>
        <v>6.9326576834749054E-4</v>
      </c>
      <c r="E80" s="136">
        <v>175</v>
      </c>
      <c r="F80" s="49">
        <f>E80/E12</f>
        <v>1.0561296265176898E-3</v>
      </c>
      <c r="G80" s="136">
        <v>175</v>
      </c>
      <c r="H80" s="49">
        <f>G80/G12</f>
        <v>8.9556152508681573E-4</v>
      </c>
      <c r="I80" s="136">
        <v>175</v>
      </c>
      <c r="J80" s="49">
        <f>I80/I12</f>
        <v>8.153042389378981E-4</v>
      </c>
      <c r="K80" s="136">
        <v>175</v>
      </c>
      <c r="L80" s="49">
        <f>K80/K12</f>
        <v>9.1733823503939058E-4</v>
      </c>
      <c r="M80" s="136">
        <v>175</v>
      </c>
      <c r="N80" s="49">
        <f>M80/M12</f>
        <v>8.6360115761622864E-4</v>
      </c>
      <c r="O80" s="136">
        <v>175</v>
      </c>
      <c r="P80" s="49">
        <f>O80/O12</f>
        <v>9.1190568302707692E-4</v>
      </c>
      <c r="Q80" s="136">
        <v>175</v>
      </c>
      <c r="R80" s="49">
        <f>Q80/Q12</f>
        <v>9.723237329909843E-4</v>
      </c>
      <c r="S80" s="136">
        <v>175</v>
      </c>
      <c r="T80" s="49">
        <f>S80/S12</f>
        <v>1.0764453222765434E-3</v>
      </c>
      <c r="U80" s="136">
        <v>175</v>
      </c>
      <c r="V80" s="49">
        <f>U80/U12</f>
        <v>7.5453218170526209E-4</v>
      </c>
      <c r="W80" s="136">
        <v>175</v>
      </c>
      <c r="X80" s="49">
        <f>W80/W12</f>
        <v>1.1280056068376908E-3</v>
      </c>
      <c r="Y80" s="136">
        <v>175</v>
      </c>
      <c r="Z80" s="179">
        <f>Y80/Y12</f>
        <v>8.1036592912874417E-4</v>
      </c>
      <c r="AA80" s="286">
        <f t="shared" si="52"/>
        <v>2100.39</v>
      </c>
      <c r="AB80" s="214">
        <f>AA80/AA12</f>
        <v>8.9013332577190791E-4</v>
      </c>
      <c r="AC80" s="205">
        <v>2100.39</v>
      </c>
      <c r="AD80" s="214">
        <f>AC80/AC12</f>
        <v>2.6084343712167259E-3</v>
      </c>
      <c r="AE80" s="75"/>
      <c r="AF80" s="169"/>
      <c r="AG80" s="75"/>
      <c r="AH80" s="205">
        <v>2100.39</v>
      </c>
      <c r="AI80" s="255">
        <f>AH80/AH12</f>
        <v>2.6084343712167259E-3</v>
      </c>
      <c r="AJ80" s="293">
        <f t="shared" si="51"/>
        <v>6301.17</v>
      </c>
      <c r="AK80" s="1"/>
      <c r="AL80" s="53"/>
      <c r="AM80" s="53">
        <f t="shared" si="53"/>
        <v>16450</v>
      </c>
      <c r="AN80" s="53" t="e">
        <f>#REF!-AM80</f>
        <v>#REF!</v>
      </c>
      <c r="AO80" s="53"/>
    </row>
    <row r="81" spans="1:41">
      <c r="A81" s="2">
        <v>6211</v>
      </c>
      <c r="B81" s="112" t="s">
        <v>32</v>
      </c>
      <c r="C81" s="136">
        <v>177.6</v>
      </c>
      <c r="D81" s="49">
        <f>C81/C12</f>
        <v>7.0200125696171011E-4</v>
      </c>
      <c r="E81" s="136">
        <v>200</v>
      </c>
      <c r="F81" s="49">
        <f>E81/E12</f>
        <v>1.2070052874487884E-3</v>
      </c>
      <c r="G81" s="136">
        <v>200</v>
      </c>
      <c r="H81" s="49">
        <f>G81/G12</f>
        <v>1.0234988858135038E-3</v>
      </c>
      <c r="I81" s="136">
        <v>200</v>
      </c>
      <c r="J81" s="49">
        <f>I81/I12</f>
        <v>9.3177627307188351E-4</v>
      </c>
      <c r="K81" s="136">
        <v>200</v>
      </c>
      <c r="L81" s="49">
        <f>K81/K12</f>
        <v>1.048386554330732E-3</v>
      </c>
      <c r="M81" s="136">
        <v>200</v>
      </c>
      <c r="N81" s="49">
        <f>M81/M12</f>
        <v>9.8697275156140428E-4</v>
      </c>
      <c r="O81" s="136">
        <v>200</v>
      </c>
      <c r="P81" s="49">
        <f>O81/O12</f>
        <v>1.0421779234595166E-3</v>
      </c>
      <c r="Q81" s="136">
        <v>200</v>
      </c>
      <c r="R81" s="49">
        <f>Q81/Q12</f>
        <v>1.1112271234182678E-3</v>
      </c>
      <c r="S81" s="136">
        <v>200</v>
      </c>
      <c r="T81" s="49">
        <f>S81/S12</f>
        <v>1.2302232254589069E-3</v>
      </c>
      <c r="U81" s="136">
        <v>200</v>
      </c>
      <c r="V81" s="49">
        <f>U81/U12</f>
        <v>8.6232249337744242E-4</v>
      </c>
      <c r="W81" s="136">
        <v>200</v>
      </c>
      <c r="X81" s="49">
        <f>W81/W12</f>
        <v>1.289149264957361E-3</v>
      </c>
      <c r="Y81" s="136">
        <v>200</v>
      </c>
      <c r="Z81" s="179">
        <f>Y81/Y12</f>
        <v>9.2613249043285045E-4</v>
      </c>
      <c r="AA81" s="286">
        <f t="shared" si="52"/>
        <v>2377.6</v>
      </c>
      <c r="AB81" s="214">
        <f>AA81/AA12</f>
        <v>1.0076133457859199E-3</v>
      </c>
      <c r="AC81" s="205">
        <v>2377.6</v>
      </c>
      <c r="AD81" s="214">
        <f>AC81/AC12</f>
        <v>2.9526961949946856E-3</v>
      </c>
      <c r="AE81" s="75"/>
      <c r="AF81" s="169"/>
      <c r="AG81" s="75"/>
      <c r="AH81" s="205">
        <v>2377.6</v>
      </c>
      <c r="AI81" s="255">
        <f>AH81/AH12</f>
        <v>2.9526961949946856E-3</v>
      </c>
      <c r="AJ81" s="293">
        <f t="shared" si="51"/>
        <v>7132.7999999999993</v>
      </c>
      <c r="AK81" s="1"/>
      <c r="AL81" s="53"/>
      <c r="AM81" s="53">
        <f t="shared" si="53"/>
        <v>18800</v>
      </c>
      <c r="AN81" s="53" t="e">
        <f>#REF!-AM81</f>
        <v>#REF!</v>
      </c>
      <c r="AO81" s="53"/>
    </row>
    <row r="82" spans="1:41">
      <c r="A82" s="99">
        <v>6212</v>
      </c>
      <c r="B82" s="112" t="s">
        <v>33</v>
      </c>
      <c r="C82" s="23">
        <v>0</v>
      </c>
      <c r="D82" s="49">
        <f>C82/C12</f>
        <v>0</v>
      </c>
      <c r="E82" s="23"/>
      <c r="F82" s="49">
        <f>E82/E12</f>
        <v>0</v>
      </c>
      <c r="G82" s="23"/>
      <c r="H82" s="49">
        <f>G82/G12</f>
        <v>0</v>
      </c>
      <c r="I82" s="23"/>
      <c r="J82" s="49">
        <f>I82/I12</f>
        <v>0</v>
      </c>
      <c r="K82" s="23"/>
      <c r="L82" s="49">
        <f>K82/K12</f>
        <v>0</v>
      </c>
      <c r="M82" s="23"/>
      <c r="N82" s="49">
        <f>M82/M12</f>
        <v>0</v>
      </c>
      <c r="O82" s="23"/>
      <c r="P82" s="49">
        <f>O82/O12</f>
        <v>0</v>
      </c>
      <c r="Q82" s="23"/>
      <c r="R82" s="49">
        <f>Q82/Q12</f>
        <v>0</v>
      </c>
      <c r="S82" s="23">
        <v>0</v>
      </c>
      <c r="T82" s="49">
        <f>S82/S12</f>
        <v>0</v>
      </c>
      <c r="U82" s="23"/>
      <c r="V82" s="49">
        <f>U82/U12</f>
        <v>0</v>
      </c>
      <c r="W82" s="23"/>
      <c r="X82" s="49">
        <f>W82/W12</f>
        <v>0</v>
      </c>
      <c r="Y82" s="23"/>
      <c r="Z82" s="179">
        <f>Y82/Y12</f>
        <v>0</v>
      </c>
      <c r="AA82" s="286">
        <f t="shared" si="52"/>
        <v>0</v>
      </c>
      <c r="AB82" s="214">
        <f>AA82/AA12</f>
        <v>0</v>
      </c>
      <c r="AC82" s="207">
        <v>0</v>
      </c>
      <c r="AD82" s="214">
        <f>AC82/AC12</f>
        <v>0</v>
      </c>
      <c r="AE82" s="75"/>
      <c r="AF82" s="169"/>
      <c r="AG82" s="75"/>
      <c r="AH82" s="207">
        <v>0</v>
      </c>
      <c r="AI82" s="255">
        <f>AH82/AH12</f>
        <v>0</v>
      </c>
      <c r="AJ82" s="293">
        <f t="shared" si="51"/>
        <v>0</v>
      </c>
      <c r="AK82" s="1"/>
      <c r="AL82" s="53"/>
      <c r="AM82" s="53">
        <f t="shared" si="53"/>
        <v>0</v>
      </c>
      <c r="AN82" s="53" t="e">
        <f>#REF!-AM82</f>
        <v>#REF!</v>
      </c>
      <c r="AO82" s="53"/>
    </row>
    <row r="83" spans="1:41">
      <c r="A83" s="99">
        <v>6213</v>
      </c>
      <c r="B83" s="112" t="s">
        <v>34</v>
      </c>
      <c r="C83" s="140">
        <v>0</v>
      </c>
      <c r="D83" s="49">
        <f>C83/C12</f>
        <v>0</v>
      </c>
      <c r="E83" s="79"/>
      <c r="F83" s="49">
        <f>E83/E12</f>
        <v>0</v>
      </c>
      <c r="G83" s="79"/>
      <c r="H83" s="49">
        <f>G83/G12</f>
        <v>0</v>
      </c>
      <c r="I83" s="140"/>
      <c r="J83" s="49">
        <f>I83/I12</f>
        <v>0</v>
      </c>
      <c r="K83" s="79"/>
      <c r="L83" s="49">
        <f>K83/K12</f>
        <v>0</v>
      </c>
      <c r="M83" s="140"/>
      <c r="N83" s="49">
        <f>M83/M12</f>
        <v>0</v>
      </c>
      <c r="O83" s="140"/>
      <c r="P83" s="49">
        <f>O83/O12</f>
        <v>0</v>
      </c>
      <c r="Q83" s="140">
        <v>2000</v>
      </c>
      <c r="R83" s="49">
        <f>Q83/Q12</f>
        <v>1.1112271234182677E-2</v>
      </c>
      <c r="S83" s="140">
        <v>0</v>
      </c>
      <c r="T83" s="49">
        <f>S83/S12</f>
        <v>0</v>
      </c>
      <c r="U83" s="79">
        <v>2000</v>
      </c>
      <c r="V83" s="49">
        <f>U83/U12</f>
        <v>8.6232249337744246E-3</v>
      </c>
      <c r="W83" s="79"/>
      <c r="X83" s="49">
        <f>W83/W12</f>
        <v>0</v>
      </c>
      <c r="Y83" s="79"/>
      <c r="Z83" s="179">
        <f>Y83/Y12</f>
        <v>0</v>
      </c>
      <c r="AA83" s="286">
        <f t="shared" si="52"/>
        <v>4000</v>
      </c>
      <c r="AB83" s="214">
        <f>AA83/AA12</f>
        <v>1.6951772304608344E-3</v>
      </c>
      <c r="AC83" s="207">
        <v>4000</v>
      </c>
      <c r="AD83" s="214">
        <f>AC83/AC12</f>
        <v>4.967523881215824E-3</v>
      </c>
      <c r="AE83" s="75"/>
      <c r="AF83" s="169"/>
      <c r="AG83" s="75"/>
      <c r="AH83" s="207">
        <v>4000</v>
      </c>
      <c r="AI83" s="255">
        <f>AH83/AH12</f>
        <v>4.967523881215824E-3</v>
      </c>
      <c r="AJ83" s="293">
        <f t="shared" si="51"/>
        <v>12000</v>
      </c>
      <c r="AK83" s="1"/>
      <c r="AL83" s="53"/>
      <c r="AM83" s="53">
        <f t="shared" si="53"/>
        <v>37600</v>
      </c>
      <c r="AN83" s="53" t="e">
        <f>#REF!-AM83</f>
        <v>#REF!</v>
      </c>
      <c r="AO83" s="53"/>
    </row>
    <row r="84" spans="1:41">
      <c r="A84" s="2">
        <v>6214</v>
      </c>
      <c r="B84" s="112" t="s">
        <v>35</v>
      </c>
      <c r="C84" s="140">
        <v>2819.9520000000002</v>
      </c>
      <c r="D84" s="49">
        <f>C84/C12</f>
        <v>1.1146451850065813E-2</v>
      </c>
      <c r="E84" s="140"/>
      <c r="F84" s="49">
        <f>E84/E12</f>
        <v>0</v>
      </c>
      <c r="G84" s="140">
        <v>1200</v>
      </c>
      <c r="H84" s="49">
        <f>G84/G12</f>
        <v>6.1409933148810223E-3</v>
      </c>
      <c r="I84" s="140"/>
      <c r="J84" s="49">
        <f>I84/I12</f>
        <v>0</v>
      </c>
      <c r="K84" s="140"/>
      <c r="L84" s="49">
        <f>K84/K12</f>
        <v>0</v>
      </c>
      <c r="M84" s="140">
        <v>1200</v>
      </c>
      <c r="N84" s="49">
        <f>M84/M12</f>
        <v>5.9218365093684248E-3</v>
      </c>
      <c r="O84" s="140"/>
      <c r="P84" s="49">
        <f>O84/O12</f>
        <v>0</v>
      </c>
      <c r="Q84" s="140">
        <v>1200</v>
      </c>
      <c r="R84" s="49">
        <f>Q84/Q12</f>
        <v>6.6673627405096064E-3</v>
      </c>
      <c r="S84" s="140"/>
      <c r="T84" s="49">
        <f>S84/S12</f>
        <v>0</v>
      </c>
      <c r="U84" s="140">
        <v>1200</v>
      </c>
      <c r="V84" s="49">
        <f>U84/U12</f>
        <v>5.1739349602646541E-3</v>
      </c>
      <c r="W84" s="140"/>
      <c r="X84" s="49">
        <f>W84/W12</f>
        <v>0</v>
      </c>
      <c r="Y84" s="140">
        <v>1200</v>
      </c>
      <c r="Z84" s="179">
        <f>Y84/Y12</f>
        <v>5.5567949425971023E-3</v>
      </c>
      <c r="AA84" s="286">
        <f t="shared" si="52"/>
        <v>8819.9520000000011</v>
      </c>
      <c r="AB84" s="214">
        <f>AA84/AA12</f>
        <v>3.7378454510393747E-3</v>
      </c>
      <c r="AC84" s="207">
        <v>8819.9520000000011</v>
      </c>
      <c r="AD84" s="214">
        <f>AC84/AC12</f>
        <v>1.0953330547794318E-2</v>
      </c>
      <c r="AE84" s="75"/>
      <c r="AF84" s="169"/>
      <c r="AG84" s="75"/>
      <c r="AH84" s="207">
        <v>8819.9520000000011</v>
      </c>
      <c r="AI84" s="255">
        <f>AH84/AH12</f>
        <v>1.0953330547794318E-2</v>
      </c>
      <c r="AJ84" s="293">
        <f t="shared" si="51"/>
        <v>26459.856000000003</v>
      </c>
      <c r="AK84" s="1"/>
      <c r="AL84" s="53"/>
      <c r="AM84" s="53">
        <f t="shared" si="53"/>
        <v>56400</v>
      </c>
      <c r="AN84" s="53" t="e">
        <f>#REF!-AM84</f>
        <v>#REF!</v>
      </c>
      <c r="AO84" s="53"/>
    </row>
    <row r="85" spans="1:41">
      <c r="A85" s="2">
        <v>6215</v>
      </c>
      <c r="B85" s="112" t="s">
        <v>36</v>
      </c>
      <c r="C85" s="136">
        <v>281.30799999999999</v>
      </c>
      <c r="D85" s="49">
        <f>C85/C12</f>
        <v>1.1119288828456348E-3</v>
      </c>
      <c r="E85" s="136">
        <v>300</v>
      </c>
      <c r="F85" s="49">
        <f>E85/E12</f>
        <v>1.8105079311731827E-3</v>
      </c>
      <c r="G85" s="136">
        <v>300</v>
      </c>
      <c r="H85" s="49">
        <f>G85/G12</f>
        <v>1.5352483287202556E-3</v>
      </c>
      <c r="I85" s="136">
        <v>300</v>
      </c>
      <c r="J85" s="49">
        <f>I85/I12</f>
        <v>1.3976644096078252E-3</v>
      </c>
      <c r="K85" s="136">
        <v>300</v>
      </c>
      <c r="L85" s="49">
        <f>K85/K12</f>
        <v>1.5725798314960983E-3</v>
      </c>
      <c r="M85" s="136">
        <v>300</v>
      </c>
      <c r="N85" s="49">
        <f>M85/M12</f>
        <v>1.4804591273421062E-3</v>
      </c>
      <c r="O85" s="136">
        <v>300</v>
      </c>
      <c r="P85" s="49">
        <f>O85/O12</f>
        <v>1.5632668851892747E-3</v>
      </c>
      <c r="Q85" s="136">
        <v>300</v>
      </c>
      <c r="R85" s="49">
        <f>Q85/Q12</f>
        <v>1.6668406851274016E-3</v>
      </c>
      <c r="S85" s="136">
        <v>300</v>
      </c>
      <c r="T85" s="49">
        <f>S85/S12</f>
        <v>1.8453348381883602E-3</v>
      </c>
      <c r="U85" s="136">
        <v>300</v>
      </c>
      <c r="V85" s="49">
        <f>U85/U12</f>
        <v>1.2934837400661635E-3</v>
      </c>
      <c r="W85" s="136">
        <v>300</v>
      </c>
      <c r="X85" s="49">
        <f>W85/W12</f>
        <v>1.9337238974360415E-3</v>
      </c>
      <c r="Y85" s="136">
        <v>300</v>
      </c>
      <c r="Z85" s="179">
        <f>Y85/Y12</f>
        <v>1.3891987356492756E-3</v>
      </c>
      <c r="AA85" s="286">
        <f t="shared" si="52"/>
        <v>3581.308</v>
      </c>
      <c r="AB85" s="214">
        <f>AA85/AA12</f>
        <v>1.5177379442168075E-3</v>
      </c>
      <c r="AC85" s="205">
        <v>3581.308</v>
      </c>
      <c r="AD85" s="214">
        <f>AC85/AC12</f>
        <v>4.4475582539973196E-3</v>
      </c>
      <c r="AE85" s="75"/>
      <c r="AF85" s="169"/>
      <c r="AG85" s="75"/>
      <c r="AH85" s="205">
        <v>3581.308</v>
      </c>
      <c r="AI85" s="255">
        <f>AH85/AH12</f>
        <v>4.4475582539973196E-3</v>
      </c>
      <c r="AJ85" s="293">
        <f t="shared" si="51"/>
        <v>10743.923999999999</v>
      </c>
      <c r="AK85" s="1"/>
      <c r="AL85" s="53"/>
      <c r="AM85" s="53">
        <f t="shared" si="53"/>
        <v>28200</v>
      </c>
      <c r="AN85" s="53" t="e">
        <f>#REF!-AM85</f>
        <v>#REF!</v>
      </c>
      <c r="AO85" s="53"/>
    </row>
    <row r="86" spans="1:41">
      <c r="A86" s="2">
        <v>6216</v>
      </c>
      <c r="B86" s="112" t="s">
        <v>111</v>
      </c>
      <c r="C86" s="136">
        <v>0</v>
      </c>
      <c r="D86" s="49">
        <f>C86/C12</f>
        <v>0</v>
      </c>
      <c r="E86" s="80"/>
      <c r="F86" s="49">
        <f>E86/E12</f>
        <v>0</v>
      </c>
      <c r="G86" s="80">
        <v>0</v>
      </c>
      <c r="H86" s="49">
        <f>G86/G12</f>
        <v>0</v>
      </c>
      <c r="I86" s="136"/>
      <c r="J86" s="49">
        <f>I86/I12</f>
        <v>0</v>
      </c>
      <c r="K86" s="80">
        <v>0</v>
      </c>
      <c r="L86" s="49">
        <f>K86/K12</f>
        <v>0</v>
      </c>
      <c r="M86" s="136"/>
      <c r="N86" s="49">
        <f>M86/M12</f>
        <v>0</v>
      </c>
      <c r="O86" s="136"/>
      <c r="P86" s="49">
        <f>O86/O12</f>
        <v>0</v>
      </c>
      <c r="Q86" s="136"/>
      <c r="R86" s="49">
        <f>Q86/Q12</f>
        <v>0</v>
      </c>
      <c r="S86" s="136">
        <v>0</v>
      </c>
      <c r="T86" s="49">
        <f>S86/S12</f>
        <v>0</v>
      </c>
      <c r="U86" s="80"/>
      <c r="V86" s="49">
        <f>U86/U12</f>
        <v>0</v>
      </c>
      <c r="W86" s="80"/>
      <c r="X86" s="49">
        <f>W86/W12</f>
        <v>0</v>
      </c>
      <c r="Y86" s="80"/>
      <c r="Z86" s="179">
        <f>Y86/Y12</f>
        <v>0</v>
      </c>
      <c r="AA86" s="286">
        <f t="shared" si="52"/>
        <v>0</v>
      </c>
      <c r="AB86" s="214">
        <f>AA86/AA12</f>
        <v>0</v>
      </c>
      <c r="AC86" s="205">
        <v>0</v>
      </c>
      <c r="AD86" s="214">
        <f>AC86/AC12</f>
        <v>0</v>
      </c>
      <c r="AE86" s="75"/>
      <c r="AF86" s="169"/>
      <c r="AG86" s="75"/>
      <c r="AH86" s="205">
        <v>0</v>
      </c>
      <c r="AI86" s="255">
        <f>AH86/AH12</f>
        <v>0</v>
      </c>
      <c r="AJ86" s="293">
        <f t="shared" si="51"/>
        <v>0</v>
      </c>
      <c r="AK86" s="1"/>
      <c r="AL86" s="53"/>
      <c r="AM86" s="53">
        <f t="shared" si="53"/>
        <v>0</v>
      </c>
      <c r="AN86" s="53" t="e">
        <f>#REF!-AM86</f>
        <v>#REF!</v>
      </c>
      <c r="AO86" s="53"/>
    </row>
    <row r="87" spans="1:41" ht="15.75" thickBot="1">
      <c r="A87" s="4">
        <v>6299</v>
      </c>
      <c r="B87" s="113" t="s">
        <v>100</v>
      </c>
      <c r="C87" s="29">
        <f>SUM(C71:C86)</f>
        <v>14584.741999999998</v>
      </c>
      <c r="D87" s="66">
        <f>C87/C12</f>
        <v>5.7649252344945071E-2</v>
      </c>
      <c r="E87" s="58">
        <f>SUM(E71:E86)</f>
        <v>11425</v>
      </c>
      <c r="F87" s="66">
        <f>E87/E12</f>
        <v>6.895017704551204E-2</v>
      </c>
      <c r="G87" s="85">
        <f>SUM(G71:G86)</f>
        <v>12625</v>
      </c>
      <c r="H87" s="66">
        <f>G87/G12</f>
        <v>6.4608367166977418E-2</v>
      </c>
      <c r="I87" s="21">
        <f>SUM(I71:I86)</f>
        <v>11425</v>
      </c>
      <c r="J87" s="66">
        <f>I87/I12</f>
        <v>5.3227719599231345E-2</v>
      </c>
      <c r="K87" s="58">
        <f>SUM(K71:K86)</f>
        <v>11425</v>
      </c>
      <c r="L87" s="66">
        <f>K87/K12</f>
        <v>5.9889081916143075E-2</v>
      </c>
      <c r="M87" s="21">
        <f>SUM(M71:M86)</f>
        <v>12625</v>
      </c>
      <c r="N87" s="66">
        <f>M87/M12</f>
        <v>6.2302654942313636E-2</v>
      </c>
      <c r="O87" s="21">
        <f>SUM(O71:O86)</f>
        <v>11425</v>
      </c>
      <c r="P87" s="66">
        <f>O87/O12</f>
        <v>5.9534413877624884E-2</v>
      </c>
      <c r="Q87" s="21">
        <f>SUM(Q71:Q86)</f>
        <v>14625</v>
      </c>
      <c r="R87" s="66">
        <f>Q87/Q12</f>
        <v>8.1258483399960835E-2</v>
      </c>
      <c r="S87" s="21">
        <f>SUM(S71:S86)</f>
        <v>11425</v>
      </c>
      <c r="T87" s="66">
        <f>S87/S12</f>
        <v>7.0276501754340054E-2</v>
      </c>
      <c r="U87" s="58">
        <f>SUM(U71:U86)</f>
        <v>14625</v>
      </c>
      <c r="V87" s="66">
        <f>U87/U12</f>
        <v>6.3057332328225468E-2</v>
      </c>
      <c r="W87" s="40">
        <f>SUM(W71:W86)</f>
        <v>11425</v>
      </c>
      <c r="X87" s="66">
        <f>W87/W12</f>
        <v>7.3642651760689251E-2</v>
      </c>
      <c r="Y87" s="58">
        <f>SUM(Y71:Y86)</f>
        <v>12625</v>
      </c>
      <c r="Z87" s="224">
        <f>Y87/Y12</f>
        <v>5.8462113458573682E-2</v>
      </c>
      <c r="AA87" s="211">
        <f>SUM(AA71:AA86)</f>
        <v>150259.742</v>
      </c>
      <c r="AB87" s="245">
        <f>AA87/AA12</f>
        <v>6.3679223323329884E-2</v>
      </c>
      <c r="AC87" s="210">
        <f>SUM(AC71:AC86)</f>
        <v>150259.742</v>
      </c>
      <c r="AD87" s="245">
        <f>AC87/AC12</f>
        <v>0.18660471419258207</v>
      </c>
      <c r="AE87" s="75"/>
      <c r="AF87" s="248"/>
      <c r="AG87" s="75" t="s">
        <v>204</v>
      </c>
      <c r="AH87" s="210">
        <f>SUM(AH71:AH86)</f>
        <v>150259.742</v>
      </c>
      <c r="AI87" s="259">
        <f>AH87/AH12</f>
        <v>0.18660471419258207</v>
      </c>
      <c r="AJ87" s="297">
        <f t="shared" si="51"/>
        <v>450779.22600000002</v>
      </c>
      <c r="AK87" s="1"/>
      <c r="AL87" s="53"/>
      <c r="AM87" s="53">
        <f t="shared" si="53"/>
        <v>1167950</v>
      </c>
      <c r="AN87" s="53" t="e">
        <f>#REF!-AM87</f>
        <v>#REF!</v>
      </c>
      <c r="AO87" s="53"/>
    </row>
    <row r="88" spans="1:41" ht="15.75" thickTop="1">
      <c r="A88" s="99">
        <v>6301</v>
      </c>
      <c r="B88" s="115" t="s">
        <v>37</v>
      </c>
      <c r="C88" s="181"/>
      <c r="D88" s="182">
        <f>C88/C12</f>
        <v>0</v>
      </c>
      <c r="E88" s="190"/>
      <c r="F88" s="191">
        <f>E88/E12</f>
        <v>0</v>
      </c>
      <c r="G88" s="181"/>
      <c r="H88" s="182">
        <f>G88/G12</f>
        <v>0</v>
      </c>
      <c r="I88" s="192"/>
      <c r="J88" s="191">
        <f>I88/I12</f>
        <v>0</v>
      </c>
      <c r="K88" s="187"/>
      <c r="L88" s="182">
        <f>K88/K12</f>
        <v>0</v>
      </c>
      <c r="M88" s="192"/>
      <c r="N88" s="191">
        <f>M88/M12</f>
        <v>0</v>
      </c>
      <c r="O88" s="187"/>
      <c r="P88" s="182">
        <f>O88/O12</f>
        <v>0</v>
      </c>
      <c r="Q88" s="192"/>
      <c r="R88" s="191">
        <f>Q88/Q12</f>
        <v>0</v>
      </c>
      <c r="S88" s="187"/>
      <c r="T88" s="182">
        <f>S88/S12</f>
        <v>0</v>
      </c>
      <c r="U88" s="192"/>
      <c r="V88" s="191">
        <f>U88/U12</f>
        <v>0</v>
      </c>
      <c r="W88" s="187"/>
      <c r="X88" s="182">
        <f>W88/W12</f>
        <v>0</v>
      </c>
      <c r="Y88" s="192"/>
      <c r="Z88" s="191">
        <f>Y88/Y12</f>
        <v>0</v>
      </c>
      <c r="AA88" s="286">
        <f t="shared" ref="AA88:AA99" si="54">C88+E88+G88+I88+K88+M88+O88+Q88+S88+U88+W88+Y88</f>
        <v>0</v>
      </c>
      <c r="AB88" s="214">
        <f>AA88/AA12</f>
        <v>0</v>
      </c>
      <c r="AC88" s="209"/>
      <c r="AD88" s="214">
        <f>AC88/AC12</f>
        <v>0</v>
      </c>
      <c r="AE88" s="75"/>
      <c r="AF88" s="169"/>
      <c r="AG88" s="75"/>
      <c r="AH88" s="209"/>
      <c r="AI88" s="255">
        <f>AH88/AH12</f>
        <v>0</v>
      </c>
      <c r="AJ88" s="293">
        <f t="shared" si="51"/>
        <v>0</v>
      </c>
      <c r="AK88" s="1"/>
      <c r="AL88" s="53"/>
      <c r="AM88" s="53">
        <f t="shared" si="53"/>
        <v>0</v>
      </c>
      <c r="AN88" s="53" t="e">
        <f>#REF!-AM88</f>
        <v>#REF!</v>
      </c>
      <c r="AO88" s="53"/>
    </row>
    <row r="89" spans="1:41">
      <c r="A89" s="99">
        <v>6302</v>
      </c>
      <c r="B89" s="115" t="s">
        <v>38</v>
      </c>
      <c r="C89" s="183"/>
      <c r="D89" s="49">
        <f>C89/C12</f>
        <v>0</v>
      </c>
      <c r="E89" s="178"/>
      <c r="F89" s="179">
        <f>E89/E12</f>
        <v>0</v>
      </c>
      <c r="G89" s="183"/>
      <c r="H89" s="49">
        <f>G89/G12</f>
        <v>0</v>
      </c>
      <c r="I89" s="180"/>
      <c r="J89" s="179">
        <f>I89/I12</f>
        <v>0</v>
      </c>
      <c r="K89" s="188"/>
      <c r="L89" s="49">
        <f>K89/K12</f>
        <v>0</v>
      </c>
      <c r="M89" s="180"/>
      <c r="N89" s="179">
        <f>M89/M12</f>
        <v>0</v>
      </c>
      <c r="O89" s="188"/>
      <c r="P89" s="49">
        <f>O89/O12</f>
        <v>0</v>
      </c>
      <c r="Q89" s="180"/>
      <c r="R89" s="179">
        <f>Q89/Q12</f>
        <v>0</v>
      </c>
      <c r="S89" s="188"/>
      <c r="T89" s="49">
        <f>S89/S12</f>
        <v>0</v>
      </c>
      <c r="U89" s="180"/>
      <c r="V89" s="179">
        <f>U89/U12</f>
        <v>0</v>
      </c>
      <c r="W89" s="188"/>
      <c r="X89" s="49">
        <f>W89/W12</f>
        <v>0</v>
      </c>
      <c r="Y89" s="180"/>
      <c r="Z89" s="179">
        <f>Y89/Y12</f>
        <v>0</v>
      </c>
      <c r="AA89" s="286">
        <f t="shared" si="54"/>
        <v>0</v>
      </c>
      <c r="AB89" s="214">
        <f>AA89/AA12</f>
        <v>0</v>
      </c>
      <c r="AC89" s="209"/>
      <c r="AD89" s="214">
        <f>AC89/AC12</f>
        <v>0</v>
      </c>
      <c r="AE89" s="75"/>
      <c r="AF89" s="169"/>
      <c r="AG89" s="75"/>
      <c r="AH89" s="209"/>
      <c r="AI89" s="255">
        <f>AH89/AH12</f>
        <v>0</v>
      </c>
      <c r="AJ89" s="293">
        <f t="shared" si="51"/>
        <v>0</v>
      </c>
      <c r="AK89" s="1"/>
      <c r="AL89" s="53"/>
      <c r="AM89" s="53">
        <f t="shared" si="53"/>
        <v>0</v>
      </c>
      <c r="AN89" s="53" t="e">
        <f>#REF!-AM89</f>
        <v>#REF!</v>
      </c>
      <c r="AO89" s="53"/>
    </row>
    <row r="90" spans="1:41">
      <c r="A90" s="99">
        <v>6303</v>
      </c>
      <c r="B90" s="2" t="s">
        <v>117</v>
      </c>
      <c r="C90" s="183"/>
      <c r="D90" s="49">
        <f>C90/C12</f>
        <v>0</v>
      </c>
      <c r="E90" s="178"/>
      <c r="F90" s="179">
        <f>E90/E12</f>
        <v>0</v>
      </c>
      <c r="G90" s="183"/>
      <c r="H90" s="49">
        <f>G90/G12</f>
        <v>0</v>
      </c>
      <c r="I90" s="180"/>
      <c r="J90" s="179">
        <f>I90/I12</f>
        <v>0</v>
      </c>
      <c r="K90" s="188"/>
      <c r="L90" s="49">
        <f>K90/K12</f>
        <v>0</v>
      </c>
      <c r="M90" s="180"/>
      <c r="N90" s="179">
        <f>M90/M12</f>
        <v>0</v>
      </c>
      <c r="O90" s="188"/>
      <c r="P90" s="49">
        <f>O90/O12</f>
        <v>0</v>
      </c>
      <c r="Q90" s="180"/>
      <c r="R90" s="179">
        <f>Q90/Q12</f>
        <v>0</v>
      </c>
      <c r="S90" s="188"/>
      <c r="T90" s="49">
        <f>S90/S12</f>
        <v>0</v>
      </c>
      <c r="U90" s="180"/>
      <c r="V90" s="179">
        <f>U90/U12</f>
        <v>0</v>
      </c>
      <c r="W90" s="188"/>
      <c r="X90" s="49">
        <f>W90/W12</f>
        <v>0</v>
      </c>
      <c r="Y90" s="180"/>
      <c r="Z90" s="179">
        <f>Y90/Y12</f>
        <v>0</v>
      </c>
      <c r="AA90" s="286">
        <f t="shared" si="54"/>
        <v>0</v>
      </c>
      <c r="AB90" s="214">
        <f>AA90/AA12</f>
        <v>0</v>
      </c>
      <c r="AC90" s="209"/>
      <c r="AD90" s="214">
        <f>AC90/AC12</f>
        <v>0</v>
      </c>
      <c r="AE90" s="75"/>
      <c r="AF90" s="169"/>
      <c r="AG90" s="75"/>
      <c r="AH90" s="209"/>
      <c r="AI90" s="255">
        <f>AH90/AH12</f>
        <v>0</v>
      </c>
      <c r="AJ90" s="293">
        <f t="shared" si="51"/>
        <v>0</v>
      </c>
      <c r="AK90" s="1"/>
      <c r="AL90" s="53"/>
      <c r="AM90" s="53">
        <f t="shared" si="53"/>
        <v>0</v>
      </c>
      <c r="AN90" s="53" t="e">
        <f>#REF!-AM90</f>
        <v>#REF!</v>
      </c>
      <c r="AO90" s="53"/>
    </row>
    <row r="91" spans="1:41">
      <c r="A91" s="99">
        <v>6304</v>
      </c>
      <c r="B91" s="2" t="s">
        <v>39</v>
      </c>
      <c r="C91" s="183">
        <v>185.1</v>
      </c>
      <c r="D91" s="49">
        <f>C91/C12</f>
        <v>7.3164658031313367E-4</v>
      </c>
      <c r="E91" s="178">
        <f>((((100*3.5)+(30*57)+(1500*3))*1.1)+300)/9.4</f>
        <v>799.57446808510645</v>
      </c>
      <c r="F91" s="179">
        <f>E91/E12</f>
        <v>4.8254530534388796E-3</v>
      </c>
      <c r="G91" s="183">
        <f>((((30000*0.075)+(100*3.5)+(30*57)+(126*2)+(10*155)+(1500*3))*1.1)+300)/9.4</f>
        <v>1273.7446808510638</v>
      </c>
      <c r="H91" s="49">
        <f>G91/G12</f>
        <v>6.5183813083097035E-3</v>
      </c>
      <c r="I91" s="178">
        <f>((((30000*0.075)+(100*3.5)+(30*57)+(126*2)+(10*155)+(1500*3))*1.1)+300)/9.4</f>
        <v>1273.7446808510638</v>
      </c>
      <c r="J91" s="179">
        <f>I91/I12</f>
        <v>5.9342253578426995E-3</v>
      </c>
      <c r="K91" s="183">
        <f>((((30000*0.075)+(100*3.5)+(30*57))*1.1)+300)/9.4</f>
        <v>536.27659574468078</v>
      </c>
      <c r="L91" s="49">
        <f>K91/K12</f>
        <v>2.811125861904904E-3</v>
      </c>
      <c r="M91" s="178">
        <f>((((100*3.5)+(30*57)+(126*2)+(10*155)+(1500*3)))+300)/9.4</f>
        <v>921.48936170212767</v>
      </c>
      <c r="N91" s="179">
        <f>M91/M12</f>
        <v>4.5474244542685546E-3</v>
      </c>
      <c r="O91" s="183">
        <f>((((30000*0.075)+(100*3.5)+(30*57))*1.1)+300)/9.4</f>
        <v>536.27659574468078</v>
      </c>
      <c r="P91" s="49">
        <f>O91/O12</f>
        <v>2.79447814476565E-3</v>
      </c>
      <c r="Q91" s="178">
        <f>((((30000*0.075)+(100*3.5)+(30*57))*1.1)+300)/9.4</f>
        <v>536.27659574468078</v>
      </c>
      <c r="R91" s="179">
        <f>Q91/Q12</f>
        <v>2.9796254942295142E-3</v>
      </c>
      <c r="S91" s="183">
        <f>((((30000*0.075)+(100*3.5)+(30*57)+(126*2)+(10*155)+(1500*3))*1.1)+300)/9.4</f>
        <v>1273.7446808510638</v>
      </c>
      <c r="T91" s="49">
        <f>S91/S12</f>
        <v>7.8349514484386071E-3</v>
      </c>
      <c r="U91" s="178">
        <f>((((100*3.5)+(30*57)+(1500*3))*1.1)+300)/9.4</f>
        <v>799.57446808510645</v>
      </c>
      <c r="V91" s="179">
        <f>U91/U12</f>
        <v>3.4474552448004563E-3</v>
      </c>
      <c r="W91" s="183">
        <f>((((100*3.5)+(30*57)+(126*2)+(10*155)+(1500*3)))+300)/9.4</f>
        <v>921.48936170212767</v>
      </c>
      <c r="X91" s="49">
        <f>W91/W12</f>
        <v>5.9396866665216283E-3</v>
      </c>
      <c r="Y91" s="178">
        <f>((((30000*0.075)+(100*3.5)+(30*57))*1.1)+300)/9.4</f>
        <v>536.27659574468078</v>
      </c>
      <c r="Z91" s="179">
        <f>Y91/Y12</f>
        <v>2.4833158958893608E-3</v>
      </c>
      <c r="AA91" s="286">
        <f t="shared" si="54"/>
        <v>9593.5680851063844</v>
      </c>
      <c r="AB91" s="214">
        <f>AA91/AA12</f>
        <v>4.0656995441870226E-3</v>
      </c>
      <c r="AC91" s="209">
        <v>9593.5680851063844</v>
      </c>
      <c r="AD91" s="214">
        <f>AC91/AC12</f>
        <v>1.1914069642208982E-2</v>
      </c>
      <c r="AE91" s="75"/>
      <c r="AF91" s="169"/>
      <c r="AG91" s="75"/>
      <c r="AH91" s="209">
        <v>9593.5680851063844</v>
      </c>
      <c r="AI91" s="255">
        <f>AH91/AH12</f>
        <v>1.1914069642208982E-2</v>
      </c>
      <c r="AJ91" s="293">
        <f t="shared" si="51"/>
        <v>28780.704255319153</v>
      </c>
      <c r="AK91" s="1"/>
      <c r="AL91" s="53"/>
      <c r="AM91" s="53">
        <f t="shared" si="53"/>
        <v>80923.600000000006</v>
      </c>
      <c r="AN91" s="53" t="e">
        <f>#REF!-AM91</f>
        <v>#REF!</v>
      </c>
      <c r="AO91" s="53"/>
    </row>
    <row r="92" spans="1:41">
      <c r="A92" s="99">
        <v>6305</v>
      </c>
      <c r="B92" s="2" t="s">
        <v>40</v>
      </c>
      <c r="C92" s="183">
        <v>1517.6959999999999</v>
      </c>
      <c r="D92" s="49">
        <f>C92/C12</f>
        <v>5.9990118225549524E-3</v>
      </c>
      <c r="E92" s="178"/>
      <c r="F92" s="179">
        <f>E92/E12</f>
        <v>0</v>
      </c>
      <c r="G92" s="183"/>
      <c r="H92" s="49">
        <f>G92/G12</f>
        <v>0</v>
      </c>
      <c r="I92" s="180"/>
      <c r="J92" s="179">
        <f>I92/I12</f>
        <v>0</v>
      </c>
      <c r="K92" s="188"/>
      <c r="L92" s="49">
        <f>K92/K12</f>
        <v>0</v>
      </c>
      <c r="M92" s="178">
        <f>((61325*1.02)/7)/9.4</f>
        <v>950.63069908814578</v>
      </c>
      <c r="N92" s="179">
        <f>M92/M12</f>
        <v>4.6912329839888427E-3</v>
      </c>
      <c r="O92" s="188"/>
      <c r="P92" s="49">
        <f>O92/O12</f>
        <v>0</v>
      </c>
      <c r="Q92" s="180"/>
      <c r="R92" s="179">
        <f>Q92/Q12</f>
        <v>0</v>
      </c>
      <c r="S92" s="188"/>
      <c r="T92" s="49">
        <f>S92/S12</f>
        <v>0</v>
      </c>
      <c r="U92" s="180"/>
      <c r="V92" s="179">
        <f>U92/U12</f>
        <v>0</v>
      </c>
      <c r="W92" s="188"/>
      <c r="X92" s="49">
        <f>W92/W12</f>
        <v>0</v>
      </c>
      <c r="Y92" s="180"/>
      <c r="Z92" s="179">
        <f>Y92/Y12</f>
        <v>0</v>
      </c>
      <c r="AA92" s="286">
        <f t="shared" si="54"/>
        <v>2468.3266990881457</v>
      </c>
      <c r="AB92" s="214">
        <f>AA92/AA12</f>
        <v>1.0460628044081941E-3</v>
      </c>
      <c r="AC92" s="209">
        <v>2468.3266990881457</v>
      </c>
      <c r="AD92" s="214">
        <f>AC92/AC12</f>
        <v>3.0653679560907472E-3</v>
      </c>
      <c r="AE92" s="75"/>
      <c r="AF92" s="169"/>
      <c r="AG92" s="75"/>
      <c r="AH92" s="209">
        <v>2468.3266990881457</v>
      </c>
      <c r="AI92" s="255">
        <f>AH92/AH12</f>
        <v>3.0653679560907472E-3</v>
      </c>
      <c r="AJ92" s="293">
        <f t="shared" si="51"/>
        <v>7404.9800972644371</v>
      </c>
      <c r="AK92" s="1"/>
      <c r="AL92" s="53"/>
      <c r="AM92" s="53">
        <f t="shared" si="53"/>
        <v>8935.9285714285706</v>
      </c>
      <c r="AN92" s="53" t="e">
        <f>#REF!-AM92</f>
        <v>#REF!</v>
      </c>
      <c r="AO92" s="53"/>
    </row>
    <row r="93" spans="1:41">
      <c r="A93" s="99">
        <v>6306</v>
      </c>
      <c r="B93" s="2" t="s">
        <v>41</v>
      </c>
      <c r="C93" s="183"/>
      <c r="D93" s="49">
        <f>C93/C12</f>
        <v>0</v>
      </c>
      <c r="E93" s="178"/>
      <c r="F93" s="179">
        <f>E93/E12</f>
        <v>0</v>
      </c>
      <c r="G93" s="183"/>
      <c r="H93" s="49">
        <f>G93/G12</f>
        <v>0</v>
      </c>
      <c r="I93" s="180"/>
      <c r="J93" s="179">
        <f>I93/I12</f>
        <v>0</v>
      </c>
      <c r="K93" s="188"/>
      <c r="L93" s="49">
        <f>K93/K12</f>
        <v>0</v>
      </c>
      <c r="M93" s="180"/>
      <c r="N93" s="179">
        <f>M93/M12</f>
        <v>0</v>
      </c>
      <c r="O93" s="188"/>
      <c r="P93" s="49">
        <f>O93/O12</f>
        <v>0</v>
      </c>
      <c r="Q93" s="180"/>
      <c r="R93" s="179">
        <f>Q93/Q12</f>
        <v>0</v>
      </c>
      <c r="S93" s="188"/>
      <c r="T93" s="49">
        <f>S93/S12</f>
        <v>0</v>
      </c>
      <c r="U93" s="180"/>
      <c r="V93" s="179">
        <f>U93/U12</f>
        <v>0</v>
      </c>
      <c r="W93" s="188"/>
      <c r="X93" s="49">
        <f>W93/W12</f>
        <v>0</v>
      </c>
      <c r="Y93" s="180"/>
      <c r="Z93" s="179">
        <f>Y93/Y12</f>
        <v>0</v>
      </c>
      <c r="AA93" s="286">
        <f t="shared" si="54"/>
        <v>0</v>
      </c>
      <c r="AB93" s="214">
        <f>AA93/AA12</f>
        <v>0</v>
      </c>
      <c r="AC93" s="209">
        <v>0</v>
      </c>
      <c r="AD93" s="214">
        <f>AC93/AC12</f>
        <v>0</v>
      </c>
      <c r="AE93" s="75"/>
      <c r="AF93" s="169"/>
      <c r="AG93" s="75"/>
      <c r="AH93" s="209">
        <v>0</v>
      </c>
      <c r="AI93" s="255">
        <f>AH93/AH12</f>
        <v>0</v>
      </c>
      <c r="AJ93" s="293">
        <f t="shared" si="51"/>
        <v>0</v>
      </c>
      <c r="AK93" s="1"/>
      <c r="AL93" s="53"/>
      <c r="AM93" s="53">
        <f t="shared" si="53"/>
        <v>0</v>
      </c>
      <c r="AN93" s="53" t="e">
        <f>#REF!-AM93</f>
        <v>#REF!</v>
      </c>
      <c r="AO93" s="53"/>
    </row>
    <row r="94" spans="1:41">
      <c r="A94" s="2">
        <v>6308</v>
      </c>
      <c r="B94" s="2" t="s">
        <v>130</v>
      </c>
      <c r="C94" s="183"/>
      <c r="D94" s="49">
        <f>C94/C12</f>
        <v>0</v>
      </c>
      <c r="E94" s="178"/>
      <c r="F94" s="179">
        <f>E94/E12</f>
        <v>0</v>
      </c>
      <c r="G94" s="183"/>
      <c r="H94" s="49">
        <f>G94/G12</f>
        <v>0</v>
      </c>
      <c r="I94" s="180"/>
      <c r="J94" s="179">
        <f>I94/I12</f>
        <v>0</v>
      </c>
      <c r="K94" s="188"/>
      <c r="L94" s="49">
        <f>K94/K12</f>
        <v>0</v>
      </c>
      <c r="M94" s="180"/>
      <c r="N94" s="179">
        <f>M94/M12</f>
        <v>0</v>
      </c>
      <c r="O94" s="188"/>
      <c r="P94" s="49">
        <f>O94/O12</f>
        <v>0</v>
      </c>
      <c r="Q94" s="180"/>
      <c r="R94" s="179">
        <f>Q94/Q12</f>
        <v>0</v>
      </c>
      <c r="S94" s="188"/>
      <c r="T94" s="49">
        <f>S94/S12</f>
        <v>0</v>
      </c>
      <c r="U94" s="180"/>
      <c r="V94" s="179">
        <f>U94/U12</f>
        <v>0</v>
      </c>
      <c r="W94" s="188"/>
      <c r="X94" s="49">
        <f>W94/W12</f>
        <v>0</v>
      </c>
      <c r="Y94" s="180"/>
      <c r="Z94" s="179">
        <f>Y94/Y12</f>
        <v>0</v>
      </c>
      <c r="AA94" s="286">
        <f t="shared" si="54"/>
        <v>0</v>
      </c>
      <c r="AB94" s="214">
        <f>AA94/AA12</f>
        <v>0</v>
      </c>
      <c r="AC94" s="209">
        <v>0</v>
      </c>
      <c r="AD94" s="214">
        <f>AC94/AC12</f>
        <v>0</v>
      </c>
      <c r="AE94" s="75"/>
      <c r="AF94" s="169"/>
      <c r="AG94" s="75"/>
      <c r="AH94" s="209">
        <v>0</v>
      </c>
      <c r="AI94" s="255">
        <f>AH94/AH12</f>
        <v>0</v>
      </c>
      <c r="AJ94" s="293">
        <f t="shared" si="51"/>
        <v>0</v>
      </c>
      <c r="AK94" s="1"/>
      <c r="AL94" s="53"/>
      <c r="AM94" s="53">
        <f t="shared" si="53"/>
        <v>0</v>
      </c>
      <c r="AN94" s="53" t="e">
        <f>#REF!-AM94</f>
        <v>#REF!</v>
      </c>
      <c r="AO94" s="53"/>
    </row>
    <row r="95" spans="1:41">
      <c r="A95" s="2">
        <v>6309</v>
      </c>
      <c r="B95" s="2" t="s">
        <v>131</v>
      </c>
      <c r="C95" s="183">
        <v>290.125</v>
      </c>
      <c r="D95" s="49">
        <f>C95/C$12</f>
        <v>1.1467799249775684E-3</v>
      </c>
      <c r="E95" s="178">
        <f>((50000*0.055)/9.4)*2</f>
        <v>585.10638297872333</v>
      </c>
      <c r="F95" s="179">
        <f>E95/E12</f>
        <v>3.5311324898767743E-3</v>
      </c>
      <c r="G95" s="183">
        <f>((50000*0.055)/9.4)*2</f>
        <v>585.10638297872333</v>
      </c>
      <c r="H95" s="49">
        <f>G95/G12</f>
        <v>2.9942786553054626E-3</v>
      </c>
      <c r="I95" s="178">
        <f>(50000*0.055)/9.4</f>
        <v>292.55319148936167</v>
      </c>
      <c r="J95" s="179">
        <f>I95/I12</f>
        <v>1.3629706122062124E-3</v>
      </c>
      <c r="K95" s="183">
        <f>(50000*0.055)/9.4</f>
        <v>292.55319148936167</v>
      </c>
      <c r="L95" s="49">
        <f>K95/K12</f>
        <v>1.5335441619199538E-3</v>
      </c>
      <c r="M95" s="178">
        <f>(50000*0.055)/9.4</f>
        <v>292.55319148936167</v>
      </c>
      <c r="N95" s="179">
        <f>M95/M12</f>
        <v>1.4437101419116282E-3</v>
      </c>
      <c r="O95" s="183">
        <f>(50000*0.055)/9.4</f>
        <v>292.55319148936167</v>
      </c>
      <c r="P95" s="49">
        <f>O95/O12</f>
        <v>1.5244623880391862E-3</v>
      </c>
      <c r="Q95" s="178">
        <f>((50000*0.055)/9.4)*2</f>
        <v>585.10638297872333</v>
      </c>
      <c r="R95" s="179">
        <f>Q95/Q12</f>
        <v>3.2509304142555704E-3</v>
      </c>
      <c r="S95" s="183">
        <f>((50000*0.055)/9.4)*2</f>
        <v>585.10638297872333</v>
      </c>
      <c r="T95" s="49">
        <f>S95/S12</f>
        <v>3.5990573085233971E-3</v>
      </c>
      <c r="U95" s="178">
        <f>((50000*0.055)/9.4)*2</f>
        <v>585.10638297872333</v>
      </c>
      <c r="V95" s="179">
        <f>U95/U12</f>
        <v>2.5227519753063471E-3</v>
      </c>
      <c r="W95" s="183">
        <f>((50000*0.055)/9.4)*2</f>
        <v>585.10638297872333</v>
      </c>
      <c r="X95" s="49">
        <f>W95/W12</f>
        <v>3.7714473176944066E-3</v>
      </c>
      <c r="Y95" s="178">
        <f>(50000*0.055)/9.4</f>
        <v>292.55319148936167</v>
      </c>
      <c r="Z95" s="179">
        <f>Y95/Y12</f>
        <v>1.3547150790906054E-3</v>
      </c>
      <c r="AA95" s="286">
        <f t="shared" si="54"/>
        <v>5263.5292553191493</v>
      </c>
      <c r="AB95" s="214">
        <f>AA95/AA12</f>
        <v>2.2306537363703735E-3</v>
      </c>
      <c r="AC95" s="209">
        <v>5263.5292553191493</v>
      </c>
      <c r="AD95" s="214">
        <f>AC95/AC12</f>
        <v>6.5366768188190039E-3</v>
      </c>
      <c r="AE95" s="75"/>
      <c r="AF95" s="169"/>
      <c r="AG95" s="75"/>
      <c r="AH95" s="209">
        <v>5263.5292553191493</v>
      </c>
      <c r="AI95" s="255">
        <f>AH95/AH12</f>
        <v>6.5366768188190039E-3</v>
      </c>
      <c r="AJ95" s="293">
        <f t="shared" si="51"/>
        <v>15790.587765957447</v>
      </c>
      <c r="AK95" s="1"/>
      <c r="AL95" s="53"/>
      <c r="AM95" s="53">
        <f t="shared" si="53"/>
        <v>41249.999999999993</v>
      </c>
      <c r="AN95" s="53" t="e">
        <f>#REF!-AM95</f>
        <v>#REF!</v>
      </c>
      <c r="AO95" s="53"/>
    </row>
    <row r="96" spans="1:41">
      <c r="A96" s="2">
        <v>6310</v>
      </c>
      <c r="B96" s="2" t="s">
        <v>132</v>
      </c>
      <c r="C96" s="183"/>
      <c r="D96" s="49">
        <f>C96/C$12</f>
        <v>0</v>
      </c>
      <c r="E96" s="178">
        <v>250</v>
      </c>
      <c r="F96" s="179">
        <f>E96/E$12</f>
        <v>1.5087566093109856E-3</v>
      </c>
      <c r="G96" s="183">
        <v>250</v>
      </c>
      <c r="H96" s="49">
        <f>G96/G$12</f>
        <v>1.2793736072668797E-3</v>
      </c>
      <c r="I96" s="178">
        <v>250</v>
      </c>
      <c r="J96" s="179">
        <f>I96/I$12</f>
        <v>1.1647203413398543E-3</v>
      </c>
      <c r="K96" s="183">
        <v>250</v>
      </c>
      <c r="L96" s="49">
        <f>K96/K$12</f>
        <v>1.3104831929134152E-3</v>
      </c>
      <c r="M96" s="178"/>
      <c r="N96" s="179">
        <f>M96/M$12</f>
        <v>0</v>
      </c>
      <c r="O96" s="188">
        <v>250</v>
      </c>
      <c r="P96" s="49">
        <f>O96/O$12</f>
        <v>1.3027224043243957E-3</v>
      </c>
      <c r="Q96" s="180">
        <v>250</v>
      </c>
      <c r="R96" s="179">
        <f>Q96/Q$12</f>
        <v>1.3890339042728346E-3</v>
      </c>
      <c r="S96" s="188">
        <v>250</v>
      </c>
      <c r="T96" s="49">
        <f>S96/S$12</f>
        <v>1.5377790318236335E-3</v>
      </c>
      <c r="U96" s="180">
        <v>250</v>
      </c>
      <c r="V96" s="179">
        <f>U96/U$12</f>
        <v>1.0779031167218031E-3</v>
      </c>
      <c r="W96" s="188">
        <v>250</v>
      </c>
      <c r="X96" s="49">
        <f>W96/W$12</f>
        <v>1.6114365811967012E-3</v>
      </c>
      <c r="Y96" s="180">
        <v>250</v>
      </c>
      <c r="Z96" s="179">
        <f>Y96/Y$12</f>
        <v>1.157665613041063E-3</v>
      </c>
      <c r="AA96" s="286">
        <f t="shared" si="54"/>
        <v>2500</v>
      </c>
      <c r="AB96" s="214">
        <f>AA96/AA12</f>
        <v>1.0594857690380214E-3</v>
      </c>
      <c r="AC96" s="209">
        <v>2500</v>
      </c>
      <c r="AD96" s="214">
        <f>AC96/AC12</f>
        <v>3.10470242575989E-3</v>
      </c>
      <c r="AE96" s="75"/>
      <c r="AF96" s="169"/>
      <c r="AG96" s="75"/>
      <c r="AH96" s="209">
        <v>2500</v>
      </c>
      <c r="AI96" s="255">
        <f>AH96/AH12</f>
        <v>3.10470242575989E-3</v>
      </c>
      <c r="AJ96" s="293">
        <f t="shared" si="51"/>
        <v>7500</v>
      </c>
      <c r="AK96" s="1"/>
      <c r="AL96" s="53"/>
      <c r="AM96" s="53">
        <f t="shared" si="53"/>
        <v>21150</v>
      </c>
      <c r="AN96" s="53" t="e">
        <f>#REF!-AM96</f>
        <v>#REF!</v>
      </c>
      <c r="AO96" s="53"/>
    </row>
    <row r="97" spans="1:41">
      <c r="A97" s="2">
        <v>6311</v>
      </c>
      <c r="B97" s="2" t="s">
        <v>133</v>
      </c>
      <c r="C97" s="183"/>
      <c r="D97" s="49">
        <f>C97/C12</f>
        <v>0</v>
      </c>
      <c r="E97" s="178">
        <f>((((130*3.5)+(70*57))*1.1)+300)/9.4</f>
        <v>552.07446808510633</v>
      </c>
      <c r="F97" s="179">
        <f>E97/E12</f>
        <v>3.3317840102210037E-3</v>
      </c>
      <c r="G97" s="183">
        <f>((((180*3.5)+(170*57))*1.1)+300)/9.4</f>
        <v>1239.5744680851064</v>
      </c>
      <c r="H97" s="49">
        <f>G97/G12</f>
        <v>6.3435154348398647E-3</v>
      </c>
      <c r="I97" s="180"/>
      <c r="J97" s="179">
        <f>I97/I12</f>
        <v>0</v>
      </c>
      <c r="K97" s="183">
        <f>((((100*3.5)+(110*57))*1.1)+300)/9.4</f>
        <v>806.59574468085111</v>
      </c>
      <c r="L97" s="49">
        <f>K97/K12</f>
        <v>4.2281206675189422E-3</v>
      </c>
      <c r="M97" s="180"/>
      <c r="N97" s="179">
        <f>M97/M12</f>
        <v>0</v>
      </c>
      <c r="O97" s="188"/>
      <c r="P97" s="49">
        <f>O97/O12</f>
        <v>0</v>
      </c>
      <c r="Q97" s="178">
        <f>((((180*3.5)+(170*57))*1.1)+300)/9.4</f>
        <v>1239.5744680851064</v>
      </c>
      <c r="R97" s="179">
        <f>Q97/Q12</f>
        <v>6.8872438521647107E-3</v>
      </c>
      <c r="S97" s="188"/>
      <c r="T97" s="49">
        <f>S97/S12</f>
        <v>0</v>
      </c>
      <c r="U97" s="178">
        <f>((((100*3.5)+(110*57))*1.1)+300)/9.4</f>
        <v>806.59574468085111</v>
      </c>
      <c r="V97" s="179">
        <f>U97/U12</f>
        <v>3.4777282685041324E-3</v>
      </c>
      <c r="W97" s="188"/>
      <c r="X97" s="49">
        <f>W97/W12</f>
        <v>0</v>
      </c>
      <c r="Y97" s="180"/>
      <c r="Z97" s="179">
        <f>Y97/Y12</f>
        <v>0</v>
      </c>
      <c r="AA97" s="286">
        <f t="shared" si="54"/>
        <v>4644.4148936170222</v>
      </c>
      <c r="AB97" s="214">
        <f>AA97/AA12</f>
        <v>1.9682765941181888E-3</v>
      </c>
      <c r="AC97" s="209">
        <v>4644.4148936170222</v>
      </c>
      <c r="AD97" s="214">
        <f>AC97/AC12</f>
        <v>5.7678104745792517E-3</v>
      </c>
      <c r="AE97" s="75"/>
      <c r="AF97" s="169"/>
      <c r="AG97" s="75"/>
      <c r="AH97" s="209">
        <v>4644.4148936170222</v>
      </c>
      <c r="AI97" s="255">
        <f>AH97/AH12</f>
        <v>5.7678104745792517E-3</v>
      </c>
      <c r="AJ97" s="293">
        <f t="shared" si="51"/>
        <v>13933.244680851067</v>
      </c>
      <c r="AK97" s="1"/>
      <c r="AL97" s="53"/>
      <c r="AM97" s="53">
        <f t="shared" si="53"/>
        <v>38468.000000000007</v>
      </c>
      <c r="AN97" s="53" t="e">
        <f>#REF!-AM97</f>
        <v>#REF!</v>
      </c>
      <c r="AO97" s="53"/>
    </row>
    <row r="98" spans="1:41">
      <c r="A98" s="2">
        <v>6312</v>
      </c>
      <c r="B98" s="2" t="s">
        <v>134</v>
      </c>
      <c r="C98" s="184"/>
      <c r="D98" s="49">
        <f>C98/C12</f>
        <v>0</v>
      </c>
      <c r="E98" s="168">
        <f>3888+1360</f>
        <v>5248</v>
      </c>
      <c r="F98" s="179">
        <f>E98/E12</f>
        <v>3.1671818742656205E-2</v>
      </c>
      <c r="G98" s="184">
        <f>3888+1360</f>
        <v>5248</v>
      </c>
      <c r="H98" s="49">
        <f>G98/G12</f>
        <v>2.6856610763746337E-2</v>
      </c>
      <c r="I98" s="168">
        <f>3888+1360</f>
        <v>5248</v>
      </c>
      <c r="J98" s="179">
        <f>I98/I12</f>
        <v>2.4449809405406222E-2</v>
      </c>
      <c r="K98" s="184">
        <f>3888+1360</f>
        <v>5248</v>
      </c>
      <c r="L98" s="49">
        <f>K98/K12</f>
        <v>2.7509663185638411E-2</v>
      </c>
      <c r="M98" s="168">
        <f>3888+1360</f>
        <v>5248</v>
      </c>
      <c r="N98" s="179">
        <f>M98/M12</f>
        <v>2.5898165000971245E-2</v>
      </c>
      <c r="O98" s="184"/>
      <c r="P98" s="49">
        <f>O98/O12</f>
        <v>0</v>
      </c>
      <c r="Q98" s="168">
        <f>3888+1360</f>
        <v>5248</v>
      </c>
      <c r="R98" s="179">
        <f>Q98/Q12</f>
        <v>2.9158599718495347E-2</v>
      </c>
      <c r="S98" s="184">
        <f>3888+1360</f>
        <v>5248</v>
      </c>
      <c r="T98" s="49">
        <f>S98/S12</f>
        <v>3.2281057436041712E-2</v>
      </c>
      <c r="U98" s="168"/>
      <c r="V98" s="179">
        <f>U98/U12</f>
        <v>0</v>
      </c>
      <c r="W98" s="184">
        <f>3888+1360</f>
        <v>5248</v>
      </c>
      <c r="X98" s="49">
        <f>W98/W12</f>
        <v>3.3827276712481154E-2</v>
      </c>
      <c r="Y98" s="168">
        <f>3888+1360</f>
        <v>5248</v>
      </c>
      <c r="Z98" s="179">
        <f>Y98/Y12</f>
        <v>2.4301716548957995E-2</v>
      </c>
      <c r="AA98" s="286">
        <f t="shared" si="54"/>
        <v>47232</v>
      </c>
      <c r="AB98" s="214">
        <f>AA98/AA12</f>
        <v>2.0016652737281534E-2</v>
      </c>
      <c r="AC98" s="209">
        <v>12000</v>
      </c>
      <c r="AD98" s="214">
        <f>AC98/AC12</f>
        <v>1.490257164364747E-2</v>
      </c>
      <c r="AE98" s="75"/>
      <c r="AF98" s="169"/>
      <c r="AG98" s="75"/>
      <c r="AH98" s="209">
        <v>12000</v>
      </c>
      <c r="AI98" s="255">
        <f>AH98/AH12</f>
        <v>1.490257164364747E-2</v>
      </c>
      <c r="AJ98" s="293">
        <f t="shared" si="51"/>
        <v>71232</v>
      </c>
      <c r="AK98" s="1"/>
      <c r="AL98" s="53"/>
      <c r="AM98" s="53">
        <f t="shared" si="53"/>
        <v>394649.60000000003</v>
      </c>
      <c r="AN98" s="53" t="e">
        <f>#REF!-AM98</f>
        <v>#REF!</v>
      </c>
      <c r="AO98" s="53"/>
    </row>
    <row r="99" spans="1:41">
      <c r="A99" s="2">
        <v>6313</v>
      </c>
      <c r="B99" s="2" t="s">
        <v>135</v>
      </c>
      <c r="C99" s="185"/>
      <c r="D99" s="186">
        <f>C99/C12</f>
        <v>0</v>
      </c>
      <c r="E99" s="193"/>
      <c r="F99" s="194">
        <f>E99/E12</f>
        <v>0</v>
      </c>
      <c r="G99" s="185"/>
      <c r="H99" s="186">
        <f>G99/G12</f>
        <v>0</v>
      </c>
      <c r="I99" s="195"/>
      <c r="J99" s="194">
        <f>I99/I12</f>
        <v>0</v>
      </c>
      <c r="K99" s="189"/>
      <c r="L99" s="186">
        <f>K99/K12</f>
        <v>0</v>
      </c>
      <c r="M99" s="195"/>
      <c r="N99" s="194">
        <f>M99/M12</f>
        <v>0</v>
      </c>
      <c r="O99" s="189"/>
      <c r="P99" s="186">
        <f>O99/O12</f>
        <v>0</v>
      </c>
      <c r="Q99" s="195"/>
      <c r="R99" s="194">
        <f>Q99/Q12</f>
        <v>0</v>
      </c>
      <c r="S99" s="189"/>
      <c r="T99" s="186">
        <f>S99/S12</f>
        <v>0</v>
      </c>
      <c r="U99" s="195"/>
      <c r="V99" s="194">
        <f>U99/U12</f>
        <v>0</v>
      </c>
      <c r="W99" s="189"/>
      <c r="X99" s="186">
        <f>W99/W12</f>
        <v>0</v>
      </c>
      <c r="Y99" s="195"/>
      <c r="Z99" s="194">
        <f>Y99/Y12</f>
        <v>0</v>
      </c>
      <c r="AA99" s="286">
        <f t="shared" si="54"/>
        <v>0</v>
      </c>
      <c r="AB99" s="214">
        <f>AA99/AA12</f>
        <v>0</v>
      </c>
      <c r="AC99" s="209">
        <v>0</v>
      </c>
      <c r="AD99" s="214">
        <f>AC99/AC12</f>
        <v>0</v>
      </c>
      <c r="AE99" s="75"/>
      <c r="AF99" s="169"/>
      <c r="AG99" s="75"/>
      <c r="AH99" s="209">
        <v>0</v>
      </c>
      <c r="AI99" s="255">
        <f>AH99/AH12</f>
        <v>0</v>
      </c>
      <c r="AJ99" s="293">
        <f t="shared" si="51"/>
        <v>0</v>
      </c>
      <c r="AK99" s="1"/>
      <c r="AL99" s="53"/>
      <c r="AM99" s="53">
        <f t="shared" si="53"/>
        <v>0</v>
      </c>
      <c r="AN99" s="53" t="e">
        <f>#REF!-AM99</f>
        <v>#REF!</v>
      </c>
      <c r="AO99" s="53"/>
    </row>
    <row r="100" spans="1:41" ht="15.75" thickBot="1">
      <c r="A100" s="4">
        <v>6399</v>
      </c>
      <c r="B100" s="113" t="s">
        <v>101</v>
      </c>
      <c r="C100" s="172">
        <f>SUM(C88:C99)</f>
        <v>1992.9209999999998</v>
      </c>
      <c r="D100" s="173">
        <f>C100/C12</f>
        <v>7.8774383278456539E-3</v>
      </c>
      <c r="E100" s="174">
        <f>SUM(E88:E99)</f>
        <v>7434.755319148936</v>
      </c>
      <c r="F100" s="173">
        <f>E100/E12</f>
        <v>4.4868944905503853E-2</v>
      </c>
      <c r="G100" s="175">
        <f>SUM(G88:G99)</f>
        <v>8596.4255319148942</v>
      </c>
      <c r="H100" s="173">
        <f>G100/G12</f>
        <v>4.3992159769468249E-2</v>
      </c>
      <c r="I100" s="176">
        <f>SUM(I88:I99)</f>
        <v>7064.2978723404249</v>
      </c>
      <c r="J100" s="173">
        <f>I100/I12</f>
        <v>3.2911725716794987E-2</v>
      </c>
      <c r="K100" s="174">
        <f>SUM(K88:K99)</f>
        <v>7133.4255319148933</v>
      </c>
      <c r="L100" s="173">
        <f>K100/K12</f>
        <v>3.7392937069895625E-2</v>
      </c>
      <c r="M100" s="176">
        <f>SUM(M88:M99)</f>
        <v>7412.6732522796356</v>
      </c>
      <c r="N100" s="173">
        <f>M100/M12</f>
        <v>3.6580532581140274E-2</v>
      </c>
      <c r="O100" s="176">
        <f>SUM(O88:O99)</f>
        <v>1078.8297872340424</v>
      </c>
      <c r="P100" s="173">
        <f>O100/O12</f>
        <v>5.6216629371292322E-3</v>
      </c>
      <c r="Q100" s="176">
        <f>SUM(Q88:Q99)</f>
        <v>7858.9574468085102</v>
      </c>
      <c r="R100" s="173">
        <f>Q100/Q12</f>
        <v>4.3665433383417974E-2</v>
      </c>
      <c r="S100" s="176">
        <f>SUM(S88:S99)</f>
        <v>7356.8510638297867</v>
      </c>
      <c r="T100" s="173">
        <f>S100/S12</f>
        <v>4.5252845224827351E-2</v>
      </c>
      <c r="U100" s="174">
        <f>SUM(U88:U99)</f>
        <v>2441.2765957446809</v>
      </c>
      <c r="V100" s="173">
        <f>U100/U12</f>
        <v>1.0525838605332738E-2</v>
      </c>
      <c r="W100" s="177">
        <f>SUM(W88:W99)</f>
        <v>7004.5957446808516</v>
      </c>
      <c r="X100" s="173">
        <f>W100/W12</f>
        <v>4.5149847277893895E-2</v>
      </c>
      <c r="Y100" s="174">
        <f>SUM(Y88:Y99)</f>
        <v>6326.8297872340427</v>
      </c>
      <c r="Z100" s="227">
        <f>Y100/Y12</f>
        <v>2.9297413136979027E-2</v>
      </c>
      <c r="AA100" s="211">
        <f>SUM(AA88:AA99)</f>
        <v>71701.838933130697</v>
      </c>
      <c r="AB100" s="245">
        <f>AA100/AA12</f>
        <v>3.0386831185403331E-2</v>
      </c>
      <c r="AC100" s="210">
        <f>SUM(AC88:AC99)</f>
        <v>36469.838933130704</v>
      </c>
      <c r="AD100" s="245">
        <f>AC100/AC12</f>
        <v>4.5291198961105346E-2</v>
      </c>
      <c r="AE100" s="75"/>
      <c r="AF100" s="169"/>
      <c r="AG100" s="75"/>
      <c r="AH100" s="210">
        <f>SUM(AH88:AH99)</f>
        <v>36469.838933130704</v>
      </c>
      <c r="AI100" s="259">
        <f>AH100/AH12</f>
        <v>4.5291198961105346E-2</v>
      </c>
      <c r="AJ100" s="297">
        <f t="shared" si="51"/>
        <v>144641.51679939209</v>
      </c>
      <c r="AK100" s="1"/>
      <c r="AL100" s="53"/>
      <c r="AM100" s="53">
        <f t="shared" si="53"/>
        <v>585377.12857142859</v>
      </c>
      <c r="AN100" s="53" t="e">
        <f>#REF!-AM100</f>
        <v>#REF!</v>
      </c>
      <c r="AO100" s="53"/>
    </row>
    <row r="101" spans="1:41" ht="15.75" thickTop="1">
      <c r="A101" s="16">
        <v>6401</v>
      </c>
      <c r="B101" s="111" t="s">
        <v>89</v>
      </c>
      <c r="C101" s="136"/>
      <c r="D101" s="49">
        <f>C101/C12</f>
        <v>0</v>
      </c>
      <c r="E101" s="61"/>
      <c r="F101" s="49">
        <f>E101/E12</f>
        <v>0</v>
      </c>
      <c r="G101" s="80"/>
      <c r="H101" s="49">
        <f>G101/G12</f>
        <v>0</v>
      </c>
      <c r="J101" s="49">
        <f>I101/I12</f>
        <v>0</v>
      </c>
      <c r="K101" s="61"/>
      <c r="L101" s="49">
        <f>K101/K12</f>
        <v>0</v>
      </c>
      <c r="N101" s="49">
        <f>M101/M12</f>
        <v>0</v>
      </c>
      <c r="P101" s="49">
        <f>O101/O12</f>
        <v>0</v>
      </c>
      <c r="R101" s="49">
        <f>Q101/Q12</f>
        <v>0</v>
      </c>
      <c r="T101" s="49">
        <f>S101/S12</f>
        <v>0</v>
      </c>
      <c r="U101" s="61"/>
      <c r="V101" s="49">
        <f>U101/U12</f>
        <v>0</v>
      </c>
      <c r="W101" s="42"/>
      <c r="X101" s="49">
        <f>W101/W12</f>
        <v>0</v>
      </c>
      <c r="Y101" s="61"/>
      <c r="Z101" s="179">
        <f>Y101/Y12</f>
        <v>0</v>
      </c>
      <c r="AA101" s="286">
        <f t="shared" ref="AA101:AA112" si="55">C101+E101+G101+I101+K101+M101+O101+Q101+S101+U101+W101+Y101</f>
        <v>0</v>
      </c>
      <c r="AB101" s="214">
        <f>AA101/AA12</f>
        <v>0</v>
      </c>
      <c r="AC101" s="205"/>
      <c r="AD101" s="214">
        <f>AC101/AC12</f>
        <v>0</v>
      </c>
      <c r="AE101" s="75"/>
      <c r="AF101" s="169"/>
      <c r="AG101" s="75"/>
      <c r="AH101" s="205"/>
      <c r="AI101" s="255">
        <f>AH101/AH12</f>
        <v>0</v>
      </c>
      <c r="AJ101" s="293">
        <f t="shared" si="51"/>
        <v>0</v>
      </c>
      <c r="AK101" s="1"/>
      <c r="AL101" s="53"/>
      <c r="AM101" s="53">
        <f t="shared" si="53"/>
        <v>0</v>
      </c>
      <c r="AN101" s="53" t="e">
        <f>#REF!-AM101</f>
        <v>#REF!</v>
      </c>
      <c r="AO101" s="53"/>
    </row>
    <row r="102" spans="1:41">
      <c r="A102" s="99">
        <v>6402</v>
      </c>
      <c r="B102" s="2" t="s">
        <v>75</v>
      </c>
      <c r="C102" s="23">
        <f>0.267+0.002</f>
        <v>0.26900000000000002</v>
      </c>
      <c r="D102" s="49">
        <f>C102/C12</f>
        <v>1.0632789308710587E-6</v>
      </c>
      <c r="E102" s="23">
        <v>100</v>
      </c>
      <c r="F102" s="49">
        <f>E102/E12</f>
        <v>6.0350264372439422E-4</v>
      </c>
      <c r="G102" s="23">
        <v>100</v>
      </c>
      <c r="H102" s="49">
        <f>G102/G12</f>
        <v>5.1174944290675189E-4</v>
      </c>
      <c r="I102" s="23">
        <v>100</v>
      </c>
      <c r="J102" s="49">
        <f>I102/I12</f>
        <v>4.6588813653594175E-4</v>
      </c>
      <c r="K102" s="23">
        <v>100</v>
      </c>
      <c r="L102" s="49">
        <f>K102/K12</f>
        <v>5.2419327716536602E-4</v>
      </c>
      <c r="M102" s="23">
        <v>100</v>
      </c>
      <c r="N102" s="49">
        <f>M102/M12</f>
        <v>4.9348637578070214E-4</v>
      </c>
      <c r="O102" s="23">
        <v>100</v>
      </c>
      <c r="P102" s="49">
        <f>O102/O12</f>
        <v>5.2108896172975829E-4</v>
      </c>
      <c r="Q102" s="23">
        <v>100</v>
      </c>
      <c r="R102" s="49">
        <f>Q102/Q12</f>
        <v>5.556135617091339E-4</v>
      </c>
      <c r="S102" s="23">
        <v>100</v>
      </c>
      <c r="T102" s="49">
        <f>S102/S12</f>
        <v>6.1511161272945344E-4</v>
      </c>
      <c r="U102" s="23">
        <v>100</v>
      </c>
      <c r="V102" s="49">
        <f>U102/U12</f>
        <v>4.3116124668872121E-4</v>
      </c>
      <c r="W102" s="23">
        <v>100</v>
      </c>
      <c r="X102" s="49">
        <f>W102/W12</f>
        <v>6.4457463247868051E-4</v>
      </c>
      <c r="Y102" s="23">
        <v>100</v>
      </c>
      <c r="Z102" s="179">
        <f>Y102/Y12</f>
        <v>4.6306624521642522E-4</v>
      </c>
      <c r="AA102" s="286">
        <f t="shared" si="55"/>
        <v>1100.269</v>
      </c>
      <c r="AB102" s="214">
        <f>AA102/AA12</f>
        <v>4.6628773904547794E-4</v>
      </c>
      <c r="AC102" s="207">
        <v>1100.269</v>
      </c>
      <c r="AD102" s="214">
        <f>AC102/AC12</f>
        <v>1.3664031333153633E-3</v>
      </c>
      <c r="AE102" s="170"/>
      <c r="AF102" s="238"/>
      <c r="AG102" s="75"/>
      <c r="AH102" s="207">
        <v>1100.269</v>
      </c>
      <c r="AI102" s="255">
        <f>AH102/AH12</f>
        <v>1.3664031333153633E-3</v>
      </c>
      <c r="AJ102" s="293">
        <f t="shared" si="51"/>
        <v>3300.8069999999998</v>
      </c>
      <c r="AK102" s="1"/>
      <c r="AL102" s="53"/>
      <c r="AM102" s="53">
        <f t="shared" si="53"/>
        <v>9400</v>
      </c>
      <c r="AN102" s="53" t="e">
        <f>#REF!-AM102</f>
        <v>#REF!</v>
      </c>
      <c r="AO102" s="53"/>
    </row>
    <row r="103" spans="1:41">
      <c r="A103" s="99">
        <v>6404</v>
      </c>
      <c r="B103" s="2" t="s">
        <v>91</v>
      </c>
      <c r="C103" s="23"/>
      <c r="D103" s="49">
        <f>C103/C12</f>
        <v>0</v>
      </c>
      <c r="E103" s="23"/>
      <c r="F103" s="49">
        <f>E103/E12</f>
        <v>0</v>
      </c>
      <c r="G103" s="23"/>
      <c r="H103" s="49">
        <f>G103/G12</f>
        <v>0</v>
      </c>
      <c r="I103" s="23"/>
      <c r="J103" s="49">
        <f>I103/I12</f>
        <v>0</v>
      </c>
      <c r="K103" s="23"/>
      <c r="L103" s="49">
        <f>K103/K12</f>
        <v>0</v>
      </c>
      <c r="M103" s="23"/>
      <c r="N103" s="49">
        <f>M103/M12</f>
        <v>0</v>
      </c>
      <c r="O103" s="23"/>
      <c r="P103" s="49">
        <f>O103/O12</f>
        <v>0</v>
      </c>
      <c r="Q103" s="23"/>
      <c r="R103" s="49">
        <f>Q103/Q12</f>
        <v>0</v>
      </c>
      <c r="S103" s="23"/>
      <c r="T103" s="49">
        <f>S103/S12</f>
        <v>0</v>
      </c>
      <c r="U103" s="23"/>
      <c r="V103" s="49">
        <f>U103/U12</f>
        <v>0</v>
      </c>
      <c r="W103" s="23"/>
      <c r="X103" s="49">
        <f>W103/W12</f>
        <v>0</v>
      </c>
      <c r="Y103" s="23"/>
      <c r="Z103" s="179">
        <f>Y103/Y12</f>
        <v>0</v>
      </c>
      <c r="AA103" s="286">
        <f t="shared" si="55"/>
        <v>0</v>
      </c>
      <c r="AB103" s="214">
        <f>AA103/AA12</f>
        <v>0</v>
      </c>
      <c r="AC103" s="207">
        <v>0</v>
      </c>
      <c r="AD103" s="214">
        <f>AC103/AC12</f>
        <v>0</v>
      </c>
      <c r="AE103" s="170"/>
      <c r="AF103" s="238"/>
      <c r="AG103" s="75"/>
      <c r="AH103" s="207">
        <v>0</v>
      </c>
      <c r="AI103" s="255">
        <f>AH103/AH12</f>
        <v>0</v>
      </c>
      <c r="AJ103" s="293">
        <f t="shared" si="51"/>
        <v>0</v>
      </c>
      <c r="AK103" s="1"/>
      <c r="AL103" s="53"/>
      <c r="AM103" s="53">
        <f t="shared" si="53"/>
        <v>0</v>
      </c>
      <c r="AN103" s="53" t="e">
        <f>#REF!-AM103</f>
        <v>#REF!</v>
      </c>
      <c r="AO103" s="53"/>
    </row>
    <row r="104" spans="1:41">
      <c r="A104" s="99">
        <v>6406</v>
      </c>
      <c r="B104" s="2" t="s">
        <v>73</v>
      </c>
      <c r="C104" s="18">
        <v>-23.681000000000001</v>
      </c>
      <c r="D104" s="49">
        <f>C104/C12</f>
        <v>-9.360412030467488E-5</v>
      </c>
      <c r="E104" s="18">
        <v>75</v>
      </c>
      <c r="F104" s="49">
        <f>E104/E12</f>
        <v>4.5262698279329567E-4</v>
      </c>
      <c r="G104" s="18">
        <v>75</v>
      </c>
      <c r="H104" s="49">
        <f>G104/G12</f>
        <v>3.8381208218006389E-4</v>
      </c>
      <c r="I104" s="18">
        <v>75</v>
      </c>
      <c r="J104" s="49">
        <f>I104/I12</f>
        <v>3.4941610240195629E-4</v>
      </c>
      <c r="K104" s="18">
        <v>75</v>
      </c>
      <c r="L104" s="49">
        <f>K104/K12</f>
        <v>3.9314495787402457E-4</v>
      </c>
      <c r="M104" s="18">
        <v>75</v>
      </c>
      <c r="N104" s="49">
        <f>M104/M12</f>
        <v>3.7011478183552655E-4</v>
      </c>
      <c r="O104" s="18">
        <v>75</v>
      </c>
      <c r="P104" s="49">
        <f>O104/O12</f>
        <v>3.9081672129731869E-4</v>
      </c>
      <c r="Q104" s="18">
        <v>75</v>
      </c>
      <c r="R104" s="49">
        <f>Q104/Q12</f>
        <v>4.167101712818504E-4</v>
      </c>
      <c r="S104" s="18">
        <v>75</v>
      </c>
      <c r="T104" s="49">
        <f>S104/S12</f>
        <v>4.6133370954709005E-4</v>
      </c>
      <c r="U104" s="18">
        <v>75</v>
      </c>
      <c r="V104" s="49">
        <f>U104/U12</f>
        <v>3.2337093501654088E-4</v>
      </c>
      <c r="W104" s="18">
        <v>75</v>
      </c>
      <c r="X104" s="49">
        <f>W104/W12</f>
        <v>4.8343097435901038E-4</v>
      </c>
      <c r="Y104" s="18">
        <v>75</v>
      </c>
      <c r="Z104" s="179">
        <f>Y104/Y12</f>
        <v>3.4729968391231889E-4</v>
      </c>
      <c r="AA104" s="286">
        <f t="shared" si="55"/>
        <v>801.31899999999996</v>
      </c>
      <c r="AB104" s="214">
        <f>AA104/AA12</f>
        <v>3.3959443078391134E-4</v>
      </c>
      <c r="AC104" s="205">
        <v>0</v>
      </c>
      <c r="AD104" s="214">
        <f>AC104/AC12</f>
        <v>0</v>
      </c>
      <c r="AE104" s="170"/>
      <c r="AF104" s="238"/>
      <c r="AG104" s="75"/>
      <c r="AH104" s="205">
        <v>0</v>
      </c>
      <c r="AI104" s="255">
        <f>AH104/AH12</f>
        <v>0</v>
      </c>
      <c r="AJ104" s="293">
        <f t="shared" si="51"/>
        <v>801.31899999999996</v>
      </c>
      <c r="AK104" s="1"/>
      <c r="AL104" s="53"/>
      <c r="AM104" s="53">
        <f t="shared" si="53"/>
        <v>7050</v>
      </c>
      <c r="AN104" s="53" t="e">
        <f>#REF!-AM104</f>
        <v>#REF!</v>
      </c>
      <c r="AO104" s="53"/>
    </row>
    <row r="105" spans="1:41">
      <c r="A105" s="2">
        <v>6407</v>
      </c>
      <c r="B105" s="112" t="s">
        <v>74</v>
      </c>
      <c r="C105" s="136">
        <v>-0.7</v>
      </c>
      <c r="D105" s="49">
        <f>C105/C12</f>
        <v>-2.7668968461328664E-6</v>
      </c>
      <c r="E105" s="43"/>
      <c r="F105" s="49">
        <f>E105/E12</f>
        <v>0</v>
      </c>
      <c r="G105" s="80"/>
      <c r="H105" s="49">
        <f>G105/G12</f>
        <v>0</v>
      </c>
      <c r="I105" s="18"/>
      <c r="J105" s="49">
        <f>I105/I12</f>
        <v>0</v>
      </c>
      <c r="K105" s="43"/>
      <c r="L105" s="49">
        <f>K105/K12</f>
        <v>0</v>
      </c>
      <c r="M105" s="18"/>
      <c r="N105" s="49">
        <f>M105/M12</f>
        <v>0</v>
      </c>
      <c r="O105" s="18"/>
      <c r="P105" s="49">
        <f>O105/O12</f>
        <v>0</v>
      </c>
      <c r="Q105" s="18"/>
      <c r="R105" s="49">
        <f>Q105/Q12</f>
        <v>0</v>
      </c>
      <c r="S105" s="18"/>
      <c r="T105" s="49">
        <f>S105/S12</f>
        <v>0</v>
      </c>
      <c r="U105" s="43"/>
      <c r="V105" s="49">
        <f>U105/U12</f>
        <v>0</v>
      </c>
      <c r="W105" s="33"/>
      <c r="X105" s="49">
        <f>W105/W12</f>
        <v>0</v>
      </c>
      <c r="Y105" s="43"/>
      <c r="Z105" s="179">
        <f>Y105/Y12</f>
        <v>0</v>
      </c>
      <c r="AA105" s="286">
        <f t="shared" si="55"/>
        <v>-0.7</v>
      </c>
      <c r="AB105" s="214">
        <f>AA105/AA12</f>
        <v>-2.9665601533064599E-7</v>
      </c>
      <c r="AC105" s="205">
        <v>0</v>
      </c>
      <c r="AD105" s="214">
        <f>AC105/AC12</f>
        <v>0</v>
      </c>
      <c r="AE105" s="170"/>
      <c r="AF105" s="238"/>
      <c r="AG105" s="75"/>
      <c r="AH105" s="205">
        <v>0</v>
      </c>
      <c r="AI105" s="255">
        <f>AH105/AH12</f>
        <v>0</v>
      </c>
      <c r="AJ105" s="293">
        <f t="shared" si="51"/>
        <v>-0.7</v>
      </c>
      <c r="AK105" s="1"/>
      <c r="AL105" s="53"/>
      <c r="AM105" s="53">
        <f t="shared" si="53"/>
        <v>0</v>
      </c>
      <c r="AN105" s="53" t="e">
        <f>#REF!-AM105</f>
        <v>#REF!</v>
      </c>
      <c r="AO105" s="53"/>
    </row>
    <row r="106" spans="1:41">
      <c r="A106" s="2">
        <v>6408</v>
      </c>
      <c r="B106" s="112" t="s">
        <v>43</v>
      </c>
      <c r="C106" s="136"/>
      <c r="D106" s="49">
        <f>C106/C12</f>
        <v>0</v>
      </c>
      <c r="E106" s="43"/>
      <c r="F106" s="49">
        <f>E106/E12</f>
        <v>0</v>
      </c>
      <c r="G106" s="80"/>
      <c r="H106" s="49">
        <f>G106/G12</f>
        <v>0</v>
      </c>
      <c r="I106" s="18"/>
      <c r="J106" s="49">
        <f>I106/I12</f>
        <v>0</v>
      </c>
      <c r="K106" s="43"/>
      <c r="L106" s="49">
        <f>K106/K12</f>
        <v>0</v>
      </c>
      <c r="M106" s="18"/>
      <c r="N106" s="49">
        <f>M106/M12</f>
        <v>0</v>
      </c>
      <c r="O106" s="18"/>
      <c r="P106" s="49">
        <f>O106/O12</f>
        <v>0</v>
      </c>
      <c r="Q106" s="18"/>
      <c r="R106" s="49">
        <f>Q106/Q12</f>
        <v>0</v>
      </c>
      <c r="S106" s="18"/>
      <c r="T106" s="49">
        <f>S106/S12</f>
        <v>0</v>
      </c>
      <c r="U106" s="43"/>
      <c r="V106" s="49">
        <f>U106/U12</f>
        <v>0</v>
      </c>
      <c r="W106" s="33"/>
      <c r="X106" s="49">
        <f>W106/W12</f>
        <v>0</v>
      </c>
      <c r="Y106" s="43"/>
      <c r="Z106" s="179">
        <f>Y106/Y12</f>
        <v>0</v>
      </c>
      <c r="AA106" s="286">
        <f t="shared" si="55"/>
        <v>0</v>
      </c>
      <c r="AB106" s="214">
        <f>AA106/AA12</f>
        <v>0</v>
      </c>
      <c r="AC106" s="205">
        <v>0</v>
      </c>
      <c r="AD106" s="214">
        <f>AC106/AC12</f>
        <v>0</v>
      </c>
      <c r="AE106" s="170"/>
      <c r="AF106" s="238"/>
      <c r="AG106" s="75"/>
      <c r="AH106" s="205">
        <v>0</v>
      </c>
      <c r="AI106" s="255">
        <f>AH106/AH12</f>
        <v>0</v>
      </c>
      <c r="AJ106" s="293">
        <f t="shared" si="51"/>
        <v>0</v>
      </c>
      <c r="AK106" s="1"/>
      <c r="AL106" s="53"/>
      <c r="AM106" s="53">
        <f t="shared" si="53"/>
        <v>0</v>
      </c>
      <c r="AN106" s="53" t="e">
        <f>#REF!-AM106</f>
        <v>#REF!</v>
      </c>
      <c r="AO106" s="53"/>
    </row>
    <row r="107" spans="1:41">
      <c r="A107" s="2">
        <v>6410</v>
      </c>
      <c r="B107" s="112" t="s">
        <v>105</v>
      </c>
      <c r="C107" s="136"/>
      <c r="D107" s="49"/>
      <c r="E107" s="43"/>
      <c r="F107" s="49"/>
      <c r="G107" s="80"/>
      <c r="H107" s="49"/>
      <c r="I107" s="18"/>
      <c r="J107" s="49"/>
      <c r="K107" s="43"/>
      <c r="L107" s="49"/>
      <c r="M107" s="18"/>
      <c r="N107" s="49"/>
      <c r="O107" s="18"/>
      <c r="P107" s="49"/>
      <c r="Q107" s="18"/>
      <c r="R107" s="49"/>
      <c r="S107" s="18"/>
      <c r="T107" s="49"/>
      <c r="U107" s="43"/>
      <c r="V107" s="49"/>
      <c r="W107" s="33"/>
      <c r="X107" s="49"/>
      <c r="Y107" s="43"/>
      <c r="Z107" s="179"/>
      <c r="AA107" s="286">
        <f t="shared" si="55"/>
        <v>0</v>
      </c>
      <c r="AB107" s="214"/>
      <c r="AC107" s="205">
        <v>0</v>
      </c>
      <c r="AD107" s="214"/>
      <c r="AE107" s="170"/>
      <c r="AF107" s="238"/>
      <c r="AG107" s="75"/>
      <c r="AH107" s="205">
        <v>0</v>
      </c>
      <c r="AI107" s="255"/>
      <c r="AJ107" s="293">
        <f t="shared" si="51"/>
        <v>0</v>
      </c>
      <c r="AK107" s="1"/>
      <c r="AL107" s="53"/>
      <c r="AM107" s="53">
        <f t="shared" si="53"/>
        <v>0</v>
      </c>
      <c r="AN107" s="53" t="e">
        <f>#REF!-AM107</f>
        <v>#REF!</v>
      </c>
      <c r="AO107" s="53"/>
    </row>
    <row r="108" spans="1:41">
      <c r="A108" s="2">
        <v>6411</v>
      </c>
      <c r="B108" s="112" t="s">
        <v>107</v>
      </c>
      <c r="C108" s="136"/>
      <c r="D108" s="49"/>
      <c r="E108" s="43"/>
      <c r="F108" s="49"/>
      <c r="G108" s="80"/>
      <c r="H108" s="49"/>
      <c r="I108" s="18"/>
      <c r="J108" s="49"/>
      <c r="K108" s="43"/>
      <c r="L108" s="49"/>
      <c r="M108" s="18"/>
      <c r="N108" s="49"/>
      <c r="O108" s="18"/>
      <c r="P108" s="49"/>
      <c r="Q108" s="18"/>
      <c r="R108" s="49"/>
      <c r="S108" s="18"/>
      <c r="T108" s="49"/>
      <c r="U108" s="43"/>
      <c r="V108" s="49"/>
      <c r="W108" s="33"/>
      <c r="X108" s="49"/>
      <c r="Y108" s="43"/>
      <c r="Z108" s="179"/>
      <c r="AA108" s="286">
        <f t="shared" si="55"/>
        <v>0</v>
      </c>
      <c r="AB108" s="214"/>
      <c r="AC108" s="205">
        <v>0</v>
      </c>
      <c r="AD108" s="214"/>
      <c r="AE108" s="170"/>
      <c r="AF108" s="238"/>
      <c r="AG108" s="75"/>
      <c r="AH108" s="205">
        <v>0</v>
      </c>
      <c r="AI108" s="255"/>
      <c r="AJ108" s="293">
        <f t="shared" si="51"/>
        <v>0</v>
      </c>
      <c r="AK108" s="1"/>
      <c r="AL108" s="53"/>
      <c r="AM108" s="53">
        <f t="shared" si="53"/>
        <v>0</v>
      </c>
      <c r="AN108" s="53" t="e">
        <f>#REF!-AM108</f>
        <v>#REF!</v>
      </c>
      <c r="AO108" s="53"/>
    </row>
    <row r="109" spans="1:41">
      <c r="A109" s="2">
        <v>6412</v>
      </c>
      <c r="B109" s="112" t="s">
        <v>92</v>
      </c>
      <c r="C109" s="136"/>
      <c r="D109" s="49">
        <f>C109/C12</f>
        <v>0</v>
      </c>
      <c r="E109" s="43"/>
      <c r="F109" s="49">
        <f>E109/E12</f>
        <v>0</v>
      </c>
      <c r="G109" s="80"/>
      <c r="H109" s="49">
        <f>G109/G12</f>
        <v>0</v>
      </c>
      <c r="I109" s="18"/>
      <c r="J109" s="49">
        <f>I109/I12</f>
        <v>0</v>
      </c>
      <c r="K109" s="43"/>
      <c r="L109" s="49">
        <f>K109/K12</f>
        <v>0</v>
      </c>
      <c r="M109" s="18"/>
      <c r="N109" s="49">
        <f>M109/M12</f>
        <v>0</v>
      </c>
      <c r="O109" s="18">
        <v>0</v>
      </c>
      <c r="P109" s="49">
        <f>O109/O12</f>
        <v>0</v>
      </c>
      <c r="Q109" s="18"/>
      <c r="R109" s="49">
        <f>Q109/Q12</f>
        <v>0</v>
      </c>
      <c r="S109" s="18"/>
      <c r="T109" s="49">
        <f>S109/S12</f>
        <v>0</v>
      </c>
      <c r="U109" s="43">
        <v>0</v>
      </c>
      <c r="V109" s="49">
        <f>U109/U12</f>
        <v>0</v>
      </c>
      <c r="W109" s="33"/>
      <c r="X109" s="49">
        <f>W109/W12</f>
        <v>0</v>
      </c>
      <c r="Y109" s="43"/>
      <c r="Z109" s="179">
        <f>Y109/Y12</f>
        <v>0</v>
      </c>
      <c r="AA109" s="286">
        <f t="shared" si="55"/>
        <v>0</v>
      </c>
      <c r="AB109" s="214">
        <f>AA109/AA12</f>
        <v>0</v>
      </c>
      <c r="AC109" s="205">
        <v>0</v>
      </c>
      <c r="AD109" s="214">
        <f>AC109/AC12</f>
        <v>0</v>
      </c>
      <c r="AE109" s="170"/>
      <c r="AF109" s="238"/>
      <c r="AG109" s="75"/>
      <c r="AH109" s="205">
        <v>0</v>
      </c>
      <c r="AI109" s="255">
        <f>AH109/AH12</f>
        <v>0</v>
      </c>
      <c r="AJ109" s="293">
        <f t="shared" si="51"/>
        <v>0</v>
      </c>
      <c r="AK109" s="1"/>
      <c r="AL109" s="53"/>
      <c r="AM109" s="53">
        <f t="shared" si="53"/>
        <v>0</v>
      </c>
      <c r="AN109" s="53" t="e">
        <f>#REF!-AM109</f>
        <v>#REF!</v>
      </c>
      <c r="AO109" s="53"/>
    </row>
    <row r="110" spans="1:41">
      <c r="A110" s="2">
        <v>6413</v>
      </c>
      <c r="B110" s="2" t="s">
        <v>42</v>
      </c>
      <c r="C110" s="18">
        <v>2525.2550000000001</v>
      </c>
      <c r="D110" s="49">
        <f>C110/C12</f>
        <v>9.9816001359732173E-3</v>
      </c>
      <c r="E110" s="18">
        <f>E5*1%</f>
        <v>1673.7308785714285</v>
      </c>
      <c r="F110" s="49">
        <f>E110/E12</f>
        <v>1.0101010101010102E-2</v>
      </c>
      <c r="G110" s="18">
        <f>G5*1%</f>
        <v>1973.8194620469085</v>
      </c>
      <c r="H110" s="49">
        <f>G110/G12</f>
        <v>1.01010101010101E-2</v>
      </c>
      <c r="I110" s="18">
        <f>I5*1%</f>
        <v>2168.1191918976542</v>
      </c>
      <c r="J110" s="49">
        <f>I110/I12</f>
        <v>1.01010101010101E-2</v>
      </c>
      <c r="K110" s="18">
        <f>K5*1%</f>
        <v>1926.962923987207</v>
      </c>
      <c r="L110" s="49">
        <f>K110/K12</f>
        <v>1.0101010101010102E-2</v>
      </c>
      <c r="M110" s="18">
        <f>M5*1%</f>
        <v>2046.867065991471</v>
      </c>
      <c r="N110" s="49">
        <f>M110/M12</f>
        <v>1.0101010101010102E-2</v>
      </c>
      <c r="O110" s="18">
        <f>O5*1%</f>
        <v>2132.2867930703624</v>
      </c>
      <c r="P110" s="49">
        <f>O110/O12</f>
        <v>1.111111111111111E-2</v>
      </c>
      <c r="Q110" s="18">
        <f>Q5*1%</f>
        <v>1817.9919996801707</v>
      </c>
      <c r="R110" s="49">
        <f>Q110/Q12</f>
        <v>1.0101010101010102E-2</v>
      </c>
      <c r="S110" s="18">
        <f>S5*1%</f>
        <v>1642.1426440298505</v>
      </c>
      <c r="T110" s="49">
        <f>S110/S12</f>
        <v>1.01010101010101E-2</v>
      </c>
      <c r="U110" s="18">
        <f>U5*1%</f>
        <v>2342.7453600213221</v>
      </c>
      <c r="V110" s="49">
        <f>U110/U12</f>
        <v>1.0101010101010102E-2</v>
      </c>
      <c r="W110" s="18">
        <f>W5*1%</f>
        <v>1567.0815437100212</v>
      </c>
      <c r="X110" s="49">
        <f>W110/W12</f>
        <v>1.0101010101010102E-2</v>
      </c>
      <c r="Y110" s="18">
        <f>Y5*1%</f>
        <v>2397.260842217484</v>
      </c>
      <c r="Z110" s="179">
        <f>Y110/Y12</f>
        <v>1.1100905770100155E-2</v>
      </c>
      <c r="AA110" s="286">
        <f t="shared" si="55"/>
        <v>24214.263705223882</v>
      </c>
      <c r="AB110" s="214">
        <f>AA110/AA12</f>
        <v>1.0261867121367431E-2</v>
      </c>
      <c r="AC110" s="205">
        <v>12000</v>
      </c>
      <c r="AD110" s="214">
        <f>AC110/AC12</f>
        <v>1.490257164364747E-2</v>
      </c>
      <c r="AE110" s="170"/>
      <c r="AF110" s="249"/>
      <c r="AG110" s="171"/>
      <c r="AH110" s="205">
        <v>12000</v>
      </c>
      <c r="AI110" s="255">
        <f>AH110/AH12</f>
        <v>1.490257164364747E-2</v>
      </c>
      <c r="AJ110" s="293">
        <f t="shared" si="51"/>
        <v>48214.263705223886</v>
      </c>
      <c r="AK110" s="1"/>
      <c r="AL110" s="53"/>
      <c r="AM110" s="53">
        <f t="shared" si="53"/>
        <v>188143.61157053304</v>
      </c>
      <c r="AN110" s="53" t="e">
        <f>#REF!-AM110</f>
        <v>#REF!</v>
      </c>
      <c r="AO110" s="53"/>
    </row>
    <row r="111" spans="1:41">
      <c r="A111" s="2">
        <v>6414</v>
      </c>
      <c r="B111" s="2" t="s">
        <v>44</v>
      </c>
      <c r="C111" s="18">
        <v>15</v>
      </c>
      <c r="D111" s="49">
        <f>C111/C12</f>
        <v>5.929064670284714E-5</v>
      </c>
      <c r="E111" s="18"/>
      <c r="F111" s="49">
        <f>E111/E12</f>
        <v>0</v>
      </c>
      <c r="G111" s="18"/>
      <c r="H111" s="49">
        <f>G111/G12</f>
        <v>0</v>
      </c>
      <c r="I111" s="18"/>
      <c r="J111" s="49">
        <f>I111/I12</f>
        <v>0</v>
      </c>
      <c r="K111" s="18"/>
      <c r="L111" s="49">
        <f>K111/K12</f>
        <v>0</v>
      </c>
      <c r="M111" s="18"/>
      <c r="N111" s="49">
        <f>M111/M12</f>
        <v>0</v>
      </c>
      <c r="O111" s="18"/>
      <c r="P111" s="49">
        <f>O111/O12</f>
        <v>0</v>
      </c>
      <c r="Q111" s="18"/>
      <c r="R111" s="49">
        <f>Q111/Q12</f>
        <v>0</v>
      </c>
      <c r="S111" s="18"/>
      <c r="T111" s="49">
        <f>S111/S12</f>
        <v>0</v>
      </c>
      <c r="U111" s="18"/>
      <c r="V111" s="49">
        <f>U111/U12</f>
        <v>0</v>
      </c>
      <c r="W111" s="18"/>
      <c r="X111" s="49">
        <f>W111/W12</f>
        <v>0</v>
      </c>
      <c r="Y111" s="18"/>
      <c r="Z111" s="179">
        <f>Y111/Y12</f>
        <v>0</v>
      </c>
      <c r="AA111" s="286">
        <f t="shared" si="55"/>
        <v>15</v>
      </c>
      <c r="AB111" s="214">
        <f>AA111/AA12</f>
        <v>6.3569146142281288E-6</v>
      </c>
      <c r="AC111" s="205">
        <v>15</v>
      </c>
      <c r="AD111" s="214">
        <f>AC111/AC12</f>
        <v>1.8628214554559339E-5</v>
      </c>
      <c r="AE111" s="170"/>
      <c r="AF111" s="238"/>
      <c r="AG111" s="75"/>
      <c r="AH111" s="205">
        <v>15</v>
      </c>
      <c r="AI111" s="255">
        <f>AH111/AH12</f>
        <v>1.8628214554559339E-5</v>
      </c>
      <c r="AJ111" s="293">
        <f t="shared" si="51"/>
        <v>45</v>
      </c>
      <c r="AK111" s="1"/>
      <c r="AL111" s="53"/>
      <c r="AM111" s="53">
        <f t="shared" si="53"/>
        <v>0</v>
      </c>
      <c r="AN111" s="53" t="e">
        <f>#REF!-AM111</f>
        <v>#REF!</v>
      </c>
      <c r="AO111" s="53"/>
    </row>
    <row r="112" spans="1:41">
      <c r="A112" s="2">
        <v>6415</v>
      </c>
      <c r="B112" s="112" t="s">
        <v>45</v>
      </c>
      <c r="C112" s="136">
        <v>60</v>
      </c>
      <c r="D112" s="49">
        <f>C112/C12</f>
        <v>2.3716258681138856E-4</v>
      </c>
      <c r="E112" s="136">
        <v>100</v>
      </c>
      <c r="F112" s="49">
        <f>E112/E12</f>
        <v>6.0350264372439422E-4</v>
      </c>
      <c r="G112" s="136">
        <v>100</v>
      </c>
      <c r="H112" s="49">
        <f>G112/G12</f>
        <v>5.1174944290675189E-4</v>
      </c>
      <c r="I112" s="136">
        <v>100</v>
      </c>
      <c r="J112" s="49">
        <f>I112/I12</f>
        <v>4.6588813653594175E-4</v>
      </c>
      <c r="K112" s="136">
        <v>100</v>
      </c>
      <c r="L112" s="49">
        <f>K112/K12</f>
        <v>5.2419327716536602E-4</v>
      </c>
      <c r="M112" s="136">
        <v>100</v>
      </c>
      <c r="N112" s="49">
        <f>M112/M12</f>
        <v>4.9348637578070214E-4</v>
      </c>
      <c r="O112" s="136">
        <v>100</v>
      </c>
      <c r="P112" s="49">
        <f>O112/O12</f>
        <v>5.2108896172975829E-4</v>
      </c>
      <c r="Q112" s="136">
        <v>100</v>
      </c>
      <c r="R112" s="49">
        <f>Q112/Q12</f>
        <v>5.556135617091339E-4</v>
      </c>
      <c r="S112" s="136">
        <v>100</v>
      </c>
      <c r="T112" s="49">
        <f>S112/S12</f>
        <v>6.1511161272945344E-4</v>
      </c>
      <c r="U112" s="136">
        <v>100</v>
      </c>
      <c r="V112" s="49">
        <f>U112/U12</f>
        <v>4.3116124668872121E-4</v>
      </c>
      <c r="W112" s="136">
        <v>100</v>
      </c>
      <c r="X112" s="49">
        <f>W112/W12</f>
        <v>6.4457463247868051E-4</v>
      </c>
      <c r="Y112" s="136">
        <v>100</v>
      </c>
      <c r="Z112" s="179">
        <f>Y112/Y12</f>
        <v>4.6306624521642522E-4</v>
      </c>
      <c r="AA112" s="286">
        <f t="shared" si="55"/>
        <v>1160</v>
      </c>
      <c r="AB112" s="214">
        <f>AA112/AA12</f>
        <v>4.9160139683364194E-4</v>
      </c>
      <c r="AC112" s="205">
        <v>1160</v>
      </c>
      <c r="AD112" s="214">
        <f>AC112/AC12</f>
        <v>1.4405819255525888E-3</v>
      </c>
      <c r="AE112" s="170"/>
      <c r="AF112" s="238"/>
      <c r="AG112" s="170"/>
      <c r="AH112" s="205">
        <v>1160</v>
      </c>
      <c r="AI112" s="255">
        <f>AH112/AH12</f>
        <v>1.4405819255525888E-3</v>
      </c>
      <c r="AJ112" s="293">
        <f t="shared" si="51"/>
        <v>3480</v>
      </c>
      <c r="AK112" s="1"/>
      <c r="AL112" s="53"/>
      <c r="AM112" s="53">
        <f t="shared" si="53"/>
        <v>9400</v>
      </c>
      <c r="AN112" s="53" t="e">
        <f>#REF!-AM112</f>
        <v>#REF!</v>
      </c>
      <c r="AO112" s="53"/>
    </row>
    <row r="113" spans="1:41" ht="15.75" thickBot="1">
      <c r="A113" s="4">
        <v>6499</v>
      </c>
      <c r="B113" s="113" t="s">
        <v>102</v>
      </c>
      <c r="C113" s="27">
        <f>SUM(C101:C112)</f>
        <v>2576.143</v>
      </c>
      <c r="D113" s="68">
        <f>C113/C12</f>
        <v>1.0182745631267516E-2</v>
      </c>
      <c r="E113" s="55">
        <f>SUM(E101:E112)</f>
        <v>1948.7308785714285</v>
      </c>
      <c r="F113" s="68">
        <f>E113/E12</f>
        <v>1.1760642371252185E-2</v>
      </c>
      <c r="G113" s="82">
        <f>SUM(G101:G112)</f>
        <v>2248.8194620469085</v>
      </c>
      <c r="H113" s="68">
        <f>G113/G12</f>
        <v>1.1508321069003669E-2</v>
      </c>
      <c r="I113" s="20">
        <f>SUM(I101:I112)</f>
        <v>2443.1191918976542</v>
      </c>
      <c r="J113" s="68">
        <f>I113/I12</f>
        <v>1.138220247648394E-2</v>
      </c>
      <c r="K113" s="55">
        <f>SUM(K101:K112)</f>
        <v>2201.962923987207</v>
      </c>
      <c r="L113" s="68">
        <f>K113/K12</f>
        <v>1.1542541613214859E-2</v>
      </c>
      <c r="M113" s="20">
        <f>SUM(M101:M112)</f>
        <v>2321.867065991471</v>
      </c>
      <c r="N113" s="68">
        <f>M113/M12</f>
        <v>1.1458097634407033E-2</v>
      </c>
      <c r="O113" s="20">
        <f>SUM(O101:O112)</f>
        <v>2407.2867930703624</v>
      </c>
      <c r="P113" s="68">
        <f>O113/O12</f>
        <v>1.2544105755867946E-2</v>
      </c>
      <c r="Q113" s="20">
        <f>SUM(Q101:Q112)</f>
        <v>2092.9919996801709</v>
      </c>
      <c r="R113" s="68">
        <f>Q113/Q12</f>
        <v>1.1628947395710222E-2</v>
      </c>
      <c r="S113" s="20">
        <f>SUM(S101:S112)</f>
        <v>1917.1426440298505</v>
      </c>
      <c r="T113" s="68">
        <f>S113/S12</f>
        <v>1.1792567036016097E-2</v>
      </c>
      <c r="U113" s="55">
        <f>SUM(U101:U112)</f>
        <v>2617.7453600213221</v>
      </c>
      <c r="V113" s="68">
        <f>U113/U12</f>
        <v>1.1286703529404085E-2</v>
      </c>
      <c r="W113" s="34">
        <f>SUM(W101:W112)</f>
        <v>1842.0815437100212</v>
      </c>
      <c r="X113" s="68">
        <f>W113/W12</f>
        <v>1.1873590340326473E-2</v>
      </c>
      <c r="Y113" s="55">
        <f>SUM(Y101:Y112)</f>
        <v>2672.260842217484</v>
      </c>
      <c r="Z113" s="223">
        <f>Y113/Y12</f>
        <v>1.2374337944445325E-2</v>
      </c>
      <c r="AA113" s="211">
        <f>SUM(AA101:AA112)</f>
        <v>27290.151705223881</v>
      </c>
      <c r="AB113" s="245">
        <f>AA113/AA12</f>
        <v>1.1565410946629358E-2</v>
      </c>
      <c r="AC113" s="210">
        <f>SUM(AC101:AC112)</f>
        <v>14275.269</v>
      </c>
      <c r="AD113" s="245">
        <f>AC113/AC12</f>
        <v>1.7728184917069983E-2</v>
      </c>
      <c r="AE113" s="75"/>
      <c r="AF113" s="169"/>
      <c r="AG113" s="75"/>
      <c r="AH113" s="210">
        <f>SUM(AH101:AH112)</f>
        <v>14275.269</v>
      </c>
      <c r="AI113" s="259">
        <f>AH113/AH12</f>
        <v>1.7728184917069983E-2</v>
      </c>
      <c r="AJ113" s="297">
        <f t="shared" si="51"/>
        <v>55840.689705223878</v>
      </c>
      <c r="AK113" s="1"/>
      <c r="AL113" s="53"/>
      <c r="AM113" s="53">
        <f t="shared" si="53"/>
        <v>213993.61157053304</v>
      </c>
      <c r="AN113" s="53" t="e">
        <f>#REF!-AM113</f>
        <v>#REF!</v>
      </c>
      <c r="AO113" s="53"/>
    </row>
    <row r="114" spans="1:41" ht="15.75" thickTop="1">
      <c r="A114" s="109"/>
      <c r="B114" s="114"/>
      <c r="C114" s="136"/>
      <c r="D114" s="70"/>
      <c r="E114" s="61"/>
      <c r="F114" s="70"/>
      <c r="G114" s="80"/>
      <c r="H114" s="70"/>
      <c r="J114" s="70"/>
      <c r="K114" s="61"/>
      <c r="L114" s="70"/>
      <c r="N114" s="70"/>
      <c r="P114" s="70"/>
      <c r="R114" s="70"/>
      <c r="T114" s="70"/>
      <c r="U114" s="61"/>
      <c r="V114" s="70"/>
      <c r="W114" s="42"/>
      <c r="X114" s="70"/>
      <c r="Y114" s="61"/>
      <c r="AA114" s="204"/>
      <c r="AB114" s="213"/>
      <c r="AC114" s="205"/>
      <c r="AD114" s="213"/>
      <c r="AE114" s="75"/>
      <c r="AF114" s="169"/>
      <c r="AG114" s="75"/>
      <c r="AH114" s="205"/>
      <c r="AI114" s="254"/>
      <c r="AJ114" s="293">
        <f t="shared" si="51"/>
        <v>0</v>
      </c>
      <c r="AK114" s="1"/>
      <c r="AL114" s="53"/>
      <c r="AM114" s="53">
        <f t="shared" si="53"/>
        <v>0</v>
      </c>
      <c r="AN114" s="53" t="e">
        <f>#REF!-AM114</f>
        <v>#REF!</v>
      </c>
      <c r="AO114" s="53"/>
    </row>
    <row r="115" spans="1:41" ht="15.75" thickBot="1">
      <c r="A115" s="4"/>
      <c r="B115" s="113" t="s">
        <v>118</v>
      </c>
      <c r="C115" s="131">
        <f>C37-C41-C70-C87-C100-C113</f>
        <v>70367.641000000018</v>
      </c>
      <c r="D115" s="126">
        <f>C115/C12</f>
        <v>0.27814286278958544</v>
      </c>
      <c r="E115" s="125">
        <f>E37-E41-E70-E87-E100-E113</f>
        <v>38710.838589108193</v>
      </c>
      <c r="F115" s="126">
        <f>E115/E12</f>
        <v>0.23362093429315092</v>
      </c>
      <c r="G115" s="125">
        <f>G37-G41-G70-G87-G100-G113</f>
        <v>63400.501944913842</v>
      </c>
      <c r="H115" s="126">
        <f>G115/G12</f>
        <v>0.32445171550318097</v>
      </c>
      <c r="I115" s="131">
        <f>I37-I41-I70-I87-I100-I113</f>
        <v>70344.641234741648</v>
      </c>
      <c r="J115" s="126">
        <f>I115/I12</f>
        <v>0.32772733820143157</v>
      </c>
      <c r="K115" s="125">
        <f>K37-K41-K70-K87-K100-K113</f>
        <v>68726.586836231916</v>
      </c>
      <c r="L115" s="126">
        <f>K115/K12</f>
        <v>0.36026014782074517</v>
      </c>
      <c r="M115" s="131">
        <f>M37-M41-M70-M87-M100-M113</f>
        <v>79405.074044949608</v>
      </c>
      <c r="N115" s="126">
        <f>M115/M12</f>
        <v>0.39185322209040474</v>
      </c>
      <c r="O115" s="131">
        <f>O37-O41-O70-O87-O100-O113</f>
        <v>72509.566859644518</v>
      </c>
      <c r="P115" s="126">
        <f>O115/O12</f>
        <v>0.37783934910366651</v>
      </c>
      <c r="Q115" s="131">
        <f>Q37-Q41-Q70-Q87-Q100-Q113</f>
        <v>57511.286213859159</v>
      </c>
      <c r="R115" s="126">
        <f>Q115/Q12</f>
        <v>0.31954050571755699</v>
      </c>
      <c r="S115" s="131">
        <f>S37-S41-S70-S87-S100-S113</f>
        <v>58472.449748406099</v>
      </c>
      <c r="T115" s="126">
        <f>S115/S12</f>
        <v>0.35967082864983996</v>
      </c>
      <c r="U115" s="125">
        <f>U37-U41-U70-U87-U100-U113</f>
        <v>80561.135238410367</v>
      </c>
      <c r="V115" s="126">
        <f>U115/U12</f>
        <v>0.34734839504051684</v>
      </c>
      <c r="W115" s="125">
        <f>W37-W41-W70-W87-W100-W113</f>
        <v>53284.602406399725</v>
      </c>
      <c r="X115" s="126">
        <f>W115/W12</f>
        <v>0.34345903012877715</v>
      </c>
      <c r="Y115" s="125">
        <f>Y37-Y41-Y70-Y87-Y100-Y113</f>
        <v>79541.594898297917</v>
      </c>
      <c r="Z115" s="126">
        <f>Y115/Y12</f>
        <v>0.36833027688080783</v>
      </c>
      <c r="AA115" s="289">
        <f>AA37-AA41-AA70-AA87-AA100-AA113</f>
        <v>792836.39001496276</v>
      </c>
      <c r="AB115" s="250">
        <f>AA115/AA12</f>
        <v>0.33599954895853262</v>
      </c>
      <c r="AC115" s="251">
        <f>AC37-AC70-AC87-AC100-AC113</f>
        <v>63839.247926529526</v>
      </c>
      <c r="AD115" s="250">
        <f>AC115/AC12</f>
        <v>7.9280747158473289E-2</v>
      </c>
      <c r="AE115" s="75"/>
      <c r="AF115" s="169"/>
      <c r="AG115" s="75"/>
      <c r="AH115" s="251">
        <f>AH37-AH70-AH87-AH100-AH113</f>
        <v>63839.247926529526</v>
      </c>
      <c r="AI115" s="261">
        <f>AH115/AH12</f>
        <v>7.9280747158473289E-2</v>
      </c>
      <c r="AJ115" s="297">
        <f t="shared" si="51"/>
        <v>920514.88586802175</v>
      </c>
      <c r="AK115" s="1"/>
      <c r="AL115" s="53"/>
      <c r="AM115" s="53">
        <f t="shared" si="53"/>
        <v>6427319.9306030348</v>
      </c>
      <c r="AN115" s="53" t="e">
        <f>#REF!-AM115</f>
        <v>#REF!</v>
      </c>
      <c r="AO115" s="53"/>
    </row>
    <row r="116" spans="1:41" ht="15.75" thickTop="1">
      <c r="A116" s="109"/>
      <c r="B116" s="114"/>
      <c r="C116" s="136"/>
      <c r="D116" s="70"/>
      <c r="E116" s="61"/>
      <c r="F116" s="70"/>
      <c r="G116" s="80"/>
      <c r="H116" s="70"/>
      <c r="J116" s="70"/>
      <c r="K116" s="61"/>
      <c r="L116" s="70"/>
      <c r="N116" s="70"/>
      <c r="P116" s="70"/>
      <c r="R116" s="70"/>
      <c r="T116" s="70"/>
      <c r="U116" s="61"/>
      <c r="V116" s="70"/>
      <c r="W116" s="42"/>
      <c r="X116" s="70"/>
      <c r="Y116" s="61"/>
      <c r="AA116" s="204"/>
      <c r="AB116" s="213"/>
      <c r="AC116" s="205"/>
      <c r="AD116" s="213"/>
      <c r="AE116" s="75"/>
      <c r="AF116" s="169"/>
      <c r="AG116" s="75"/>
      <c r="AH116" s="205"/>
      <c r="AI116" s="254"/>
      <c r="AJ116" s="293">
        <f t="shared" si="51"/>
        <v>0</v>
      </c>
      <c r="AK116" s="1"/>
      <c r="AL116" s="53"/>
      <c r="AM116" s="53">
        <f t="shared" si="53"/>
        <v>0</v>
      </c>
      <c r="AN116" s="53" t="e">
        <f>#REF!-AM116</f>
        <v>#REF!</v>
      </c>
      <c r="AO116" s="53"/>
    </row>
    <row r="117" spans="1:41" ht="15.75" thickBot="1">
      <c r="A117" s="4"/>
      <c r="B117" s="274" t="s">
        <v>128</v>
      </c>
      <c r="C117" s="132"/>
      <c r="D117" s="275"/>
      <c r="E117" s="132"/>
      <c r="F117" s="275"/>
      <c r="G117" s="132"/>
      <c r="H117" s="275"/>
      <c r="I117" s="132"/>
      <c r="J117" s="275"/>
      <c r="K117" s="132"/>
      <c r="L117" s="275"/>
      <c r="M117" s="132"/>
      <c r="N117" s="275"/>
      <c r="O117" s="132"/>
      <c r="P117" s="275"/>
      <c r="Q117" s="132"/>
      <c r="R117" s="275"/>
      <c r="S117" s="132"/>
      <c r="T117" s="275"/>
      <c r="U117" s="132"/>
      <c r="V117" s="275"/>
      <c r="W117" s="132"/>
      <c r="X117" s="275"/>
      <c r="Y117" s="132"/>
      <c r="Z117" s="276"/>
      <c r="AA117" s="287">
        <f>C117+E117+G117+I117+K117+M117+O117+Q117+S117+U117+W117+Y117</f>
        <v>0</v>
      </c>
      <c r="AB117" s="277"/>
      <c r="AC117" s="278"/>
      <c r="AD117" s="277"/>
      <c r="AE117" s="273"/>
      <c r="AF117" s="272"/>
      <c r="AG117" s="273"/>
      <c r="AH117" s="278"/>
      <c r="AI117" s="279"/>
      <c r="AJ117" s="293">
        <f t="shared" si="51"/>
        <v>0</v>
      </c>
      <c r="AK117" s="1"/>
      <c r="AL117" s="53"/>
      <c r="AM117" s="53">
        <f t="shared" si="53"/>
        <v>0</v>
      </c>
      <c r="AN117" s="53" t="e">
        <f>#REF!-AM117</f>
        <v>#REF!</v>
      </c>
      <c r="AO117" s="53"/>
    </row>
    <row r="118" spans="1:41" ht="15.75" thickTop="1">
      <c r="A118" s="109"/>
      <c r="B118" s="109"/>
      <c r="C118" s="136"/>
      <c r="D118" s="70"/>
      <c r="E118" s="61"/>
      <c r="F118" s="70"/>
      <c r="G118" s="80"/>
      <c r="H118" s="70"/>
      <c r="J118" s="70"/>
      <c r="K118" s="61"/>
      <c r="L118" s="70"/>
      <c r="N118" s="70"/>
      <c r="P118" s="70"/>
      <c r="R118" s="70"/>
      <c r="T118" s="70"/>
      <c r="U118" s="61"/>
      <c r="V118" s="70"/>
      <c r="W118" s="42"/>
      <c r="X118" s="70"/>
      <c r="Y118" s="61"/>
      <c r="AA118" s="204"/>
      <c r="AB118" s="213"/>
      <c r="AC118" s="205"/>
      <c r="AD118" s="213"/>
      <c r="AE118" s="75"/>
      <c r="AF118" s="169"/>
      <c r="AG118" s="75"/>
      <c r="AH118" s="205"/>
      <c r="AI118" s="254"/>
      <c r="AJ118" s="293">
        <f t="shared" si="51"/>
        <v>0</v>
      </c>
      <c r="AK118" s="1"/>
      <c r="AL118" s="53"/>
      <c r="AM118" s="53">
        <f t="shared" si="53"/>
        <v>0</v>
      </c>
      <c r="AN118" s="53" t="e">
        <f>#REF!-AM118</f>
        <v>#REF!</v>
      </c>
      <c r="AO118" s="53"/>
    </row>
    <row r="119" spans="1:41" ht="15.75" thickBot="1">
      <c r="A119" s="4"/>
      <c r="B119" s="4" t="s">
        <v>125</v>
      </c>
      <c r="C119" s="27">
        <f>C115-C117</f>
        <v>70367.641000000018</v>
      </c>
      <c r="D119" s="68">
        <f>C119/C12</f>
        <v>0.27814286278958544</v>
      </c>
      <c r="E119" s="34">
        <f>E115-E117</f>
        <v>38710.838589108193</v>
      </c>
      <c r="F119" s="68">
        <f>E119/E12</f>
        <v>0.23362093429315092</v>
      </c>
      <c r="G119" s="34">
        <f>G115-G117</f>
        <v>63400.501944913842</v>
      </c>
      <c r="H119" s="68">
        <f>G119/G12</f>
        <v>0.32445171550318097</v>
      </c>
      <c r="I119" s="20">
        <f>I115-I117</f>
        <v>70344.641234741648</v>
      </c>
      <c r="J119" s="68">
        <f>I119/I12</f>
        <v>0.32772733820143157</v>
      </c>
      <c r="K119" s="34">
        <f>K115-K117</f>
        <v>68726.586836231916</v>
      </c>
      <c r="L119" s="68">
        <f>K119/K12</f>
        <v>0.36026014782074517</v>
      </c>
      <c r="M119" s="20">
        <f>M115-M117</f>
        <v>79405.074044949608</v>
      </c>
      <c r="N119" s="68">
        <f>M119/M12</f>
        <v>0.39185322209040474</v>
      </c>
      <c r="O119" s="20">
        <f>O115-O117</f>
        <v>72509.566859644518</v>
      </c>
      <c r="P119" s="68">
        <f>O119/O12</f>
        <v>0.37783934910366651</v>
      </c>
      <c r="Q119" s="20">
        <f>Q115-Q117</f>
        <v>57511.286213859159</v>
      </c>
      <c r="R119" s="68">
        <f>Q119/Q12</f>
        <v>0.31954050571755699</v>
      </c>
      <c r="S119" s="20">
        <f>S115-S117</f>
        <v>58472.449748406099</v>
      </c>
      <c r="T119" s="68">
        <f>S119/S12</f>
        <v>0.35967082864983996</v>
      </c>
      <c r="U119" s="34">
        <f>U115-U117</f>
        <v>80561.135238410367</v>
      </c>
      <c r="V119" s="68">
        <f>U119/U12</f>
        <v>0.34734839504051684</v>
      </c>
      <c r="W119" s="34">
        <f>W115-W117</f>
        <v>53284.602406399725</v>
      </c>
      <c r="X119" s="68">
        <f>W119/W12</f>
        <v>0.34345903012877715</v>
      </c>
      <c r="Y119" s="34">
        <f>Y115-Y117</f>
        <v>79541.594898297917</v>
      </c>
      <c r="Z119" s="223">
        <f>Y119/Y12</f>
        <v>0.36833027688080783</v>
      </c>
      <c r="AA119" s="211">
        <f>AA115-AA117</f>
        <v>792836.39001496276</v>
      </c>
      <c r="AB119" s="245">
        <f>AA119/AA12</f>
        <v>0.33599954895853262</v>
      </c>
      <c r="AC119" s="217">
        <f>AC115</f>
        <v>63839.247926529526</v>
      </c>
      <c r="AD119" s="245">
        <f>AC119/AC12</f>
        <v>7.9280747158473289E-2</v>
      </c>
      <c r="AE119" s="75"/>
      <c r="AF119" s="169"/>
      <c r="AG119" s="75"/>
      <c r="AH119" s="217">
        <f>AH115</f>
        <v>63839.247926529526</v>
      </c>
      <c r="AI119" s="259">
        <f>AH119/AH12</f>
        <v>7.9280747158473289E-2</v>
      </c>
      <c r="AJ119" s="297">
        <f t="shared" si="51"/>
        <v>920514.88586802175</v>
      </c>
      <c r="AK119" s="1"/>
      <c r="AL119" s="53"/>
      <c r="AM119" s="53">
        <f t="shared" si="53"/>
        <v>6427319.9306030348</v>
      </c>
      <c r="AN119" s="53" t="e">
        <f>#REF!-AM119</f>
        <v>#REF!</v>
      </c>
      <c r="AO119" s="53"/>
    </row>
    <row r="120" spans="1:41" ht="15.75" thickTop="1">
      <c r="A120" s="16">
        <v>6501</v>
      </c>
      <c r="B120" s="115"/>
      <c r="C120" s="136"/>
      <c r="D120" s="49">
        <f>C120/C12</f>
        <v>0</v>
      </c>
      <c r="E120" s="61"/>
      <c r="F120" s="49">
        <f>E120/E12</f>
        <v>0</v>
      </c>
      <c r="G120" s="80"/>
      <c r="H120" s="49">
        <f>G120/G12</f>
        <v>0</v>
      </c>
      <c r="J120" s="49">
        <f>I120/I12</f>
        <v>0</v>
      </c>
      <c r="K120" s="61"/>
      <c r="L120" s="49">
        <f>K120/K12</f>
        <v>0</v>
      </c>
      <c r="N120" s="49">
        <f>M120/M12</f>
        <v>0</v>
      </c>
      <c r="P120" s="49">
        <f>O120/O12</f>
        <v>0</v>
      </c>
      <c r="R120" s="49">
        <f>Q120/Q12</f>
        <v>0</v>
      </c>
      <c r="T120" s="49">
        <f>S120/S12</f>
        <v>0</v>
      </c>
      <c r="U120" s="61"/>
      <c r="V120" s="49">
        <f>U120/U12</f>
        <v>0</v>
      </c>
      <c r="W120" s="42"/>
      <c r="X120" s="49">
        <f>W120/W12</f>
        <v>0</v>
      </c>
      <c r="Y120" s="61"/>
      <c r="Z120" s="179">
        <f>Y120/Y12</f>
        <v>0</v>
      </c>
      <c r="AA120" s="286">
        <f t="shared" ref="AA120:AA127" si="56">C120+E120+G120+I120+K120+M120+O120+Q120+S120+U120+W120+Y120</f>
        <v>0</v>
      </c>
      <c r="AB120" s="214">
        <f>AA120/AA12</f>
        <v>0</v>
      </c>
      <c r="AC120" s="205">
        <v>0</v>
      </c>
      <c r="AD120" s="214">
        <f>AC120/AC12</f>
        <v>0</v>
      </c>
      <c r="AE120" s="75"/>
      <c r="AF120" s="169"/>
      <c r="AG120" s="75"/>
      <c r="AH120" s="205">
        <v>0</v>
      </c>
      <c r="AI120" s="255">
        <f>AH120/AH12</f>
        <v>0</v>
      </c>
      <c r="AJ120" s="293">
        <f t="shared" si="51"/>
        <v>0</v>
      </c>
      <c r="AK120" s="1"/>
      <c r="AL120" s="53"/>
      <c r="AM120" s="53">
        <f t="shared" si="53"/>
        <v>0</v>
      </c>
      <c r="AN120" s="53" t="e">
        <f>#REF!-AM120</f>
        <v>#REF!</v>
      </c>
      <c r="AO120" s="53"/>
    </row>
    <row r="121" spans="1:41">
      <c r="A121" s="2">
        <v>6502</v>
      </c>
      <c r="B121" s="115" t="s">
        <v>121</v>
      </c>
      <c r="C121" s="18">
        <v>3789.5169999999998</v>
      </c>
      <c r="D121" s="49">
        <f>C121/C12</f>
        <v>1.4978860908095545E-2</v>
      </c>
      <c r="E121" s="18">
        <v>3789.5169999999998</v>
      </c>
      <c r="F121" s="49">
        <f>E121/E12</f>
        <v>2.286983527938535E-2</v>
      </c>
      <c r="G121" s="18">
        <v>3789.5169999999998</v>
      </c>
      <c r="H121" s="49">
        <f>G121/G12</f>
        <v>1.9392832136356654E-2</v>
      </c>
      <c r="I121" s="18">
        <v>3789.52</v>
      </c>
      <c r="J121" s="49">
        <f>I121/I12</f>
        <v>1.7654924111656818E-2</v>
      </c>
      <c r="K121" s="18">
        <v>3789.5169999999998</v>
      </c>
      <c r="L121" s="49">
        <f>K121/K12</f>
        <v>1.9864393351038664E-2</v>
      </c>
      <c r="M121" s="18">
        <v>3789.518</v>
      </c>
      <c r="N121" s="49">
        <f>M121/M12</f>
        <v>1.8700755037757345E-2</v>
      </c>
      <c r="O121" s="18">
        <v>3789.5169999999998</v>
      </c>
      <c r="P121" s="49">
        <f>O121/O12</f>
        <v>1.9746754789872683E-2</v>
      </c>
      <c r="Q121" s="18">
        <v>3789.518</v>
      </c>
      <c r="R121" s="49">
        <f>Q121/Q12</f>
        <v>2.1055075931408734E-2</v>
      </c>
      <c r="S121" s="18">
        <v>3789.518</v>
      </c>
      <c r="T121" s="49">
        <f>S121/S12</f>
        <v>2.3309765284472928E-2</v>
      </c>
      <c r="U121" s="18">
        <v>3789.518</v>
      </c>
      <c r="V121" s="49">
        <f>U121/U12</f>
        <v>1.6338933052293492E-2</v>
      </c>
      <c r="W121" s="18">
        <v>3789.518</v>
      </c>
      <c r="X121" s="49">
        <f>W121/W12</f>
        <v>2.4426271721213443E-2</v>
      </c>
      <c r="Y121" s="18">
        <v>3789.518</v>
      </c>
      <c r="Z121" s="179">
        <f>Y121/Y12</f>
        <v>1.7547978714400572E-2</v>
      </c>
      <c r="AA121" s="286">
        <f t="shared" si="56"/>
        <v>45474.212999999989</v>
      </c>
      <c r="AB121" s="214">
        <f>AA121/AA12</f>
        <v>1.9271712612681513E-2</v>
      </c>
      <c r="AC121" s="212">
        <v>319148.93617021275</v>
      </c>
      <c r="AD121" s="214">
        <f>AC121/AC12</f>
        <v>0.39634499052253908</v>
      </c>
      <c r="AE121" s="75"/>
      <c r="AF121" s="169"/>
      <c r="AG121" s="75"/>
      <c r="AH121" s="212">
        <v>319148.93617021275</v>
      </c>
      <c r="AI121" s="255">
        <f>AH121/AH12</f>
        <v>0.39634499052253908</v>
      </c>
      <c r="AJ121" s="293">
        <f t="shared" si="51"/>
        <v>683772.08534042549</v>
      </c>
      <c r="AK121" s="1"/>
      <c r="AL121" s="53">
        <v>15000000</v>
      </c>
      <c r="AM121" s="53">
        <f t="shared" si="53"/>
        <v>356214.68259999994</v>
      </c>
      <c r="AN121" s="53" t="e">
        <f>#REF!-AM121</f>
        <v>#REF!</v>
      </c>
      <c r="AO121" s="53">
        <f>AL121/5/9.4</f>
        <v>319148.93617021275</v>
      </c>
    </row>
    <row r="122" spans="1:41">
      <c r="A122" s="2">
        <v>6503</v>
      </c>
      <c r="B122" s="115" t="s">
        <v>122</v>
      </c>
      <c r="C122" s="18">
        <v>1086.248</v>
      </c>
      <c r="D122" s="49">
        <f>C122/C12</f>
        <v>4.2936230933116196E-3</v>
      </c>
      <c r="E122" s="18">
        <v>1062.4100000000001</v>
      </c>
      <c r="F122" s="49">
        <f>E122/E12</f>
        <v>6.4116724371923372E-3</v>
      </c>
      <c r="G122" s="18">
        <v>1062.4100000000001</v>
      </c>
      <c r="H122" s="49">
        <f>G122/G12</f>
        <v>5.4368772563856234E-3</v>
      </c>
      <c r="I122" s="18">
        <v>1062.42</v>
      </c>
      <c r="J122" s="49">
        <f>I122/I12</f>
        <v>4.9496887401851526E-3</v>
      </c>
      <c r="K122" s="18">
        <v>1062.4100000000001</v>
      </c>
      <c r="L122" s="49">
        <f>K122/K12</f>
        <v>5.5690817959325655E-3</v>
      </c>
      <c r="M122" s="18">
        <v>1062.4100000000001</v>
      </c>
      <c r="N122" s="49">
        <f>M122/M12</f>
        <v>5.2428486049317571E-3</v>
      </c>
      <c r="O122" s="18">
        <v>1062.4100000000001</v>
      </c>
      <c r="P122" s="49">
        <f>O122/O12</f>
        <v>5.5361012383131252E-3</v>
      </c>
      <c r="Q122" s="18">
        <v>1062.4100000000001</v>
      </c>
      <c r="R122" s="49">
        <f>Q122/Q12</f>
        <v>5.9028940409540098E-3</v>
      </c>
      <c r="S122" s="18">
        <v>1062.4100000000001</v>
      </c>
      <c r="T122" s="49">
        <f>S122/S12</f>
        <v>6.5350072847989863E-3</v>
      </c>
      <c r="U122" s="18">
        <v>1062.4100000000001</v>
      </c>
      <c r="V122" s="49">
        <f>U122/U12</f>
        <v>4.580700200945643E-3</v>
      </c>
      <c r="W122" s="18">
        <v>1062.4100000000001</v>
      </c>
      <c r="X122" s="49">
        <f>W122/W12</f>
        <v>6.8480253529167503E-3</v>
      </c>
      <c r="Y122" s="18">
        <v>1062.4100000000001</v>
      </c>
      <c r="Z122" s="179">
        <f>Y122/Y12</f>
        <v>4.9196620958038232E-3</v>
      </c>
      <c r="AA122" s="286">
        <f t="shared" si="56"/>
        <v>12772.768</v>
      </c>
      <c r="AB122" s="214">
        <f>AA122/AA12</f>
        <v>5.4130263708896927E-3</v>
      </c>
      <c r="AC122" s="212">
        <v>42553.191489361699</v>
      </c>
      <c r="AD122" s="214">
        <f>AC122/AC12</f>
        <v>5.2845998736338544E-2</v>
      </c>
      <c r="AE122" s="75"/>
      <c r="AF122" s="169"/>
      <c r="AG122" s="75"/>
      <c r="AH122" s="212">
        <v>42553.191489361699</v>
      </c>
      <c r="AI122" s="255">
        <f>AH122/AH12</f>
        <v>5.2845998736338544E-2</v>
      </c>
      <c r="AJ122" s="293">
        <f t="shared" si="51"/>
        <v>97879.150978723395</v>
      </c>
      <c r="AK122" s="1"/>
      <c r="AL122" s="53">
        <v>2000000</v>
      </c>
      <c r="AM122" s="53">
        <f t="shared" si="53"/>
        <v>99866.633999999991</v>
      </c>
      <c r="AN122" s="53" t="e">
        <f>#REF!-AM122</f>
        <v>#REF!</v>
      </c>
      <c r="AO122" s="53">
        <f>AL122/5/9.4</f>
        <v>42553.191489361699</v>
      </c>
    </row>
    <row r="123" spans="1:41">
      <c r="A123" s="2">
        <v>6504</v>
      </c>
      <c r="B123" s="115" t="s">
        <v>123</v>
      </c>
      <c r="C123" s="25"/>
      <c r="D123" s="49">
        <f>C123/C12</f>
        <v>0</v>
      </c>
      <c r="E123" s="62"/>
      <c r="F123" s="49">
        <f>E123/E12</f>
        <v>0</v>
      </c>
      <c r="G123" s="62"/>
      <c r="H123" s="49">
        <f>G123/G12</f>
        <v>0</v>
      </c>
      <c r="I123" s="25"/>
      <c r="J123" s="49">
        <f>I123/I12</f>
        <v>0</v>
      </c>
      <c r="K123" s="62"/>
      <c r="L123" s="49">
        <f>K123/K12</f>
        <v>0</v>
      </c>
      <c r="M123" s="25"/>
      <c r="N123" s="49">
        <f>M123/M12</f>
        <v>0</v>
      </c>
      <c r="O123" s="25"/>
      <c r="P123" s="49">
        <f>O123/O12</f>
        <v>0</v>
      </c>
      <c r="Q123" s="25"/>
      <c r="R123" s="49">
        <f>Q123/Q12</f>
        <v>0</v>
      </c>
      <c r="S123" s="25"/>
      <c r="T123" s="49">
        <f>S123/S12</f>
        <v>0</v>
      </c>
      <c r="U123" s="62"/>
      <c r="V123" s="49">
        <f>U123/U12</f>
        <v>0</v>
      </c>
      <c r="W123" s="62"/>
      <c r="X123" s="49">
        <f>W123/W12</f>
        <v>0</v>
      </c>
      <c r="Y123" s="62"/>
      <c r="Z123" s="179">
        <f>Y123/Y12</f>
        <v>0</v>
      </c>
      <c r="AA123" s="286">
        <f t="shared" si="56"/>
        <v>0</v>
      </c>
      <c r="AB123" s="214">
        <f>AA123/AA12</f>
        <v>0</v>
      </c>
      <c r="AC123" s="76"/>
      <c r="AD123" s="214">
        <f>AC123/AC12</f>
        <v>0</v>
      </c>
      <c r="AE123" s="75"/>
      <c r="AF123" s="169"/>
      <c r="AG123" s="75"/>
      <c r="AH123" s="76"/>
      <c r="AI123" s="255">
        <f>AH123/AH12</f>
        <v>0</v>
      </c>
      <c r="AJ123" s="293">
        <f t="shared" si="51"/>
        <v>0</v>
      </c>
      <c r="AK123" s="1"/>
      <c r="AL123" s="53"/>
      <c r="AM123" s="53">
        <f t="shared" si="53"/>
        <v>0</v>
      </c>
      <c r="AN123" s="53" t="e">
        <f>#REF!-AM123</f>
        <v>#REF!</v>
      </c>
      <c r="AO123" s="53"/>
    </row>
    <row r="124" spans="1:41">
      <c r="A124" s="99">
        <v>6505</v>
      </c>
      <c r="B124" s="2" t="s">
        <v>124</v>
      </c>
      <c r="C124" s="25"/>
      <c r="D124" s="49">
        <f>C124/C12</f>
        <v>0</v>
      </c>
      <c r="E124" s="62"/>
      <c r="F124" s="49">
        <f>E124/E12</f>
        <v>0</v>
      </c>
      <c r="G124" s="62"/>
      <c r="H124" s="49">
        <f>G124/G12</f>
        <v>0</v>
      </c>
      <c r="I124" s="25"/>
      <c r="J124" s="49">
        <f>I124/I12</f>
        <v>0</v>
      </c>
      <c r="K124" s="62">
        <v>0</v>
      </c>
      <c r="L124" s="49">
        <f>K124/K12</f>
        <v>0</v>
      </c>
      <c r="M124" s="25"/>
      <c r="N124" s="49">
        <f>M124/M12</f>
        <v>0</v>
      </c>
      <c r="O124" s="25"/>
      <c r="P124" s="49">
        <f>O124/O12</f>
        <v>0</v>
      </c>
      <c r="Q124" s="25"/>
      <c r="R124" s="49">
        <f>Q124/Q12</f>
        <v>0</v>
      </c>
      <c r="S124" s="25">
        <v>0</v>
      </c>
      <c r="T124" s="49">
        <f>S124/S12</f>
        <v>0</v>
      </c>
      <c r="U124" s="62"/>
      <c r="V124" s="49">
        <f>U124/U12</f>
        <v>0</v>
      </c>
      <c r="W124" s="62"/>
      <c r="X124" s="49">
        <f>W124/W12</f>
        <v>0</v>
      </c>
      <c r="Y124" s="62"/>
      <c r="Z124" s="179">
        <f>Y124/Y12</f>
        <v>0</v>
      </c>
      <c r="AA124" s="286">
        <f t="shared" si="56"/>
        <v>0</v>
      </c>
      <c r="AB124" s="214">
        <f>AA124/AA12</f>
        <v>0</v>
      </c>
      <c r="AC124" s="76"/>
      <c r="AD124" s="214">
        <f>AC124/AC12</f>
        <v>0</v>
      </c>
      <c r="AE124" s="75"/>
      <c r="AF124" s="169"/>
      <c r="AG124" s="75"/>
      <c r="AH124" s="76"/>
      <c r="AI124" s="255">
        <f>AH124/AH12</f>
        <v>0</v>
      </c>
      <c r="AJ124" s="293">
        <f t="shared" si="51"/>
        <v>0</v>
      </c>
      <c r="AK124" s="1"/>
      <c r="AL124" s="53"/>
      <c r="AM124" s="53">
        <f t="shared" si="53"/>
        <v>0</v>
      </c>
      <c r="AN124" s="53" t="e">
        <f>#REF!-AM124</f>
        <v>#REF!</v>
      </c>
      <c r="AO124" s="53"/>
    </row>
    <row r="125" spans="1:41">
      <c r="A125" s="2">
        <v>6506</v>
      </c>
      <c r="B125" s="2" t="s">
        <v>212</v>
      </c>
      <c r="C125" s="140"/>
      <c r="D125" s="49">
        <f t="shared" ref="D125:AD125" si="57">C125/C$12</f>
        <v>0</v>
      </c>
      <c r="E125" s="140"/>
      <c r="F125" s="49">
        <f t="shared" si="57"/>
        <v>0</v>
      </c>
      <c r="G125" s="140"/>
      <c r="H125" s="49">
        <f t="shared" si="57"/>
        <v>0</v>
      </c>
      <c r="I125" s="140"/>
      <c r="J125" s="49">
        <f t="shared" si="57"/>
        <v>0</v>
      </c>
      <c r="K125" s="140"/>
      <c r="L125" s="49">
        <f t="shared" si="57"/>
        <v>0</v>
      </c>
      <c r="M125" s="140"/>
      <c r="N125" s="49">
        <f t="shared" si="57"/>
        <v>0</v>
      </c>
      <c r="O125" s="140"/>
      <c r="P125" s="49">
        <f t="shared" si="57"/>
        <v>0</v>
      </c>
      <c r="Q125" s="140"/>
      <c r="R125" s="49">
        <f t="shared" si="57"/>
        <v>0</v>
      </c>
      <c r="S125" s="140"/>
      <c r="T125" s="49">
        <f t="shared" si="57"/>
        <v>0</v>
      </c>
      <c r="U125" s="140"/>
      <c r="V125" s="49">
        <f t="shared" si="57"/>
        <v>0</v>
      </c>
      <c r="W125" s="140"/>
      <c r="X125" s="49">
        <f t="shared" si="57"/>
        <v>0</v>
      </c>
      <c r="Y125" s="140"/>
      <c r="Z125" s="179">
        <f t="shared" si="57"/>
        <v>0</v>
      </c>
      <c r="AA125" s="286">
        <f t="shared" si="56"/>
        <v>0</v>
      </c>
      <c r="AB125" s="214">
        <f t="shared" si="57"/>
        <v>0</v>
      </c>
      <c r="AC125" s="205"/>
      <c r="AD125" s="214">
        <f t="shared" si="57"/>
        <v>0</v>
      </c>
      <c r="AE125" s="170"/>
      <c r="AF125" s="215"/>
      <c r="AG125" s="215"/>
      <c r="AH125" s="205"/>
      <c r="AI125" s="255">
        <f t="shared" ref="AI125" si="58">AH125/AH$12</f>
        <v>0</v>
      </c>
      <c r="AJ125" s="293">
        <f t="shared" si="51"/>
        <v>0</v>
      </c>
      <c r="AK125" s="1"/>
      <c r="AL125" s="1"/>
      <c r="AM125" s="1"/>
      <c r="AN125" s="1"/>
      <c r="AO125" s="1"/>
    </row>
    <row r="126" spans="1:41">
      <c r="A126" s="130">
        <v>6604</v>
      </c>
      <c r="B126" s="2" t="s">
        <v>127</v>
      </c>
      <c r="C126" s="18">
        <v>7995</v>
      </c>
      <c r="D126" s="73">
        <f>C126/C12</f>
        <v>3.1601914692617521E-2</v>
      </c>
      <c r="E126" s="18">
        <v>7996</v>
      </c>
      <c r="F126" s="73">
        <f>E126/E12</f>
        <v>4.825607139220256E-2</v>
      </c>
      <c r="G126" s="18">
        <v>7996</v>
      </c>
      <c r="H126" s="73">
        <f>G126/G12</f>
        <v>4.0919485454823878E-2</v>
      </c>
      <c r="I126" s="18">
        <v>7996</v>
      </c>
      <c r="J126" s="73">
        <f>I126/I12</f>
        <v>3.7252415397413904E-2</v>
      </c>
      <c r="K126" s="18">
        <v>7996</v>
      </c>
      <c r="L126" s="73">
        <f>K126/K12</f>
        <v>4.1914494442142673E-2</v>
      </c>
      <c r="M126" s="18">
        <v>7996</v>
      </c>
      <c r="N126" s="73">
        <f>M126/M12</f>
        <v>3.9459170607424938E-2</v>
      </c>
      <c r="O126" s="18">
        <v>7996</v>
      </c>
      <c r="P126" s="73">
        <f>O126/O12</f>
        <v>4.1666273379911474E-2</v>
      </c>
      <c r="Q126" s="18">
        <v>7996</v>
      </c>
      <c r="R126" s="73">
        <f>Q126/Q12</f>
        <v>4.4426860394262344E-2</v>
      </c>
      <c r="S126" s="18">
        <v>7996</v>
      </c>
      <c r="T126" s="73">
        <f>S126/S12</f>
        <v>4.9184324553847095E-2</v>
      </c>
      <c r="U126" s="18">
        <v>7996</v>
      </c>
      <c r="V126" s="73">
        <f>U126/U12</f>
        <v>3.4475653285230147E-2</v>
      </c>
      <c r="W126" s="18">
        <v>7996</v>
      </c>
      <c r="X126" s="73">
        <f>W126/W12</f>
        <v>5.1540187612995295E-2</v>
      </c>
      <c r="Y126" s="18">
        <v>7996</v>
      </c>
      <c r="Z126" s="228">
        <f>Y126/Y12</f>
        <v>3.7026776967505358E-2</v>
      </c>
      <c r="AA126" s="286">
        <f t="shared" si="56"/>
        <v>95951</v>
      </c>
      <c r="AB126" s="214">
        <f>AA126/AA12</f>
        <v>4.0663487609986879E-2</v>
      </c>
      <c r="AC126" s="216"/>
      <c r="AD126" s="214">
        <f>AC126/AC12</f>
        <v>0</v>
      </c>
      <c r="AE126" s="170"/>
      <c r="AF126" s="238"/>
      <c r="AG126" s="170"/>
      <c r="AH126" s="216"/>
      <c r="AI126" s="255">
        <f>AH126/AH12</f>
        <v>0</v>
      </c>
      <c r="AJ126" s="293">
        <f t="shared" si="51"/>
        <v>95951</v>
      </c>
      <c r="AK126" s="1"/>
      <c r="AL126" s="53"/>
      <c r="AM126" s="53">
        <f t="shared" si="53"/>
        <v>751624.00000000012</v>
      </c>
      <c r="AN126" s="53" t="e">
        <f>#REF!-AM126</f>
        <v>#REF!</v>
      </c>
      <c r="AO126" s="53"/>
    </row>
    <row r="127" spans="1:41">
      <c r="A127" s="2"/>
      <c r="B127" s="2"/>
      <c r="C127" s="136"/>
      <c r="D127" s="49">
        <f>C127/C12</f>
        <v>0</v>
      </c>
      <c r="E127" s="43"/>
      <c r="F127" s="49">
        <f>E127/E12</f>
        <v>0</v>
      </c>
      <c r="G127" s="80"/>
      <c r="H127" s="49">
        <f>G127/G12</f>
        <v>0</v>
      </c>
      <c r="I127" s="18"/>
      <c r="J127" s="49">
        <f>I127/I12</f>
        <v>0</v>
      </c>
      <c r="K127" s="43"/>
      <c r="L127" s="49">
        <f>K127/K12</f>
        <v>0</v>
      </c>
      <c r="M127" s="18"/>
      <c r="N127" s="49">
        <f>M127/M12</f>
        <v>0</v>
      </c>
      <c r="O127" s="18"/>
      <c r="P127" s="49">
        <f>O127/O12</f>
        <v>0</v>
      </c>
      <c r="Q127" s="18"/>
      <c r="R127" s="49">
        <f>Q127/Q12</f>
        <v>0</v>
      </c>
      <c r="S127" s="18"/>
      <c r="T127" s="49">
        <f>S127/S12</f>
        <v>0</v>
      </c>
      <c r="U127" s="43"/>
      <c r="V127" s="49">
        <f>U127/U12</f>
        <v>0</v>
      </c>
      <c r="W127" s="33"/>
      <c r="X127" s="49">
        <f>W127/W12</f>
        <v>0</v>
      </c>
      <c r="Y127" s="43"/>
      <c r="Z127" s="179">
        <f>Y127/Y12</f>
        <v>0</v>
      </c>
      <c r="AA127" s="286">
        <f t="shared" si="56"/>
        <v>0</v>
      </c>
      <c r="AB127" s="214">
        <f>AA127/AA12</f>
        <v>0</v>
      </c>
      <c r="AC127" s="216">
        <f t="shared" ref="AC127" si="59">AA127/12</f>
        <v>0</v>
      </c>
      <c r="AD127" s="214">
        <f>AC127/AC12</f>
        <v>0</v>
      </c>
      <c r="AE127" s="170"/>
      <c r="AF127" s="238"/>
      <c r="AG127" s="170"/>
      <c r="AH127" s="216">
        <f t="shared" ref="AH127" si="60">AF127/12</f>
        <v>0</v>
      </c>
      <c r="AI127" s="255">
        <f>AH127/AH12</f>
        <v>0</v>
      </c>
      <c r="AJ127" s="293">
        <f t="shared" si="51"/>
        <v>0</v>
      </c>
      <c r="AK127" s="1"/>
      <c r="AL127" s="53"/>
      <c r="AM127" s="53">
        <f t="shared" si="53"/>
        <v>0</v>
      </c>
      <c r="AN127" s="53" t="e">
        <f>#REF!-AM127</f>
        <v>#REF!</v>
      </c>
      <c r="AO127" s="53"/>
    </row>
    <row r="128" spans="1:41" ht="15" customHeight="1">
      <c r="A128" s="45">
        <v>6798</v>
      </c>
      <c r="B128" s="45" t="s">
        <v>196</v>
      </c>
      <c r="C128" s="58">
        <f>SUM(C120:C127)</f>
        <v>12870.764999999999</v>
      </c>
      <c r="D128" s="66">
        <f>C128/C12</f>
        <v>5.0874398694024686E-2</v>
      </c>
      <c r="E128" s="58">
        <f>SUM(E120:E127)</f>
        <v>12847.927</v>
      </c>
      <c r="F128" s="66">
        <f>E128/E12</f>
        <v>7.7537579108780244E-2</v>
      </c>
      <c r="G128" s="58">
        <f>SUM(G120:G127)</f>
        <v>12847.927</v>
      </c>
      <c r="H128" s="66">
        <f>G128/G12</f>
        <v>6.5749194847566153E-2</v>
      </c>
      <c r="I128" s="58">
        <f>SUM(I120:I127)</f>
        <v>12847.94</v>
      </c>
      <c r="J128" s="66">
        <f>I128/I12</f>
        <v>5.9857028249255879E-2</v>
      </c>
      <c r="K128" s="58">
        <f>SUM(K120:K127)</f>
        <v>12847.927</v>
      </c>
      <c r="L128" s="66">
        <f>K128/K12</f>
        <v>6.7347969589113904E-2</v>
      </c>
      <c r="M128" s="58">
        <f>SUM(M120:M127)</f>
        <v>12847.928</v>
      </c>
      <c r="N128" s="66">
        <f>M128/M12</f>
        <v>6.3402774250114036E-2</v>
      </c>
      <c r="O128" s="58">
        <f>SUM(O120:O127)</f>
        <v>12847.927</v>
      </c>
      <c r="P128" s="66">
        <f>O128/O12</f>
        <v>6.6949129408097274E-2</v>
      </c>
      <c r="Q128" s="58">
        <f>SUM(Q120:Q127)</f>
        <v>12847.928</v>
      </c>
      <c r="R128" s="66">
        <f>Q128/Q12</f>
        <v>7.1384830366625088E-2</v>
      </c>
      <c r="S128" s="58">
        <f>SUM(S120:S127)</f>
        <v>12847.928</v>
      </c>
      <c r="T128" s="66">
        <f t="shared" ref="T128" si="61">S128/S$12</f>
        <v>7.9029097123119008E-2</v>
      </c>
      <c r="U128" s="58">
        <f>SUM(U120:U127)</f>
        <v>12847.928</v>
      </c>
      <c r="V128" s="66">
        <f>U128/U12</f>
        <v>5.5395286538469285E-2</v>
      </c>
      <c r="W128" s="58">
        <f>SUM(W120:W127)</f>
        <v>12847.928</v>
      </c>
      <c r="X128" s="66">
        <f>W128/W12</f>
        <v>8.2814484687125489E-2</v>
      </c>
      <c r="Y128" s="58">
        <f>SUM(Y120:Y127)</f>
        <v>12847.928</v>
      </c>
      <c r="Z128" s="224">
        <f t="shared" ref="Z128" si="62">Y128/Y$12</f>
        <v>5.9494417777709759E-2</v>
      </c>
      <c r="AA128" s="287">
        <f>SUM(AA120:AA127)</f>
        <v>154197.98099999997</v>
      </c>
      <c r="AB128" s="241">
        <f t="shared" ref="AB128" si="63">AA128/AA$12</f>
        <v>6.5348226593558073E-2</v>
      </c>
      <c r="AC128" s="240">
        <f>SUM(AC120:AC127)</f>
        <v>361702.12765957444</v>
      </c>
      <c r="AD128" s="241">
        <f t="shared" ref="AD128" si="64">AC128/AC$12</f>
        <v>0.44919098925887763</v>
      </c>
      <c r="AE128" s="241"/>
      <c r="AF128" s="272"/>
      <c r="AG128" s="273"/>
      <c r="AH128" s="240">
        <f>SUM(AH120:AH127)</f>
        <v>361702.12765957444</v>
      </c>
      <c r="AI128" s="257">
        <f t="shared" ref="AI128" si="65">AH128/AH$12</f>
        <v>0.44919098925887763</v>
      </c>
      <c r="AJ128" s="297">
        <f t="shared" si="51"/>
        <v>877602.23631914891</v>
      </c>
      <c r="AK128" s="1"/>
      <c r="AL128" s="53"/>
      <c r="AM128" s="53">
        <f t="shared" si="53"/>
        <v>1207705.3166</v>
      </c>
      <c r="AN128" s="53" t="e">
        <f>#REF!-AM128</f>
        <v>#REF!</v>
      </c>
      <c r="AO128" s="53"/>
    </row>
    <row r="129" spans="1:41">
      <c r="A129" s="45">
        <v>6799</v>
      </c>
      <c r="B129" s="45" t="s">
        <v>119</v>
      </c>
      <c r="C129" s="29">
        <f>C41+C70+C87+C100+C113+C128+C117</f>
        <v>41583.062999999995</v>
      </c>
      <c r="D129" s="66">
        <f>C129/C12</f>
        <v>0.16436577981034897</v>
      </c>
      <c r="E129" s="85">
        <f>E41+E70+E87+E100+E113+E128+E117</f>
        <v>45006.413197720365</v>
      </c>
      <c r="F129" s="66">
        <f>E129/E12</f>
        <v>0.27161489349376705</v>
      </c>
      <c r="G129" s="85">
        <f>G41+G70+G87+G100+G113+G128+G117</f>
        <v>47668.171993961805</v>
      </c>
      <c r="H129" s="66">
        <f>G129/G12</f>
        <v>0.24394160462293185</v>
      </c>
      <c r="I129" s="29">
        <f>I41+I70+I87+I100+I113+I128+I117</f>
        <v>45160.35706423808</v>
      </c>
      <c r="J129" s="66">
        <f>I129/I12</f>
        <v>0.21039674597955632</v>
      </c>
      <c r="K129" s="85">
        <f>K41+K70+K87+K100+K113+K128+K117</f>
        <v>44988.315455902106</v>
      </c>
      <c r="L129" s="66">
        <f>K129/K12</f>
        <v>0.23582572512978614</v>
      </c>
      <c r="M129" s="29">
        <f>M41+M70+M87+M100+M113+M128+M117</f>
        <v>46587.468318271109</v>
      </c>
      <c r="N129" s="66">
        <f>M129/M12</f>
        <v>0.22990280897181889</v>
      </c>
      <c r="O129" s="29">
        <f>O41+O70+O87+O100+O113+O128+O117</f>
        <v>39139.043580304402</v>
      </c>
      <c r="P129" s="66">
        <f>O129/O12</f>
        <v>0.20394923582356581</v>
      </c>
      <c r="Q129" s="29">
        <f>Q41+Q70+Q87+Q100+Q113+Q128+Q117</f>
        <v>48804.877446488681</v>
      </c>
      <c r="R129" s="66">
        <f>Q129/Q12</f>
        <v>0.27116651786821355</v>
      </c>
      <c r="S129" s="29">
        <f>S41+S70+S87+S100+S113+S128+S117</f>
        <v>44926.921707859641</v>
      </c>
      <c r="T129" s="66">
        <f>S129/S12</f>
        <v>0.2763507126669143</v>
      </c>
      <c r="U129" s="85">
        <f>U41+U70+U87+U100+U113+U128+U117</f>
        <v>43911.949955766002</v>
      </c>
      <c r="V129" s="66">
        <f>U129/U12</f>
        <v>0.18933131087460806</v>
      </c>
      <c r="W129" s="85">
        <f>W41+W70+W87+W100+W113+W128+W117</f>
        <v>44499.605288390871</v>
      </c>
      <c r="X129" s="66">
        <f>W129/W12</f>
        <v>0.28683316724210894</v>
      </c>
      <c r="Y129" s="85">
        <f>Y41+Y70+Y87+Y100+Y113+Y128+Y117</f>
        <v>45832.018629451522</v>
      </c>
      <c r="Z129" s="224">
        <f>Y129/Y12</f>
        <v>0.21223260777429367</v>
      </c>
      <c r="AA129" s="211">
        <f>AA41+AA70+AA87+AA100+AA113+AA128+AA117</f>
        <v>538108.20563835453</v>
      </c>
      <c r="AB129" s="245">
        <f>AA129/AA12</f>
        <v>0.22804719443056873</v>
      </c>
      <c r="AC129" s="211">
        <f>AC41+AC70+AC87+AC100+AC113+AC128+AC117</f>
        <v>697851.60659270524</v>
      </c>
      <c r="AD129" s="245">
        <f>AC129/AC12</f>
        <v>0.86664863032352335</v>
      </c>
      <c r="AE129" s="75"/>
      <c r="AF129" s="169"/>
      <c r="AG129" s="75"/>
      <c r="AH129" s="211">
        <f>AH41+AH70+AH87+AH100+AH113+AH128+AH117</f>
        <v>697851.60659270524</v>
      </c>
      <c r="AI129" s="259">
        <f>AH129/AH12</f>
        <v>0.86664863032352335</v>
      </c>
      <c r="AJ129" s="297">
        <f t="shared" si="51"/>
        <v>1933811.4188237649</v>
      </c>
      <c r="AK129" s="1"/>
      <c r="AL129" s="53"/>
      <c r="AM129" s="53">
        <f t="shared" si="53"/>
        <v>4244276.0567419613</v>
      </c>
      <c r="AN129" s="53" t="e">
        <f>#REF!-AM129</f>
        <v>#REF!</v>
      </c>
      <c r="AO129" s="53"/>
    </row>
    <row r="130" spans="1:41" ht="15.75" thickBot="1">
      <c r="A130" s="10">
        <v>6999</v>
      </c>
      <c r="B130" s="10" t="s">
        <v>126</v>
      </c>
      <c r="C130" s="28">
        <f>C119-C128</f>
        <v>57496.876000000018</v>
      </c>
      <c r="D130" s="67">
        <f>C130/C12</f>
        <v>0.22726846409556078</v>
      </c>
      <c r="E130" s="41">
        <f>E119-E128</f>
        <v>25862.911589108193</v>
      </c>
      <c r="F130" s="165">
        <f>E130/E12</f>
        <v>0.15608335518437066</v>
      </c>
      <c r="G130" s="41">
        <f>G119-G128</f>
        <v>50552.574944913838</v>
      </c>
      <c r="H130" s="67">
        <f>G130/G12</f>
        <v>0.25870252065561478</v>
      </c>
      <c r="I130" s="22">
        <f>I119-I128</f>
        <v>57496.701234741646</v>
      </c>
      <c r="J130" s="67">
        <f>I130/I12</f>
        <v>0.26787030995217564</v>
      </c>
      <c r="K130" s="41">
        <f>K119-K128</f>
        <v>55878.65983623192</v>
      </c>
      <c r="L130" s="67">
        <f>K130/K12</f>
        <v>0.29291217823163129</v>
      </c>
      <c r="M130" s="22">
        <f>M119-M128</f>
        <v>66557.146044949608</v>
      </c>
      <c r="N130" s="67">
        <f>M130/M12</f>
        <v>0.3284504478402907</v>
      </c>
      <c r="O130" s="22">
        <f>O119-O128</f>
        <v>59661.639859644521</v>
      </c>
      <c r="P130" s="67">
        <f>O130/O12</f>
        <v>0.31089021969556924</v>
      </c>
      <c r="Q130" s="46">
        <f>Q119-Q128</f>
        <v>44663.358213859159</v>
      </c>
      <c r="R130" s="67">
        <f>Q130/Q12</f>
        <v>0.24815567535093186</v>
      </c>
      <c r="S130" s="22">
        <f>S119-S128</f>
        <v>45624.5217484061</v>
      </c>
      <c r="T130" s="67">
        <f>S130/S12</f>
        <v>0.28064173152672095</v>
      </c>
      <c r="U130" s="41">
        <f>U119-U128</f>
        <v>67713.207238410367</v>
      </c>
      <c r="V130" s="67">
        <f>U130/U12</f>
        <v>0.29195310850204753</v>
      </c>
      <c r="W130" s="50">
        <f>W119-W128</f>
        <v>40436.674406399725</v>
      </c>
      <c r="X130" s="67">
        <f>W130/W12</f>
        <v>0.26064454544165166</v>
      </c>
      <c r="Y130" s="41">
        <f>Y119-Y128</f>
        <v>66693.666898297917</v>
      </c>
      <c r="Z130" s="225">
        <f>Y130/Y12</f>
        <v>0.30883585910309802</v>
      </c>
      <c r="AA130" s="290">
        <f>AA119-AA128</f>
        <v>638638.40901496285</v>
      </c>
      <c r="AB130" s="247">
        <f>AA130/AA12</f>
        <v>0.27065132236497458</v>
      </c>
      <c r="AC130" s="290">
        <f>AC119-AC128</f>
        <v>-297862.87973304489</v>
      </c>
      <c r="AD130" s="247">
        <f>AC130/AC12</f>
        <v>-0.3699102421004043</v>
      </c>
      <c r="AE130" s="271"/>
      <c r="AF130" s="270"/>
      <c r="AG130" s="271"/>
      <c r="AH130" s="290">
        <f>AH119-AH128</f>
        <v>-297862.87973304489</v>
      </c>
      <c r="AI130" s="260">
        <f>AH130/AH12</f>
        <v>-0.3699102421004043</v>
      </c>
      <c r="AJ130" s="298">
        <f t="shared" si="51"/>
        <v>42912.649548873072</v>
      </c>
      <c r="AK130" s="1"/>
      <c r="AL130" s="53"/>
      <c r="AM130" s="53">
        <f t="shared" si="53"/>
        <v>5219614.6140030352</v>
      </c>
      <c r="AN130" s="53" t="e">
        <f>#REF!-AM130</f>
        <v>#REF!</v>
      </c>
      <c r="AO130" s="53"/>
    </row>
    <row r="131" spans="1:41" ht="15.75" thickTop="1">
      <c r="A131" s="1"/>
      <c r="B131" s="1"/>
      <c r="C131" s="30"/>
      <c r="D131" s="72"/>
      <c r="E131" s="62"/>
      <c r="F131" s="72"/>
      <c r="G131" s="87"/>
      <c r="H131" s="72"/>
      <c r="I131" s="25"/>
      <c r="J131" s="72"/>
      <c r="K131" s="62"/>
      <c r="L131" s="72"/>
      <c r="M131" s="25"/>
      <c r="N131" s="72"/>
      <c r="O131" s="25"/>
      <c r="P131" s="72"/>
      <c r="Q131" s="25"/>
      <c r="R131" s="72"/>
      <c r="S131" s="25"/>
      <c r="T131" s="72"/>
      <c r="U131" s="62"/>
      <c r="V131" s="72"/>
      <c r="W131" s="44"/>
      <c r="X131" s="72"/>
      <c r="Y131" s="62"/>
      <c r="Z131" s="107"/>
      <c r="AA131" s="204"/>
      <c r="AB131" s="213"/>
      <c r="AC131" s="208"/>
      <c r="AD131" s="213"/>
      <c r="AE131" s="170"/>
      <c r="AF131" s="238"/>
      <c r="AG131" s="170"/>
      <c r="AH131" s="208"/>
      <c r="AI131" s="262"/>
      <c r="AJ131" s="293">
        <f t="shared" si="51"/>
        <v>0</v>
      </c>
      <c r="AK131" s="1"/>
      <c r="AL131" s="53"/>
      <c r="AM131" s="53">
        <f t="shared" si="53"/>
        <v>0</v>
      </c>
      <c r="AN131" s="53" t="e">
        <f>#REF!-AM131</f>
        <v>#REF!</v>
      </c>
      <c r="AO131" s="53"/>
    </row>
    <row r="132" spans="1:41" ht="15.75" thickBot="1">
      <c r="A132" s="196"/>
      <c r="B132" s="10" t="s">
        <v>213</v>
      </c>
      <c r="C132" s="197"/>
      <c r="D132" s="198">
        <f t="shared" ref="D132" si="66">C132/C$12</f>
        <v>0</v>
      </c>
      <c r="E132" s="197">
        <v>16580.57</v>
      </c>
      <c r="F132" s="198">
        <f t="shared" ref="F132" si="67">E132/E$12</f>
        <v>0.10006417829457379</v>
      </c>
      <c r="G132" s="197">
        <v>13806.35</v>
      </c>
      <c r="H132" s="198">
        <f t="shared" ref="H132" si="68">G132/G$12</f>
        <v>7.0653919210756339E-2</v>
      </c>
      <c r="I132" s="197">
        <v>23016.36</v>
      </c>
      <c r="J132" s="198">
        <f t="shared" ref="J132" si="69">I132/I$12</f>
        <v>0.10723049070240388</v>
      </c>
      <c r="K132" s="197">
        <v>8063.2</v>
      </c>
      <c r="L132" s="198">
        <f t="shared" ref="L132" si="70">K132/K$12</f>
        <v>4.2266752324397798E-2</v>
      </c>
      <c r="M132" s="197">
        <v>29093.39</v>
      </c>
      <c r="N132" s="198">
        <f t="shared" ref="N132" si="71">M132/M$12</f>
        <v>0.14357191590274521</v>
      </c>
      <c r="O132" s="197">
        <v>0</v>
      </c>
      <c r="P132" s="198">
        <f t="shared" ref="P132" si="72">O132/O$12</f>
        <v>0</v>
      </c>
      <c r="Q132" s="197">
        <v>0</v>
      </c>
      <c r="R132" s="198">
        <f t="shared" ref="R132" si="73">Q132/Q$12</f>
        <v>0</v>
      </c>
      <c r="S132" s="197">
        <v>0</v>
      </c>
      <c r="T132" s="198">
        <f t="shared" ref="T132" si="74">S132/S$12</f>
        <v>0</v>
      </c>
      <c r="U132" s="197">
        <v>0</v>
      </c>
      <c r="V132" s="198">
        <f t="shared" ref="V132" si="75">U132/U$12</f>
        <v>0</v>
      </c>
      <c r="W132" s="197">
        <v>0</v>
      </c>
      <c r="X132" s="198">
        <f t="shared" ref="X132" si="76">W132/W$12</f>
        <v>0</v>
      </c>
      <c r="Y132" s="197">
        <v>0</v>
      </c>
      <c r="Z132" s="229">
        <f t="shared" ref="Z132" si="77">Y132/Y$12</f>
        <v>0</v>
      </c>
      <c r="AA132" s="290">
        <f t="shared" ref="AA132" si="78">C132+E132+G132+I132+K132+M132+O132+Q132+S132+U132+W132+Y132</f>
        <v>90559.87</v>
      </c>
      <c r="AB132" s="252">
        <f t="shared" ref="AB132" si="79">AA132/AA$12</f>
        <v>3.8378757404373298E-2</v>
      </c>
      <c r="AC132" s="218">
        <f t="shared" ref="AC132" si="80">AA132/12</f>
        <v>7546.6558333333332</v>
      </c>
      <c r="AD132" s="252">
        <f t="shared" ref="AD132" si="81">AC132/AC$12</f>
        <v>9.3720482688500091E-3</v>
      </c>
      <c r="AE132" s="75"/>
      <c r="AF132" s="76"/>
      <c r="AG132" s="76"/>
      <c r="AH132" s="218">
        <v>0</v>
      </c>
      <c r="AI132" s="263">
        <f t="shared" ref="AI132" si="82">AH132/AH$12</f>
        <v>0</v>
      </c>
      <c r="AJ132" s="293">
        <f t="shared" si="51"/>
        <v>98106.525833333333</v>
      </c>
      <c r="AK132" s="1"/>
      <c r="AL132" s="1"/>
      <c r="AM132" s="1"/>
      <c r="AN132" s="1"/>
      <c r="AO132" s="1"/>
    </row>
    <row r="133" spans="1:41" ht="15.75" thickTop="1">
      <c r="A133" s="1"/>
      <c r="B133" s="269"/>
      <c r="C133" s="136"/>
      <c r="D133" s="49"/>
      <c r="E133" s="136"/>
      <c r="F133" s="70"/>
      <c r="G133" s="136"/>
      <c r="H133" s="70"/>
      <c r="I133" s="136"/>
      <c r="J133" s="70"/>
      <c r="K133" s="136"/>
      <c r="L133" s="70"/>
      <c r="M133" s="136"/>
      <c r="N133" s="70"/>
      <c r="O133" s="136"/>
      <c r="P133" s="70"/>
      <c r="Q133" s="136"/>
      <c r="R133" s="70"/>
      <c r="S133" s="136"/>
      <c r="T133" s="70"/>
      <c r="U133" s="136"/>
      <c r="V133" s="70"/>
      <c r="W133" s="136"/>
      <c r="X133" s="70"/>
      <c r="Y133" s="136"/>
      <c r="AA133" s="204"/>
      <c r="AB133" s="213"/>
      <c r="AC133" s="170"/>
      <c r="AD133" s="213"/>
      <c r="AE133" s="170"/>
      <c r="AF133" s="215"/>
      <c r="AG133" s="215"/>
      <c r="AH133" s="170"/>
      <c r="AI133" s="254"/>
      <c r="AJ133" s="293">
        <f t="shared" si="51"/>
        <v>0</v>
      </c>
      <c r="AK133" s="1"/>
      <c r="AL133" s="1"/>
      <c r="AM133" s="1"/>
      <c r="AN133" s="1"/>
      <c r="AO133" s="1"/>
    </row>
    <row r="134" spans="1:41" ht="15.75" thickBot="1">
      <c r="A134" s="196"/>
      <c r="B134" s="10" t="s">
        <v>215</v>
      </c>
      <c r="C134" s="197"/>
      <c r="D134" s="198">
        <f t="shared" ref="D134" si="83">C134/C$12</f>
        <v>0</v>
      </c>
      <c r="E134" s="197">
        <v>0</v>
      </c>
      <c r="F134" s="198">
        <f t="shared" ref="F134" si="84">E134/E$12</f>
        <v>0</v>
      </c>
      <c r="G134" s="197">
        <v>-50174</v>
      </c>
      <c r="H134" s="198">
        <f t="shared" ref="H134" si="85">G134/G$12</f>
        <v>-0.25676516548403366</v>
      </c>
      <c r="I134" s="197">
        <v>0</v>
      </c>
      <c r="J134" s="198">
        <f t="shared" ref="J134" si="86">I134/I$12</f>
        <v>0</v>
      </c>
      <c r="K134" s="197">
        <v>84000</v>
      </c>
      <c r="L134" s="198">
        <f t="shared" ref="L134" si="87">K134/K$12</f>
        <v>0.44032235281890747</v>
      </c>
      <c r="M134" s="197">
        <v>0</v>
      </c>
      <c r="N134" s="198">
        <f t="shared" ref="N134" si="88">M134/M$12</f>
        <v>0</v>
      </c>
      <c r="O134" s="197">
        <v>0</v>
      </c>
      <c r="P134" s="198">
        <f t="shared" ref="P134" si="89">O134/O$12</f>
        <v>0</v>
      </c>
      <c r="Q134" s="197">
        <v>0</v>
      </c>
      <c r="R134" s="198">
        <f t="shared" ref="R134" si="90">Q134/Q$12</f>
        <v>0</v>
      </c>
      <c r="S134" s="197">
        <v>0</v>
      </c>
      <c r="T134" s="198">
        <f t="shared" ref="T134" si="91">S134/S$12</f>
        <v>0</v>
      </c>
      <c r="U134" s="197">
        <v>0</v>
      </c>
      <c r="V134" s="198">
        <f t="shared" ref="V134" si="92">U134/U$12</f>
        <v>0</v>
      </c>
      <c r="W134" s="197">
        <v>0</v>
      </c>
      <c r="X134" s="198">
        <f t="shared" ref="X134" si="93">W134/W$12</f>
        <v>0</v>
      </c>
      <c r="Y134" s="197">
        <v>0</v>
      </c>
      <c r="Z134" s="229">
        <f t="shared" ref="Z134" si="94">Y134/Y$12</f>
        <v>0</v>
      </c>
      <c r="AA134" s="290">
        <f t="shared" ref="AA134" si="95">C134+E134+G134+I134+K134+M134+O134+Q134+S134+U134+W134+Y134</f>
        <v>33826</v>
      </c>
      <c r="AB134" s="252">
        <f t="shared" ref="AB134" si="96">AA134/AA$12</f>
        <v>1.4335266249392046E-2</v>
      </c>
      <c r="AC134" s="218">
        <f t="shared" ref="AC134" si="97">AA134/12</f>
        <v>2818.8333333333335</v>
      </c>
      <c r="AD134" s="252">
        <f t="shared" ref="AD134" si="98">AC134/AC$12</f>
        <v>3.5006554751251346E-3</v>
      </c>
      <c r="AE134" s="75"/>
      <c r="AF134" s="76"/>
      <c r="AG134" s="76"/>
      <c r="AH134" s="218">
        <v>0</v>
      </c>
      <c r="AI134" s="263">
        <f t="shared" ref="AI134" si="99">AH134/AH$12</f>
        <v>0</v>
      </c>
      <c r="AJ134" s="293">
        <f t="shared" ref="AJ134:AJ135" si="100">SUM(AA134+AC134+AH134)</f>
        <v>36644.833333333336</v>
      </c>
      <c r="AK134" s="1"/>
      <c r="AL134" s="1"/>
      <c r="AM134" s="1"/>
      <c r="AN134" s="1"/>
      <c r="AO134" s="1"/>
    </row>
    <row r="135" spans="1:41" ht="15.75" thickTop="1">
      <c r="A135" s="1"/>
      <c r="B135" s="65"/>
      <c r="C135" s="136"/>
      <c r="D135" s="49"/>
      <c r="E135" s="136"/>
      <c r="F135" s="70"/>
      <c r="G135" s="136"/>
      <c r="H135" s="70"/>
      <c r="I135" s="136"/>
      <c r="J135" s="70"/>
      <c r="K135" s="136"/>
      <c r="L135" s="70"/>
      <c r="M135" s="136"/>
      <c r="N135" s="70"/>
      <c r="O135" s="136"/>
      <c r="P135" s="70"/>
      <c r="Q135" s="136"/>
      <c r="R135" s="70"/>
      <c r="S135" s="136"/>
      <c r="T135" s="70"/>
      <c r="U135" s="136"/>
      <c r="V135" s="70"/>
      <c r="W135" s="136"/>
      <c r="X135" s="72"/>
      <c r="Y135" s="136"/>
      <c r="Z135" s="107"/>
      <c r="AA135" s="204"/>
      <c r="AB135" s="213"/>
      <c r="AC135" s="170"/>
      <c r="AD135" s="213"/>
      <c r="AE135" s="170"/>
      <c r="AF135" s="215"/>
      <c r="AG135" s="215"/>
      <c r="AH135" s="170"/>
      <c r="AI135" s="254"/>
      <c r="AJ135" s="293">
        <f t="shared" si="100"/>
        <v>0</v>
      </c>
      <c r="AK135" s="1"/>
      <c r="AL135" s="1"/>
      <c r="AM135" s="1"/>
      <c r="AN135" s="1"/>
      <c r="AO135" s="1"/>
    </row>
    <row r="136" spans="1:41" ht="15.75" thickBot="1">
      <c r="A136" s="110"/>
      <c r="B136" s="199" t="s">
        <v>214</v>
      </c>
      <c r="C136" s="200">
        <f>C130-C132-C134</f>
        <v>57496.876000000018</v>
      </c>
      <c r="D136" s="124">
        <f t="shared" ref="D136:F136" si="101">C136/C$12</f>
        <v>0.22726846409556078</v>
      </c>
      <c r="E136" s="200">
        <f>E130-E132-E134</f>
        <v>9282.3415891081931</v>
      </c>
      <c r="F136" s="124">
        <f t="shared" si="101"/>
        <v>5.6019176889796893E-2</v>
      </c>
      <c r="G136" s="200">
        <f>G130-G132-G134</f>
        <v>86920.224944913847</v>
      </c>
      <c r="H136" s="124">
        <f t="shared" ref="H136" si="102">G136/G$12</f>
        <v>0.44481376692889218</v>
      </c>
      <c r="I136" s="200">
        <f>I130-I132-I134</f>
        <v>34480.341234741645</v>
      </c>
      <c r="J136" s="124">
        <f t="shared" ref="J136" si="103">I136/I$12</f>
        <v>0.16063981924977178</v>
      </c>
      <c r="K136" s="200">
        <f>K130-K132-K134</f>
        <v>-36184.540163768077</v>
      </c>
      <c r="L136" s="124">
        <f t="shared" ref="L136" si="104">K136/K$12</f>
        <v>-0.18967692691167401</v>
      </c>
      <c r="M136" s="200">
        <f>M130-M132-M134</f>
        <v>37463.756044949609</v>
      </c>
      <c r="N136" s="124">
        <f t="shared" ref="N136" si="105">M136/M$12</f>
        <v>0.18487853193754553</v>
      </c>
      <c r="O136" s="200">
        <f>O130-O132-O134</f>
        <v>59661.639859644521</v>
      </c>
      <c r="P136" s="124">
        <f t="shared" ref="P136" si="106">O136/O$12</f>
        <v>0.31089021969556924</v>
      </c>
      <c r="Q136" s="200">
        <f>Q130-Q132-Q134</f>
        <v>44663.358213859159</v>
      </c>
      <c r="R136" s="124">
        <f t="shared" ref="R136" si="107">Q136/Q$12</f>
        <v>0.24815567535093186</v>
      </c>
      <c r="S136" s="200">
        <f>S130-S132-S134</f>
        <v>45624.5217484061</v>
      </c>
      <c r="T136" s="124">
        <f t="shared" ref="T136" si="108">S136/S$12</f>
        <v>0.28064173152672095</v>
      </c>
      <c r="U136" s="200">
        <f>U130-U132-U134</f>
        <v>67713.207238410367</v>
      </c>
      <c r="V136" s="124">
        <f t="shared" ref="V136" si="109">U136/U$12</f>
        <v>0.29195310850204753</v>
      </c>
      <c r="W136" s="200">
        <f>W130-W132-W134</f>
        <v>40436.674406399725</v>
      </c>
      <c r="X136" s="124">
        <f t="shared" ref="X136" si="110">W136/W$12</f>
        <v>0.26064454544165166</v>
      </c>
      <c r="Y136" s="200">
        <f>Y130-Y132-Y134</f>
        <v>66693.666898297917</v>
      </c>
      <c r="Z136" s="230">
        <f t="shared" ref="Z136" si="111">Y136/Y$12</f>
        <v>0.30883585910309802</v>
      </c>
      <c r="AA136" s="291">
        <f>AA130-AA132-AA134</f>
        <v>514252.53901496285</v>
      </c>
      <c r="AB136" s="264">
        <f t="shared" ref="AB136" si="112">AA136/AA$12</f>
        <v>0.21793729871120923</v>
      </c>
      <c r="AC136" s="265">
        <f>AC130-AC132-AC134</f>
        <v>-308228.36889971152</v>
      </c>
      <c r="AD136" s="264">
        <f t="shared" ref="AD136" si="113">AC136/AC$12</f>
        <v>-0.38278294584437944</v>
      </c>
      <c r="AE136" s="266"/>
      <c r="AF136" s="267"/>
      <c r="AG136" s="267"/>
      <c r="AH136" s="265">
        <f>AH130-AH132-AH134</f>
        <v>-297862.87973304489</v>
      </c>
      <c r="AI136" s="268">
        <f t="shared" ref="AI136" si="114">AH136/AH$12</f>
        <v>-0.3699102421004043</v>
      </c>
      <c r="AJ136" s="296">
        <f>SUM(AA136+AC136+AH136)</f>
        <v>-91838.70961779356</v>
      </c>
      <c r="AK136" s="1"/>
      <c r="AL136" s="1"/>
      <c r="AM136" s="1"/>
      <c r="AN136" s="1"/>
      <c r="AO136" s="1"/>
    </row>
    <row r="137" spans="1:41" ht="15.75" thickTop="1"/>
    <row r="138" spans="1:41">
      <c r="A138" s="1"/>
      <c r="B138" s="64" t="s">
        <v>216</v>
      </c>
      <c r="C138" s="63">
        <f>C136</f>
        <v>57496.876000000018</v>
      </c>
      <c r="D138" s="15"/>
      <c r="E138" s="63">
        <f>E136+C138</f>
        <v>66779.217589108215</v>
      </c>
      <c r="F138" s="201"/>
      <c r="G138" s="63">
        <f>G136+E138</f>
        <v>153699.44253402206</v>
      </c>
      <c r="H138" s="201"/>
      <c r="I138" s="63">
        <f>I136+G138</f>
        <v>188179.78376876371</v>
      </c>
      <c r="J138" s="201"/>
      <c r="K138" s="63">
        <f>K136+I138</f>
        <v>151995.24360499563</v>
      </c>
      <c r="L138" s="201"/>
      <c r="M138" s="63">
        <f>M136+K138</f>
        <v>189458.99964994524</v>
      </c>
      <c r="N138" s="201"/>
      <c r="O138" s="63">
        <f>O136+M138</f>
        <v>249120.63950958976</v>
      </c>
      <c r="P138" s="201"/>
      <c r="Q138" s="63">
        <f>Q136+O138</f>
        <v>293783.99772344891</v>
      </c>
      <c r="R138" s="201"/>
      <c r="S138" s="63">
        <f>S136+Q138</f>
        <v>339408.51947185502</v>
      </c>
      <c r="T138" s="201"/>
      <c r="U138" s="63">
        <f>U136+S138</f>
        <v>407121.72671026539</v>
      </c>
      <c r="V138" s="201"/>
      <c r="W138" s="63">
        <f>W136+U138</f>
        <v>447558.4011166651</v>
      </c>
      <c r="X138" s="201"/>
      <c r="Y138" s="63">
        <f>Y136+W138</f>
        <v>514252.06801496301</v>
      </c>
      <c r="Z138" s="292"/>
      <c r="AJ138" s="100"/>
      <c r="AK138" s="1"/>
      <c r="AL138" s="202"/>
      <c r="AM138" s="202">
        <f t="shared" ref="AM138" si="115">C138*0.985+E138*0.985+G138*0.985+I138*0.985+K138*0.985+M138*0.985+O138*0.985+Q138*0.985+S138*0.985+U138*0.985+W138*0.985+Y138*0.985</f>
        <v>3012972.0919582178</v>
      </c>
      <c r="AN138" s="202" t="e">
        <f>#REF!-AM138</f>
        <v>#REF!</v>
      </c>
      <c r="AO138" s="202"/>
    </row>
  </sheetData>
  <mergeCells count="14">
    <mergeCell ref="Y2:Z2"/>
    <mergeCell ref="AA2:AB2"/>
    <mergeCell ref="AC2:AD2"/>
    <mergeCell ref="AH2:AI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30 Q130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3:J44"/>
  <sheetViews>
    <sheetView topLeftCell="A25" workbookViewId="0">
      <selection activeCell="H20" sqref="H20:J20"/>
    </sheetView>
  </sheetViews>
  <sheetFormatPr defaultRowHeight="15"/>
  <cols>
    <col min="2" max="2" width="12.140625" customWidth="1"/>
    <col min="3" max="3" width="11.85546875" customWidth="1"/>
    <col min="4" max="4" width="16.42578125" customWidth="1"/>
    <col min="5" max="5" width="18.28515625" customWidth="1"/>
    <col min="6" max="6" width="13.5703125" customWidth="1"/>
    <col min="7" max="7" width="6.5703125" customWidth="1"/>
    <col min="8" max="8" width="10.28515625" bestFit="1" customWidth="1"/>
    <col min="10" max="10" width="10.5703125" bestFit="1" customWidth="1"/>
    <col min="11" max="11" width="11.85546875" customWidth="1"/>
    <col min="12" max="12" width="12.85546875" customWidth="1"/>
  </cols>
  <sheetData>
    <row r="3" spans="2:7" ht="15.75" thickBot="1">
      <c r="F3" s="105"/>
    </row>
    <row r="4" spans="2:7" ht="15.75" thickBot="1">
      <c r="C4" s="563" t="s">
        <v>294</v>
      </c>
      <c r="D4" s="564"/>
      <c r="E4" s="565"/>
      <c r="F4" s="377"/>
    </row>
    <row r="5" spans="2:7" ht="15.75" thickBot="1">
      <c r="F5" s="105"/>
    </row>
    <row r="6" spans="2:7">
      <c r="B6" s="105"/>
      <c r="C6" s="378" t="s">
        <v>251</v>
      </c>
      <c r="D6" s="382" t="s">
        <v>295</v>
      </c>
      <c r="E6" s="384" t="s">
        <v>296</v>
      </c>
      <c r="F6" s="105"/>
    </row>
    <row r="7" spans="2:7">
      <c r="B7" s="105"/>
      <c r="C7" s="398">
        <v>41820</v>
      </c>
      <c r="D7" s="399" t="s">
        <v>300</v>
      </c>
      <c r="E7" s="400">
        <v>4289.3999999999996</v>
      </c>
      <c r="F7" s="105"/>
    </row>
    <row r="8" spans="2:7">
      <c r="B8" s="105"/>
      <c r="C8" s="398">
        <v>41851</v>
      </c>
      <c r="D8" s="399" t="s">
        <v>301</v>
      </c>
      <c r="E8" s="400">
        <v>4289.3999999999996</v>
      </c>
      <c r="F8" s="105"/>
    </row>
    <row r="9" spans="2:7">
      <c r="B9" s="105"/>
      <c r="C9" s="398">
        <v>41882</v>
      </c>
      <c r="D9" s="399" t="s">
        <v>302</v>
      </c>
      <c r="E9" s="400">
        <v>4289.3999999999996</v>
      </c>
      <c r="F9" s="105"/>
    </row>
    <row r="10" spans="2:7">
      <c r="B10" s="105"/>
      <c r="C10" s="379">
        <v>41912</v>
      </c>
      <c r="D10" s="376" t="s">
        <v>303</v>
      </c>
      <c r="E10" s="385">
        <v>4289.3999999999996</v>
      </c>
      <c r="F10" s="105"/>
    </row>
    <row r="11" spans="2:7">
      <c r="B11" s="105"/>
      <c r="C11" s="379">
        <v>41943</v>
      </c>
      <c r="D11" s="376" t="s">
        <v>304</v>
      </c>
      <c r="E11" s="385">
        <v>4289.3999999999996</v>
      </c>
      <c r="F11" s="105"/>
    </row>
    <row r="12" spans="2:7">
      <c r="B12" s="105"/>
      <c r="C12" s="379">
        <v>41973</v>
      </c>
      <c r="D12" s="376" t="s">
        <v>305</v>
      </c>
      <c r="E12" s="385">
        <v>4289.3999999999996</v>
      </c>
      <c r="F12" s="105"/>
    </row>
    <row r="13" spans="2:7">
      <c r="B13" s="105"/>
      <c r="C13" s="379">
        <v>42004</v>
      </c>
      <c r="D13" s="376" t="s">
        <v>306</v>
      </c>
      <c r="E13" s="385">
        <v>4289.3999999999996</v>
      </c>
      <c r="F13" s="105"/>
    </row>
    <row r="14" spans="2:7">
      <c r="B14" s="105"/>
      <c r="C14" s="379">
        <v>42035</v>
      </c>
      <c r="D14" s="376" t="s">
        <v>307</v>
      </c>
      <c r="E14" s="385">
        <v>4289.3999999999996</v>
      </c>
      <c r="F14" s="105"/>
    </row>
    <row r="15" spans="2:7">
      <c r="B15" s="105"/>
      <c r="C15" s="379">
        <v>42063</v>
      </c>
      <c r="D15" s="376" t="s">
        <v>311</v>
      </c>
      <c r="E15" s="385">
        <v>4289.33</v>
      </c>
      <c r="F15" s="105"/>
      <c r="G15" s="105"/>
    </row>
    <row r="16" spans="2:7">
      <c r="B16" s="105"/>
      <c r="C16" s="380"/>
      <c r="D16" s="335"/>
      <c r="E16" s="386"/>
      <c r="F16" s="105"/>
      <c r="G16" s="105"/>
    </row>
    <row r="17" spans="2:7">
      <c r="B17" s="105"/>
      <c r="C17" s="380"/>
      <c r="D17" s="336" t="s">
        <v>206</v>
      </c>
      <c r="E17" s="387">
        <f>SUM(E7:E16)</f>
        <v>38604.530000000006</v>
      </c>
      <c r="F17" s="310"/>
      <c r="G17" s="310"/>
    </row>
    <row r="18" spans="2:7" ht="15.75" thickBot="1">
      <c r="B18" s="105"/>
      <c r="C18" s="381"/>
      <c r="D18" s="383"/>
      <c r="E18" s="375"/>
      <c r="F18" s="105"/>
      <c r="G18" s="105"/>
    </row>
    <row r="24" spans="2:7" ht="15.75" thickBot="1"/>
    <row r="25" spans="2:7" ht="15.75" thickBot="1">
      <c r="B25" s="393" t="s">
        <v>308</v>
      </c>
      <c r="C25" s="394"/>
      <c r="D25" s="394" t="s">
        <v>310</v>
      </c>
      <c r="E25" s="394"/>
      <c r="F25" s="395"/>
    </row>
    <row r="26" spans="2:7" ht="15.75" thickBot="1">
      <c r="B26" s="310"/>
      <c r="C26" s="310"/>
      <c r="D26" s="105"/>
      <c r="E26" s="105"/>
      <c r="F26" s="105"/>
    </row>
    <row r="27" spans="2:7">
      <c r="B27" s="378" t="s">
        <v>297</v>
      </c>
      <c r="C27" s="382" t="s">
        <v>298</v>
      </c>
      <c r="D27" s="382" t="s">
        <v>206</v>
      </c>
      <c r="E27" s="382" t="s">
        <v>309</v>
      </c>
      <c r="F27" s="384" t="s">
        <v>299</v>
      </c>
    </row>
    <row r="28" spans="2:7">
      <c r="B28" s="401">
        <v>41548</v>
      </c>
      <c r="C28" s="397">
        <v>762.93</v>
      </c>
      <c r="D28" s="397">
        <v>762.93</v>
      </c>
      <c r="E28" s="397"/>
      <c r="F28" s="402"/>
    </row>
    <row r="29" spans="2:7">
      <c r="B29" s="401">
        <v>41579</v>
      </c>
      <c r="C29" s="397">
        <v>2365.1</v>
      </c>
      <c r="D29" s="397">
        <f>D28+C29</f>
        <v>3128.0299999999997</v>
      </c>
      <c r="E29" s="397"/>
      <c r="F29" s="402"/>
    </row>
    <row r="30" spans="2:7">
      <c r="B30" s="401">
        <v>41609</v>
      </c>
      <c r="C30" s="397">
        <v>2365.1</v>
      </c>
      <c r="D30" s="397">
        <f>D29+C30</f>
        <v>5493.1299999999992</v>
      </c>
      <c r="E30" s="397"/>
      <c r="F30" s="402"/>
    </row>
    <row r="31" spans="2:7">
      <c r="B31" s="401">
        <v>41640</v>
      </c>
      <c r="C31" s="397">
        <v>2365.1</v>
      </c>
      <c r="D31" s="397">
        <f t="shared" ref="D31:D44" si="0">D30+C31</f>
        <v>7858.23</v>
      </c>
      <c r="E31" s="397"/>
      <c r="F31" s="402"/>
    </row>
    <row r="32" spans="2:7">
      <c r="B32" s="401">
        <v>41671</v>
      </c>
      <c r="C32" s="397">
        <v>2365.1</v>
      </c>
      <c r="D32" s="397">
        <f t="shared" si="0"/>
        <v>10223.33</v>
      </c>
      <c r="E32" s="397"/>
      <c r="F32" s="402"/>
    </row>
    <row r="33" spans="2:10">
      <c r="B33" s="401">
        <v>41699</v>
      </c>
      <c r="C33" s="397">
        <v>2365.1</v>
      </c>
      <c r="D33" s="403">
        <f t="shared" si="0"/>
        <v>12588.43</v>
      </c>
      <c r="E33" s="397"/>
      <c r="F33" s="402"/>
      <c r="I33">
        <v>2365.1</v>
      </c>
      <c r="J33" s="25">
        <f>I33*12</f>
        <v>28381.199999999997</v>
      </c>
    </row>
    <row r="34" spans="2:10">
      <c r="B34" s="401">
        <v>41730</v>
      </c>
      <c r="C34" s="397">
        <v>2365.1</v>
      </c>
      <c r="D34" s="403">
        <f t="shared" si="0"/>
        <v>14953.53</v>
      </c>
      <c r="E34" s="397"/>
      <c r="F34" s="402"/>
    </row>
    <row r="35" spans="2:10">
      <c r="B35" s="401">
        <v>41760</v>
      </c>
      <c r="C35" s="397">
        <v>2365.1</v>
      </c>
      <c r="D35" s="403">
        <f t="shared" si="0"/>
        <v>17318.63</v>
      </c>
      <c r="E35" s="397"/>
      <c r="F35" s="402"/>
    </row>
    <row r="36" spans="2:10">
      <c r="B36" s="401">
        <v>41791</v>
      </c>
      <c r="C36" s="397">
        <v>2365.1</v>
      </c>
      <c r="D36" s="403">
        <f t="shared" si="0"/>
        <v>19683.73</v>
      </c>
      <c r="E36" s="397">
        <v>4289.3999999999996</v>
      </c>
      <c r="F36" s="402">
        <f>D36-E36</f>
        <v>15394.33</v>
      </c>
    </row>
    <row r="37" spans="2:10">
      <c r="B37" s="401">
        <v>41821</v>
      </c>
      <c r="C37" s="397">
        <v>2365.1</v>
      </c>
      <c r="D37" s="403">
        <f t="shared" si="0"/>
        <v>22048.829999999998</v>
      </c>
      <c r="E37" s="397">
        <v>4289.3999999999996</v>
      </c>
      <c r="F37" s="402">
        <f>F36+C37-E37</f>
        <v>13470.03</v>
      </c>
    </row>
    <row r="38" spans="2:10">
      <c r="B38" s="401">
        <v>41852</v>
      </c>
      <c r="C38" s="397">
        <v>2365.1</v>
      </c>
      <c r="D38" s="403">
        <f t="shared" si="0"/>
        <v>24413.929999999997</v>
      </c>
      <c r="E38" s="397">
        <v>4289.3999999999996</v>
      </c>
      <c r="F38" s="402">
        <f t="shared" ref="F38:F44" si="1">F37+C38-E38</f>
        <v>11545.730000000001</v>
      </c>
    </row>
    <row r="39" spans="2:10">
      <c r="B39" s="388">
        <v>41883</v>
      </c>
      <c r="C39" s="335">
        <v>2365.1</v>
      </c>
      <c r="D39" s="391">
        <f t="shared" si="0"/>
        <v>26779.029999999995</v>
      </c>
      <c r="E39" s="335">
        <v>4289.3999999999996</v>
      </c>
      <c r="F39" s="386">
        <f t="shared" si="1"/>
        <v>9621.4300000000021</v>
      </c>
    </row>
    <row r="40" spans="2:10">
      <c r="B40" s="388">
        <v>41913</v>
      </c>
      <c r="C40" s="335">
        <v>2365.1</v>
      </c>
      <c r="D40" s="391">
        <f t="shared" si="0"/>
        <v>29144.129999999994</v>
      </c>
      <c r="E40" s="335">
        <v>4289.3999999999996</v>
      </c>
      <c r="F40" s="386">
        <f t="shared" si="1"/>
        <v>7697.1300000000028</v>
      </c>
    </row>
    <row r="41" spans="2:10">
      <c r="B41" s="388">
        <v>41944</v>
      </c>
      <c r="C41" s="335">
        <v>2365.1</v>
      </c>
      <c r="D41" s="391">
        <f t="shared" si="0"/>
        <v>31509.229999999992</v>
      </c>
      <c r="E41" s="335">
        <v>4289.3999999999996</v>
      </c>
      <c r="F41" s="386">
        <f t="shared" si="1"/>
        <v>5772.8300000000036</v>
      </c>
    </row>
    <row r="42" spans="2:10">
      <c r="B42" s="388">
        <v>41974</v>
      </c>
      <c r="C42" s="335">
        <v>2365.1</v>
      </c>
      <c r="D42" s="391">
        <f t="shared" si="0"/>
        <v>33874.329999999994</v>
      </c>
      <c r="E42" s="335">
        <v>4289.3999999999996</v>
      </c>
      <c r="F42" s="386">
        <f t="shared" si="1"/>
        <v>3848.5300000000043</v>
      </c>
    </row>
    <row r="43" spans="2:10">
      <c r="B43" s="388">
        <v>42005</v>
      </c>
      <c r="C43" s="335">
        <v>2365.1</v>
      </c>
      <c r="D43" s="391">
        <f t="shared" si="0"/>
        <v>36239.429999999993</v>
      </c>
      <c r="E43" s="335">
        <v>4289.3999999999996</v>
      </c>
      <c r="F43" s="386">
        <f t="shared" si="1"/>
        <v>1924.230000000005</v>
      </c>
    </row>
    <row r="44" spans="2:10" ht="15.75" thickBot="1">
      <c r="B44" s="389">
        <v>42036</v>
      </c>
      <c r="C44" s="390">
        <v>2365.1</v>
      </c>
      <c r="D44" s="383">
        <f t="shared" si="0"/>
        <v>38604.529999999992</v>
      </c>
      <c r="E44" s="390">
        <v>4289.33</v>
      </c>
      <c r="F44" s="392">
        <f t="shared" si="1"/>
        <v>0</v>
      </c>
    </row>
  </sheetData>
  <mergeCells count="1">
    <mergeCell ref="C4:E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21"/>
  <sheetViews>
    <sheetView workbookViewId="0"/>
  </sheetViews>
  <sheetFormatPr defaultRowHeight="15"/>
  <cols>
    <col min="1" max="1" width="19" customWidth="1"/>
    <col min="2" max="2" width="10" bestFit="1" customWidth="1"/>
    <col min="3" max="3" width="10.140625" bestFit="1" customWidth="1"/>
    <col min="4" max="4" width="13.5703125" customWidth="1"/>
    <col min="5" max="5" width="11.7109375" customWidth="1"/>
    <col min="8" max="8" width="29.85546875" bestFit="1" customWidth="1"/>
    <col min="9" max="9" width="11.28515625" bestFit="1" customWidth="1"/>
    <col min="10" max="10" width="12.85546875" bestFit="1" customWidth="1"/>
    <col min="11" max="11" width="11" bestFit="1" customWidth="1"/>
    <col min="12" max="12" width="21.7109375" customWidth="1"/>
    <col min="13" max="13" width="25.7109375" customWidth="1"/>
  </cols>
  <sheetData>
    <row r="1" spans="1:15">
      <c r="A1" s="404"/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</row>
    <row r="2" spans="1:15" ht="18.75">
      <c r="A2" s="431"/>
      <c r="B2" s="432"/>
      <c r="C2" s="432"/>
      <c r="D2" s="433" t="s">
        <v>283</v>
      </c>
      <c r="E2" s="433"/>
      <c r="F2" s="433"/>
      <c r="G2" s="433"/>
      <c r="H2" s="433"/>
      <c r="I2" s="433"/>
      <c r="J2" s="433"/>
      <c r="K2" s="432"/>
      <c r="L2" s="432"/>
      <c r="M2" s="432"/>
      <c r="N2" s="432"/>
      <c r="O2" s="432"/>
    </row>
    <row r="3" spans="1:15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</row>
    <row r="4" spans="1:15">
      <c r="A4" s="408"/>
      <c r="B4" s="554" t="s">
        <v>262</v>
      </c>
      <c r="C4" s="554"/>
      <c r="D4" s="554"/>
      <c r="E4" s="411"/>
      <c r="F4" s="408"/>
      <c r="G4" s="408"/>
      <c r="H4" s="562" t="s">
        <v>248</v>
      </c>
      <c r="I4" s="562"/>
      <c r="J4" s="562"/>
      <c r="K4" s="562"/>
      <c r="L4" s="408"/>
      <c r="M4" s="408"/>
      <c r="N4" s="408"/>
      <c r="O4" s="408"/>
    </row>
    <row r="5" spans="1:15">
      <c r="A5" s="408"/>
      <c r="B5" s="554" t="s">
        <v>263</v>
      </c>
      <c r="C5" s="554"/>
      <c r="D5" s="554"/>
      <c r="E5" s="411"/>
      <c r="F5" s="408"/>
      <c r="G5" s="408"/>
      <c r="H5" s="550" t="s">
        <v>249</v>
      </c>
      <c r="I5" s="550"/>
      <c r="J5" s="550"/>
      <c r="K5" s="550"/>
      <c r="L5" s="408"/>
      <c r="M5" s="408"/>
      <c r="N5" s="408"/>
      <c r="O5" s="408"/>
    </row>
    <row r="6" spans="1:15">
      <c r="A6" s="408"/>
      <c r="B6" s="408"/>
      <c r="C6" s="408"/>
      <c r="D6" s="408"/>
      <c r="E6" s="408"/>
      <c r="F6" s="408"/>
      <c r="G6" s="408"/>
      <c r="H6" s="461"/>
      <c r="I6" s="461" t="s">
        <v>277</v>
      </c>
      <c r="J6" s="461"/>
      <c r="K6" s="461"/>
      <c r="L6" s="408"/>
      <c r="M6" s="408"/>
      <c r="N6" s="408"/>
      <c r="O6" s="408"/>
    </row>
    <row r="7" spans="1:15" ht="60">
      <c r="A7" s="422" t="s">
        <v>264</v>
      </c>
      <c r="B7" s="422" t="s">
        <v>274</v>
      </c>
      <c r="C7" s="413" t="s">
        <v>275</v>
      </c>
      <c r="D7" s="413" t="s">
        <v>276</v>
      </c>
      <c r="E7" s="422" t="s">
        <v>206</v>
      </c>
      <c r="F7" s="408"/>
      <c r="G7" s="408"/>
      <c r="H7" s="414" t="s">
        <v>250</v>
      </c>
      <c r="I7" s="415" t="s">
        <v>251</v>
      </c>
      <c r="J7" s="415" t="s">
        <v>252</v>
      </c>
      <c r="K7" s="415" t="s">
        <v>239</v>
      </c>
      <c r="L7" s="408"/>
      <c r="M7" s="408"/>
      <c r="N7" s="408"/>
      <c r="O7" s="408"/>
    </row>
    <row r="8" spans="1:15">
      <c r="A8" s="412"/>
      <c r="B8" s="421"/>
      <c r="C8" s="421"/>
      <c r="D8" s="421"/>
      <c r="E8" s="421"/>
      <c r="F8" s="408"/>
      <c r="G8" s="408"/>
      <c r="H8" s="437" t="s">
        <v>287</v>
      </c>
      <c r="I8" s="438">
        <v>41498</v>
      </c>
      <c r="J8" s="439" t="s">
        <v>288</v>
      </c>
      <c r="K8" s="439">
        <v>85233.75</v>
      </c>
      <c r="L8" s="559" t="s">
        <v>289</v>
      </c>
      <c r="M8" s="552"/>
      <c r="N8" s="408"/>
      <c r="O8" s="408"/>
    </row>
    <row r="9" spans="1:15" ht="17.25">
      <c r="A9" s="458">
        <v>41609</v>
      </c>
      <c r="B9" s="459">
        <v>23651.25</v>
      </c>
      <c r="C9" s="459">
        <v>4760</v>
      </c>
      <c r="D9" s="459">
        <v>1642.2</v>
      </c>
      <c r="E9" s="459">
        <v>30053.45</v>
      </c>
      <c r="F9" s="408"/>
      <c r="G9" s="408"/>
      <c r="H9" s="416" t="s">
        <v>255</v>
      </c>
      <c r="I9" s="417">
        <v>41698</v>
      </c>
      <c r="J9" s="418" t="s">
        <v>256</v>
      </c>
      <c r="K9" s="419">
        <v>91802.55</v>
      </c>
      <c r="L9" s="560" t="s">
        <v>290</v>
      </c>
      <c r="M9" s="569"/>
      <c r="N9" s="408"/>
      <c r="O9" s="408"/>
    </row>
    <row r="10" spans="1:15" ht="17.25">
      <c r="A10" s="459" t="s">
        <v>265</v>
      </c>
      <c r="B10" s="459">
        <v>23651.25</v>
      </c>
      <c r="C10" s="459">
        <v>4760</v>
      </c>
      <c r="D10" s="459">
        <v>1642.2</v>
      </c>
      <c r="E10" s="459">
        <v>30053.45</v>
      </c>
      <c r="F10" s="408"/>
      <c r="G10" s="408"/>
      <c r="H10" s="416" t="s">
        <v>257</v>
      </c>
      <c r="I10" s="417">
        <v>41787</v>
      </c>
      <c r="J10" s="418" t="s">
        <v>258</v>
      </c>
      <c r="K10" s="419">
        <v>91802.55</v>
      </c>
      <c r="L10" s="560" t="s">
        <v>290</v>
      </c>
      <c r="M10" s="569"/>
      <c r="N10" s="408"/>
      <c r="O10" s="408"/>
    </row>
    <row r="11" spans="1:15" ht="17.25">
      <c r="A11" s="459" t="s">
        <v>266</v>
      </c>
      <c r="B11" s="459">
        <v>23651.25</v>
      </c>
      <c r="C11" s="459">
        <v>4760</v>
      </c>
      <c r="D11" s="459">
        <v>1642.2</v>
      </c>
      <c r="E11" s="459">
        <v>30053.45</v>
      </c>
      <c r="F11" s="408"/>
      <c r="G11" s="408"/>
      <c r="H11" s="416" t="s">
        <v>259</v>
      </c>
      <c r="I11" s="417">
        <v>41879</v>
      </c>
      <c r="J11" s="418" t="s">
        <v>260</v>
      </c>
      <c r="K11" s="419">
        <v>91802.55</v>
      </c>
      <c r="L11" s="560" t="s">
        <v>290</v>
      </c>
      <c r="M11" s="569"/>
      <c r="N11" s="408"/>
      <c r="O11" s="408"/>
    </row>
    <row r="12" spans="1:15">
      <c r="A12" s="459" t="s">
        <v>200</v>
      </c>
      <c r="B12" s="459">
        <v>23651.25</v>
      </c>
      <c r="C12" s="459">
        <v>4760</v>
      </c>
      <c r="D12" s="459">
        <v>1642.2</v>
      </c>
      <c r="E12" s="459">
        <v>30053.45</v>
      </c>
      <c r="F12" s="408"/>
      <c r="G12" s="408"/>
      <c r="H12" s="416" t="s">
        <v>253</v>
      </c>
      <c r="I12" s="420" t="s">
        <v>254</v>
      </c>
      <c r="J12" s="418" t="s">
        <v>261</v>
      </c>
      <c r="K12" s="419">
        <v>85233.75</v>
      </c>
      <c r="L12" s="408"/>
      <c r="M12" s="408"/>
      <c r="N12" s="408"/>
      <c r="O12" s="408" t="s">
        <v>221</v>
      </c>
    </row>
    <row r="13" spans="1:15">
      <c r="A13" s="459" t="s">
        <v>198</v>
      </c>
      <c r="B13" s="459">
        <v>23651.25</v>
      </c>
      <c r="C13" s="459">
        <v>4760</v>
      </c>
      <c r="D13" s="459">
        <v>1642.2</v>
      </c>
      <c r="E13" s="459">
        <v>30053.45</v>
      </c>
      <c r="F13" s="408"/>
      <c r="G13" s="408"/>
      <c r="H13" s="408"/>
      <c r="I13" s="408"/>
      <c r="J13" s="408"/>
      <c r="K13" s="408"/>
      <c r="L13" s="408"/>
      <c r="M13" s="408"/>
      <c r="N13" s="408"/>
      <c r="O13" s="408"/>
    </row>
    <row r="14" spans="1:15">
      <c r="A14" s="459" t="s">
        <v>267</v>
      </c>
      <c r="B14" s="459">
        <v>23651.25</v>
      </c>
      <c r="C14" s="459">
        <v>4760</v>
      </c>
      <c r="D14" s="459">
        <v>1642.2</v>
      </c>
      <c r="E14" s="459">
        <v>30053.45</v>
      </c>
      <c r="F14" s="408"/>
      <c r="G14" s="408"/>
      <c r="H14" s="423"/>
      <c r="I14" s="423"/>
      <c r="J14" s="424" t="s">
        <v>278</v>
      </c>
      <c r="K14" s="423" t="s">
        <v>279</v>
      </c>
      <c r="L14" s="423" t="s">
        <v>280</v>
      </c>
      <c r="M14" s="408"/>
      <c r="N14" s="408"/>
      <c r="O14" s="408"/>
    </row>
    <row r="15" spans="1:15">
      <c r="A15" s="459" t="s">
        <v>268</v>
      </c>
      <c r="B15" s="459">
        <v>23651.25</v>
      </c>
      <c r="C15" s="459">
        <v>4760</v>
      </c>
      <c r="D15" s="459">
        <v>1642.2</v>
      </c>
      <c r="E15" s="459">
        <v>30053.45</v>
      </c>
      <c r="F15" s="408"/>
      <c r="G15" s="408"/>
      <c r="H15" s="425" t="s">
        <v>274</v>
      </c>
      <c r="I15" s="426"/>
      <c r="J15" s="426">
        <v>159</v>
      </c>
      <c r="K15" s="427">
        <v>1785</v>
      </c>
      <c r="L15" s="428">
        <v>283815</v>
      </c>
      <c r="M15" s="408"/>
      <c r="N15" s="408"/>
      <c r="O15" s="408"/>
    </row>
    <row r="16" spans="1:15">
      <c r="A16" s="459" t="s">
        <v>269</v>
      </c>
      <c r="B16" s="459">
        <v>23651.25</v>
      </c>
      <c r="C16" s="459">
        <v>4760</v>
      </c>
      <c r="D16" s="459">
        <v>1642.2</v>
      </c>
      <c r="E16" s="459">
        <v>30053.45</v>
      </c>
      <c r="F16" s="408"/>
      <c r="G16" s="408"/>
      <c r="H16" s="425" t="s">
        <v>281</v>
      </c>
      <c r="I16" s="426"/>
      <c r="J16" s="426">
        <v>32</v>
      </c>
      <c r="K16" s="426">
        <v>1785</v>
      </c>
      <c r="L16" s="428">
        <v>57120</v>
      </c>
      <c r="M16" s="408"/>
      <c r="N16" s="408"/>
      <c r="O16" s="408"/>
    </row>
    <row r="17" spans="1:15">
      <c r="A17" s="459" t="s">
        <v>270</v>
      </c>
      <c r="B17" s="459">
        <v>23651.25</v>
      </c>
      <c r="C17" s="459">
        <v>4760</v>
      </c>
      <c r="D17" s="459">
        <v>1642.2</v>
      </c>
      <c r="E17" s="459">
        <v>30053.45</v>
      </c>
      <c r="F17" s="408"/>
      <c r="G17" s="408"/>
      <c r="H17" s="425" t="s">
        <v>291</v>
      </c>
      <c r="I17" s="426"/>
      <c r="J17" s="426">
        <v>11.04</v>
      </c>
      <c r="K17" s="426">
        <v>1785</v>
      </c>
      <c r="L17" s="428">
        <v>19706.399999999998</v>
      </c>
      <c r="M17" s="404"/>
      <c r="N17" s="404"/>
      <c r="O17" s="404"/>
    </row>
    <row r="18" spans="1:15">
      <c r="A18" s="459" t="s">
        <v>271</v>
      </c>
      <c r="B18" s="459">
        <v>23651.25</v>
      </c>
      <c r="C18" s="459">
        <v>4760</v>
      </c>
      <c r="D18" s="459">
        <v>1642.2</v>
      </c>
      <c r="E18" s="459">
        <v>30053.45</v>
      </c>
      <c r="F18" s="408"/>
      <c r="G18" s="408"/>
      <c r="H18" s="434"/>
      <c r="I18" s="435"/>
      <c r="J18" s="435"/>
      <c r="K18" s="435"/>
      <c r="L18" s="436"/>
      <c r="M18" s="404"/>
      <c r="N18" s="404"/>
      <c r="O18" s="404"/>
    </row>
    <row r="19" spans="1:15">
      <c r="A19" s="459" t="s">
        <v>272</v>
      </c>
      <c r="B19" s="459">
        <v>23651.25</v>
      </c>
      <c r="C19" s="459">
        <v>4760</v>
      </c>
      <c r="D19" s="459">
        <v>1642.2</v>
      </c>
      <c r="E19" s="459">
        <v>30053.45</v>
      </c>
      <c r="F19" s="408"/>
      <c r="G19" s="408"/>
      <c r="H19" s="567" t="s">
        <v>282</v>
      </c>
      <c r="I19" s="568"/>
      <c r="J19" s="423">
        <v>202.04</v>
      </c>
      <c r="K19" s="423">
        <v>1785</v>
      </c>
      <c r="L19" s="429">
        <v>360641.4</v>
      </c>
      <c r="M19" s="404"/>
      <c r="N19" s="404"/>
      <c r="O19" s="404"/>
    </row>
    <row r="20" spans="1:15">
      <c r="A20" s="459" t="s">
        <v>273</v>
      </c>
      <c r="B20" s="459">
        <v>23651.25</v>
      </c>
      <c r="C20" s="459">
        <v>4760</v>
      </c>
      <c r="D20" s="459">
        <v>1642.2</v>
      </c>
      <c r="E20" s="459">
        <v>30053.45</v>
      </c>
      <c r="F20" s="408"/>
      <c r="G20" s="408"/>
      <c r="H20" s="571"/>
      <c r="I20" s="571"/>
      <c r="J20" s="571"/>
      <c r="K20" s="408"/>
      <c r="L20" s="408"/>
      <c r="M20" s="404"/>
      <c r="N20" s="404"/>
      <c r="O20" s="404"/>
    </row>
    <row r="21" spans="1:15">
      <c r="A21" s="421"/>
      <c r="B21" s="421"/>
      <c r="C21" s="421"/>
      <c r="D21" s="421"/>
      <c r="E21" s="421"/>
      <c r="F21" s="408"/>
      <c r="G21" s="408"/>
      <c r="H21" s="554"/>
      <c r="I21" s="554"/>
      <c r="J21" s="554"/>
      <c r="K21" s="408"/>
      <c r="L21" s="408"/>
      <c r="M21" s="404"/>
      <c r="N21" s="404"/>
      <c r="O21" s="404"/>
    </row>
    <row r="22" spans="1:15">
      <c r="A22" s="413" t="s">
        <v>206</v>
      </c>
      <c r="B22" s="422">
        <v>283815</v>
      </c>
      <c r="C22" s="422">
        <v>57120</v>
      </c>
      <c r="D22" s="422">
        <v>19706.400000000005</v>
      </c>
      <c r="E22" s="422">
        <v>360641.40000000008</v>
      </c>
      <c r="F22" s="408"/>
      <c r="G22" s="408"/>
      <c r="H22" s="408"/>
      <c r="I22" s="408"/>
      <c r="J22" s="408"/>
      <c r="K22" s="408"/>
      <c r="L22" s="408"/>
      <c r="M22" s="404"/>
      <c r="N22" s="404"/>
      <c r="O22" s="404"/>
    </row>
    <row r="23" spans="1:15">
      <c r="A23" s="408"/>
      <c r="B23" s="408"/>
      <c r="C23" s="408"/>
      <c r="D23" s="408"/>
      <c r="E23" s="408"/>
      <c r="F23" s="408"/>
      <c r="G23" s="408"/>
      <c r="H23" s="408"/>
      <c r="I23" s="408"/>
      <c r="J23" s="408"/>
      <c r="K23" s="408"/>
      <c r="L23" s="408"/>
      <c r="M23" s="404"/>
      <c r="N23" s="404"/>
      <c r="O23" s="404"/>
    </row>
    <row r="24" spans="1:15">
      <c r="A24" s="40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4"/>
      <c r="N24" s="404"/>
      <c r="O24" s="404"/>
    </row>
    <row r="25" spans="1:15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4"/>
      <c r="N25" s="404"/>
      <c r="O25" s="404"/>
    </row>
    <row r="26" spans="1:15" ht="18.75">
      <c r="A26" s="431"/>
      <c r="B26" s="432"/>
      <c r="C26" s="432"/>
      <c r="D26" s="432"/>
      <c r="E26" s="433" t="s">
        <v>285</v>
      </c>
      <c r="F26" s="433"/>
      <c r="G26" s="433"/>
      <c r="H26" s="433"/>
      <c r="I26" s="433"/>
      <c r="J26" s="433"/>
      <c r="K26" s="433"/>
      <c r="L26" s="432"/>
      <c r="M26" s="404"/>
      <c r="N26" s="404"/>
      <c r="O26" s="404"/>
    </row>
    <row r="27" spans="1:15" ht="18.75">
      <c r="A27" s="408"/>
      <c r="B27" s="408"/>
      <c r="C27" s="408"/>
      <c r="D27" s="408"/>
      <c r="E27" s="408"/>
      <c r="F27" s="408"/>
      <c r="G27" s="408"/>
      <c r="H27" s="440"/>
      <c r="I27" s="440"/>
      <c r="J27" s="440"/>
      <c r="K27" s="440"/>
      <c r="L27" s="409"/>
      <c r="M27" s="404"/>
      <c r="N27" s="404"/>
      <c r="O27" s="404"/>
    </row>
    <row r="28" spans="1:15">
      <c r="A28" s="408"/>
      <c r="B28" s="554" t="s">
        <v>262</v>
      </c>
      <c r="C28" s="554"/>
      <c r="D28" s="554"/>
      <c r="E28" s="411"/>
      <c r="F28" s="408"/>
      <c r="G28" s="408"/>
      <c r="H28" s="408"/>
      <c r="I28" s="408"/>
      <c r="J28" s="408"/>
      <c r="K28" s="408"/>
      <c r="L28" s="408"/>
      <c r="M28" s="404"/>
      <c r="N28" s="404"/>
      <c r="O28" s="404"/>
    </row>
    <row r="29" spans="1:15">
      <c r="A29" s="408"/>
      <c r="B29" s="554" t="s">
        <v>263</v>
      </c>
      <c r="C29" s="554"/>
      <c r="D29" s="554"/>
      <c r="E29" s="411"/>
      <c r="F29" s="408"/>
      <c r="G29" s="408"/>
      <c r="H29" s="423"/>
      <c r="I29" s="423"/>
      <c r="J29" s="424" t="s">
        <v>278</v>
      </c>
      <c r="K29" s="423" t="s">
        <v>279</v>
      </c>
      <c r="L29" s="423" t="s">
        <v>280</v>
      </c>
      <c r="M29" s="404"/>
      <c r="N29" s="404"/>
      <c r="O29" s="404"/>
    </row>
    <row r="30" spans="1:15">
      <c r="A30" s="408"/>
      <c r="B30" s="408"/>
      <c r="C30" s="408"/>
      <c r="D30" s="408"/>
      <c r="E30" s="408"/>
      <c r="F30" s="408"/>
      <c r="G30" s="408"/>
      <c r="H30" s="425" t="s">
        <v>274</v>
      </c>
      <c r="I30" s="426"/>
      <c r="J30" s="426">
        <v>159</v>
      </c>
      <c r="K30" s="427">
        <v>1785</v>
      </c>
      <c r="L30" s="428">
        <v>283815</v>
      </c>
      <c r="M30" s="404"/>
      <c r="N30" s="404"/>
      <c r="O30" s="404"/>
    </row>
    <row r="31" spans="1:15" ht="60">
      <c r="A31" s="422" t="s">
        <v>264</v>
      </c>
      <c r="B31" s="422" t="s">
        <v>274</v>
      </c>
      <c r="C31" s="413" t="s">
        <v>275</v>
      </c>
      <c r="D31" s="413" t="s">
        <v>276</v>
      </c>
      <c r="E31" s="422" t="s">
        <v>206</v>
      </c>
      <c r="F31" s="408"/>
      <c r="G31" s="408"/>
      <c r="H31" s="425" t="s">
        <v>281</v>
      </c>
      <c r="I31" s="426"/>
      <c r="J31" s="426">
        <v>32.96</v>
      </c>
      <c r="K31" s="426">
        <v>1785</v>
      </c>
      <c r="L31" s="428">
        <v>58833.599999999999</v>
      </c>
      <c r="M31" s="404"/>
      <c r="N31" s="404"/>
      <c r="O31" s="404"/>
    </row>
    <row r="32" spans="1:15">
      <c r="A32" s="412"/>
      <c r="B32" s="421"/>
      <c r="C32" s="421"/>
      <c r="D32" s="421"/>
      <c r="E32" s="421"/>
      <c r="F32" s="408"/>
      <c r="G32" s="408"/>
      <c r="H32" s="425" t="s">
        <v>291</v>
      </c>
      <c r="I32" s="426"/>
      <c r="J32" s="426">
        <v>11.37</v>
      </c>
      <c r="K32" s="426">
        <v>1785</v>
      </c>
      <c r="L32" s="428">
        <v>20295.449999999997</v>
      </c>
      <c r="M32" s="404"/>
      <c r="N32" s="404"/>
      <c r="O32" s="404"/>
    </row>
    <row r="33" spans="1:15">
      <c r="A33" s="458">
        <v>41974</v>
      </c>
      <c r="B33" s="459">
        <v>23651.25</v>
      </c>
      <c r="C33" s="405">
        <v>4902.8</v>
      </c>
      <c r="D33" s="405">
        <v>1691.2875000000001</v>
      </c>
      <c r="E33" s="405">
        <f>SUM(B33:D33)</f>
        <v>30245.337499999998</v>
      </c>
      <c r="F33" s="408"/>
      <c r="G33" s="408"/>
      <c r="H33" s="434"/>
      <c r="I33" s="435"/>
      <c r="J33" s="435"/>
      <c r="K33" s="435"/>
      <c r="L33" s="436"/>
      <c r="M33" s="408"/>
      <c r="N33" s="404"/>
      <c r="O33" s="404"/>
    </row>
    <row r="34" spans="1:15">
      <c r="A34" s="458">
        <v>42005</v>
      </c>
      <c r="B34" s="459">
        <v>23651.25</v>
      </c>
      <c r="C34" s="405">
        <v>4902.8</v>
      </c>
      <c r="D34" s="405">
        <v>1691.2875000000001</v>
      </c>
      <c r="E34" s="405">
        <f t="shared" ref="E34:E44" si="0">SUM(B34:D34)</f>
        <v>30245.337499999998</v>
      </c>
      <c r="F34" s="408"/>
      <c r="G34" s="408"/>
      <c r="H34" s="567" t="s">
        <v>284</v>
      </c>
      <c r="I34" s="568"/>
      <c r="J34" s="423">
        <v>203.33</v>
      </c>
      <c r="K34" s="423">
        <v>1785</v>
      </c>
      <c r="L34" s="429">
        <v>362944.05</v>
      </c>
      <c r="M34" s="408"/>
      <c r="N34" s="404"/>
      <c r="O34" s="404"/>
    </row>
    <row r="35" spans="1:15">
      <c r="A35" s="458">
        <v>42036</v>
      </c>
      <c r="B35" s="459">
        <v>23651.25</v>
      </c>
      <c r="C35" s="405">
        <v>4902.8</v>
      </c>
      <c r="D35" s="405">
        <v>1691.2875000000001</v>
      </c>
      <c r="E35" s="405">
        <f t="shared" si="0"/>
        <v>30245.337499999998</v>
      </c>
      <c r="F35" s="408"/>
      <c r="G35" s="408"/>
      <c r="H35" s="408"/>
      <c r="I35" s="408"/>
      <c r="J35" s="408"/>
      <c r="K35" s="408"/>
      <c r="L35" s="408"/>
      <c r="M35" s="408"/>
      <c r="N35" s="404"/>
      <c r="O35" s="404"/>
    </row>
    <row r="36" spans="1:15" ht="15.75" thickBot="1">
      <c r="A36" s="458">
        <v>42064</v>
      </c>
      <c r="B36" s="459">
        <v>23651.25</v>
      </c>
      <c r="C36" s="405">
        <v>4902.8</v>
      </c>
      <c r="D36" s="405">
        <v>1691.2875000000001</v>
      </c>
      <c r="E36" s="405">
        <f t="shared" si="0"/>
        <v>30245.337499999998</v>
      </c>
      <c r="F36" s="408"/>
      <c r="G36" s="408"/>
      <c r="H36" s="408"/>
      <c r="I36" s="408"/>
      <c r="J36" s="408"/>
      <c r="K36" s="408"/>
      <c r="L36" s="408"/>
      <c r="M36" s="408"/>
      <c r="N36" s="404"/>
      <c r="O36" s="404"/>
    </row>
    <row r="37" spans="1:15">
      <c r="A37" s="458">
        <v>42095</v>
      </c>
      <c r="B37" s="459">
        <v>23651.25</v>
      </c>
      <c r="C37" s="405">
        <v>4902.8</v>
      </c>
      <c r="D37" s="405">
        <v>1691.2875000000001</v>
      </c>
      <c r="E37" s="405">
        <f t="shared" si="0"/>
        <v>30245.337499999998</v>
      </c>
      <c r="F37" s="408"/>
      <c r="G37" s="408"/>
      <c r="H37" s="556" t="s">
        <v>248</v>
      </c>
      <c r="I37" s="557"/>
      <c r="J37" s="557"/>
      <c r="K37" s="558"/>
      <c r="L37" s="408"/>
      <c r="M37" s="408"/>
      <c r="N37" s="404"/>
      <c r="O37" s="404"/>
    </row>
    <row r="38" spans="1:15">
      <c r="A38" s="412">
        <v>42125</v>
      </c>
      <c r="B38" s="421">
        <v>23651.25</v>
      </c>
      <c r="C38" s="430">
        <v>4902.8</v>
      </c>
      <c r="D38" s="430">
        <v>1691.2875000000001</v>
      </c>
      <c r="E38" s="430">
        <f t="shared" si="0"/>
        <v>30245.337499999998</v>
      </c>
      <c r="F38" s="408"/>
      <c r="G38" s="408"/>
      <c r="H38" s="549" t="s">
        <v>249</v>
      </c>
      <c r="I38" s="550"/>
      <c r="J38" s="550"/>
      <c r="K38" s="551"/>
      <c r="L38" s="408"/>
      <c r="M38" s="408" t="s">
        <v>221</v>
      </c>
      <c r="N38" s="404"/>
      <c r="O38" s="404"/>
    </row>
    <row r="39" spans="1:15" ht="15.75" thickBot="1">
      <c r="A39" s="412">
        <v>42156</v>
      </c>
      <c r="B39" s="421">
        <v>23651.25</v>
      </c>
      <c r="C39" s="430">
        <v>4902.8</v>
      </c>
      <c r="D39" s="430">
        <v>1691.2875000000001</v>
      </c>
      <c r="E39" s="430">
        <f t="shared" si="0"/>
        <v>30245.337499999998</v>
      </c>
      <c r="F39" s="408"/>
      <c r="G39" s="408"/>
      <c r="H39" s="444"/>
      <c r="I39" s="445" t="s">
        <v>277</v>
      </c>
      <c r="J39" s="445"/>
      <c r="K39" s="446"/>
      <c r="L39" s="408"/>
      <c r="M39" s="408"/>
      <c r="N39" s="404"/>
      <c r="O39" s="404"/>
    </row>
    <row r="40" spans="1:15">
      <c r="A40" s="412">
        <v>42186</v>
      </c>
      <c r="B40" s="421">
        <v>23651.25</v>
      </c>
      <c r="C40" s="430">
        <v>4902.8</v>
      </c>
      <c r="D40" s="430">
        <v>1691.2875000000001</v>
      </c>
      <c r="E40" s="430">
        <f t="shared" si="0"/>
        <v>30245.337499999998</v>
      </c>
      <c r="F40" s="408"/>
      <c r="G40" s="408"/>
      <c r="H40" s="447" t="s">
        <v>250</v>
      </c>
      <c r="I40" s="448" t="s">
        <v>251</v>
      </c>
      <c r="J40" s="448" t="s">
        <v>252</v>
      </c>
      <c r="K40" s="449" t="s">
        <v>239</v>
      </c>
      <c r="L40" s="408"/>
      <c r="M40" s="408"/>
      <c r="N40" s="404"/>
      <c r="O40" s="404"/>
    </row>
    <row r="41" spans="1:15">
      <c r="A41" s="412">
        <v>42217</v>
      </c>
      <c r="B41" s="421">
        <v>23651.25</v>
      </c>
      <c r="C41" s="430">
        <v>4902.8</v>
      </c>
      <c r="D41" s="430">
        <v>1691.2875000000001</v>
      </c>
      <c r="E41" s="430">
        <f t="shared" si="0"/>
        <v>30245.337499999998</v>
      </c>
      <c r="F41" s="408"/>
      <c r="G41" s="408"/>
      <c r="H41" s="450" t="s">
        <v>287</v>
      </c>
      <c r="I41" s="438">
        <v>41971</v>
      </c>
      <c r="J41" s="460" t="s">
        <v>315</v>
      </c>
      <c r="K41" s="451">
        <v>90736.012000000002</v>
      </c>
      <c r="L41" s="570" t="s">
        <v>292</v>
      </c>
      <c r="M41" s="552"/>
      <c r="N41" s="404"/>
      <c r="O41" s="404"/>
    </row>
    <row r="42" spans="1:15" ht="17.25">
      <c r="A42" s="412">
        <v>42248</v>
      </c>
      <c r="B42" s="421">
        <v>23651.25</v>
      </c>
      <c r="C42" s="430">
        <v>4902.8</v>
      </c>
      <c r="D42" s="430">
        <v>1691.2875000000001</v>
      </c>
      <c r="E42" s="430">
        <f t="shared" si="0"/>
        <v>30245.337499999998</v>
      </c>
      <c r="F42" s="408"/>
      <c r="G42" s="408"/>
      <c r="H42" s="452" t="s">
        <v>255</v>
      </c>
      <c r="I42" s="417">
        <v>42063</v>
      </c>
      <c r="J42" s="418" t="s">
        <v>316</v>
      </c>
      <c r="K42" s="451">
        <v>90736.012000000002</v>
      </c>
      <c r="L42" s="570" t="s">
        <v>292</v>
      </c>
      <c r="M42" s="552"/>
      <c r="N42" s="404"/>
      <c r="O42" s="404"/>
    </row>
    <row r="43" spans="1:15" ht="17.25">
      <c r="A43" s="412">
        <v>42278</v>
      </c>
      <c r="B43" s="421">
        <v>23651.25</v>
      </c>
      <c r="C43" s="430">
        <v>4902.8</v>
      </c>
      <c r="D43" s="430">
        <v>1691.2875000000001</v>
      </c>
      <c r="E43" s="430">
        <f t="shared" si="0"/>
        <v>30245.337499999998</v>
      </c>
      <c r="F43" s="408"/>
      <c r="G43" s="408"/>
      <c r="H43" s="452" t="s">
        <v>257</v>
      </c>
      <c r="I43" s="417">
        <v>42152</v>
      </c>
      <c r="J43" s="418" t="s">
        <v>317</v>
      </c>
      <c r="K43" s="451">
        <v>90736.012000000002</v>
      </c>
      <c r="L43" s="570" t="s">
        <v>292</v>
      </c>
      <c r="M43" s="552"/>
      <c r="N43" s="404"/>
      <c r="O43" s="404"/>
    </row>
    <row r="44" spans="1:15" ht="17.25">
      <c r="A44" s="412">
        <v>42309</v>
      </c>
      <c r="B44" s="421">
        <v>23651.25</v>
      </c>
      <c r="C44" s="430">
        <v>4902.8</v>
      </c>
      <c r="D44" s="430">
        <v>1691.2875000000001</v>
      </c>
      <c r="E44" s="430">
        <f t="shared" si="0"/>
        <v>30245.337499999998</v>
      </c>
      <c r="F44" s="408"/>
      <c r="G44" s="408"/>
      <c r="H44" s="452" t="s">
        <v>259</v>
      </c>
      <c r="I44" s="417">
        <v>42244</v>
      </c>
      <c r="J44" s="418" t="s">
        <v>318</v>
      </c>
      <c r="K44" s="451">
        <v>90736.012000000002</v>
      </c>
      <c r="L44" s="570" t="s">
        <v>292</v>
      </c>
      <c r="M44" s="552"/>
      <c r="N44" s="404"/>
      <c r="O44" s="404"/>
    </row>
    <row r="45" spans="1:15">
      <c r="A45" s="421"/>
      <c r="B45" s="421"/>
      <c r="C45" s="421"/>
      <c r="D45" s="421"/>
      <c r="E45" s="421"/>
      <c r="F45" s="408"/>
      <c r="G45" s="408"/>
      <c r="H45" s="453"/>
      <c r="I45" s="441"/>
      <c r="J45" s="442"/>
      <c r="K45" s="454"/>
      <c r="L45" s="408"/>
      <c r="M45" s="408"/>
      <c r="N45" s="404"/>
      <c r="O45" s="404"/>
    </row>
    <row r="46" spans="1:15" ht="15.75" thickBot="1">
      <c r="A46" s="413" t="s">
        <v>206</v>
      </c>
      <c r="B46" s="406">
        <f>SUM(B33:B44)</f>
        <v>283815</v>
      </c>
      <c r="C46" s="406">
        <f>SUM(C33:C44)</f>
        <v>58833.600000000013</v>
      </c>
      <c r="D46" s="406">
        <f>SUM(D33:D44)</f>
        <v>20295.449999999997</v>
      </c>
      <c r="E46" s="407">
        <f>SUM(E33:E44)</f>
        <v>362944.05000000005</v>
      </c>
      <c r="F46" s="408"/>
      <c r="G46" s="408"/>
      <c r="H46" s="455" t="s">
        <v>206</v>
      </c>
      <c r="I46" s="456"/>
      <c r="J46" s="456"/>
      <c r="K46" s="457">
        <f>SUM(K41:K45)</f>
        <v>362944.04800000001</v>
      </c>
      <c r="L46" s="408"/>
      <c r="M46" s="408"/>
      <c r="N46" s="404"/>
      <c r="O46" s="404"/>
    </row>
    <row r="47" spans="1:15">
      <c r="A47" s="408"/>
      <c r="B47" s="408"/>
      <c r="C47" s="408"/>
      <c r="D47" s="408"/>
      <c r="E47" s="408"/>
      <c r="F47" s="408"/>
      <c r="G47" s="408"/>
      <c r="H47" s="443"/>
      <c r="I47" s="410"/>
      <c r="J47" s="410"/>
      <c r="K47" s="410"/>
      <c r="L47" s="408"/>
      <c r="M47" s="408"/>
      <c r="N47" s="404"/>
      <c r="O47" s="404"/>
    </row>
    <row r="48" spans="1:15">
      <c r="A48" s="408"/>
      <c r="B48" s="408"/>
      <c r="C48" s="408"/>
      <c r="D48" s="408"/>
      <c r="E48" s="408"/>
      <c r="F48" s="408"/>
      <c r="G48" s="408"/>
      <c r="H48" s="443"/>
      <c r="I48" s="410"/>
      <c r="J48" s="410"/>
      <c r="K48" s="410"/>
      <c r="L48" s="408"/>
      <c r="M48" s="408"/>
      <c r="N48" s="404"/>
      <c r="O48" s="404"/>
    </row>
    <row r="49" spans="1:15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4"/>
      <c r="O49" s="404"/>
    </row>
    <row r="50" spans="1:15" ht="18.75">
      <c r="A50" s="431"/>
      <c r="B50" s="432"/>
      <c r="C50" s="432"/>
      <c r="D50" s="432"/>
      <c r="E50" s="433" t="s">
        <v>286</v>
      </c>
      <c r="F50" s="433"/>
      <c r="G50" s="433"/>
      <c r="H50" s="433"/>
      <c r="I50" s="433"/>
      <c r="J50" s="433"/>
      <c r="K50" s="433"/>
      <c r="L50" s="432"/>
      <c r="M50" s="432"/>
      <c r="N50" s="404"/>
      <c r="O50" s="404"/>
    </row>
    <row r="51" spans="1:15">
      <c r="A51" s="404"/>
      <c r="B51" s="404"/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</row>
    <row r="52" spans="1:15" ht="18.75">
      <c r="A52" s="408"/>
      <c r="B52" s="408"/>
      <c r="C52" s="408"/>
      <c r="D52" s="408"/>
      <c r="E52" s="408"/>
      <c r="F52" s="408"/>
      <c r="G52" s="408"/>
      <c r="H52" s="440"/>
      <c r="I52" s="440"/>
      <c r="J52" s="440"/>
      <c r="K52" s="440"/>
      <c r="L52" s="409"/>
      <c r="M52" s="408"/>
      <c r="N52" s="404"/>
      <c r="O52" s="404"/>
    </row>
    <row r="53" spans="1:15">
      <c r="A53" s="408"/>
      <c r="B53" s="554" t="s">
        <v>262</v>
      </c>
      <c r="C53" s="554"/>
      <c r="D53" s="554"/>
      <c r="E53" s="411"/>
      <c r="F53" s="408"/>
      <c r="G53" s="408"/>
      <c r="H53" s="408"/>
      <c r="I53" s="408"/>
      <c r="J53" s="408"/>
      <c r="K53" s="408"/>
      <c r="L53" s="408"/>
      <c r="M53" s="408"/>
      <c r="N53" s="404"/>
      <c r="O53" s="404"/>
    </row>
    <row r="54" spans="1:15">
      <c r="A54" s="408"/>
      <c r="B54" s="554" t="s">
        <v>263</v>
      </c>
      <c r="C54" s="554"/>
      <c r="D54" s="554"/>
      <c r="E54" s="411"/>
      <c r="F54" s="408"/>
      <c r="G54" s="408"/>
      <c r="H54" s="423"/>
      <c r="I54" s="423"/>
      <c r="J54" s="424" t="s">
        <v>278</v>
      </c>
      <c r="K54" s="423" t="s">
        <v>279</v>
      </c>
      <c r="L54" s="423" t="s">
        <v>280</v>
      </c>
      <c r="M54" s="408"/>
      <c r="N54" s="404"/>
      <c r="O54" s="404"/>
    </row>
    <row r="55" spans="1:15">
      <c r="A55" s="408"/>
      <c r="B55" s="408"/>
      <c r="C55" s="408"/>
      <c r="D55" s="408"/>
      <c r="E55" s="408"/>
      <c r="F55" s="408"/>
      <c r="G55" s="408"/>
      <c r="H55" s="425" t="s">
        <v>274</v>
      </c>
      <c r="I55" s="426"/>
      <c r="J55" s="426">
        <v>159</v>
      </c>
      <c r="K55" s="427">
        <v>1785</v>
      </c>
      <c r="L55" s="428">
        <v>283815</v>
      </c>
      <c r="M55" s="408"/>
      <c r="N55" s="404"/>
      <c r="O55" s="404"/>
    </row>
    <row r="56" spans="1:15" ht="60">
      <c r="A56" s="422" t="s">
        <v>264</v>
      </c>
      <c r="B56" s="422" t="s">
        <v>274</v>
      </c>
      <c r="C56" s="413" t="s">
        <v>275</v>
      </c>
      <c r="D56" s="413" t="s">
        <v>276</v>
      </c>
      <c r="E56" s="422" t="s">
        <v>206</v>
      </c>
      <c r="F56" s="408"/>
      <c r="G56" s="408"/>
      <c r="H56" s="425" t="s">
        <v>281</v>
      </c>
      <c r="I56" s="426"/>
      <c r="J56" s="426">
        <v>33.950000000000003</v>
      </c>
      <c r="K56" s="426">
        <v>1785</v>
      </c>
      <c r="L56" s="428">
        <v>60600.750000000007</v>
      </c>
      <c r="M56" s="408"/>
      <c r="N56" s="404"/>
      <c r="O56" s="404"/>
    </row>
    <row r="57" spans="1:15">
      <c r="A57" s="412"/>
      <c r="B57" s="421"/>
      <c r="C57" s="421"/>
      <c r="D57" s="421"/>
      <c r="E57" s="421"/>
      <c r="F57" s="408"/>
      <c r="G57" s="408"/>
      <c r="H57" s="425" t="s">
        <v>291</v>
      </c>
      <c r="I57" s="426"/>
      <c r="J57" s="426">
        <v>11.71</v>
      </c>
      <c r="K57" s="426">
        <v>1785</v>
      </c>
      <c r="L57" s="428">
        <v>20902.350000000002</v>
      </c>
      <c r="M57" s="408"/>
      <c r="N57" s="404"/>
      <c r="O57" s="404"/>
    </row>
    <row r="58" spans="1:15">
      <c r="A58" s="412">
        <v>42339</v>
      </c>
      <c r="B58" s="421">
        <v>23651.25</v>
      </c>
      <c r="C58" s="430">
        <v>5050.0625</v>
      </c>
      <c r="D58" s="430">
        <v>1741.8625</v>
      </c>
      <c r="E58" s="430">
        <v>30443.174999999999</v>
      </c>
      <c r="F58" s="408"/>
      <c r="G58" s="408"/>
      <c r="H58" s="434"/>
      <c r="I58" s="435"/>
      <c r="J58" s="435"/>
      <c r="K58" s="435"/>
      <c r="L58" s="436"/>
      <c r="M58" s="408"/>
      <c r="N58" s="404"/>
      <c r="O58" s="404"/>
    </row>
    <row r="59" spans="1:15">
      <c r="A59" s="412">
        <v>42370</v>
      </c>
      <c r="B59" s="421">
        <v>23651.25</v>
      </c>
      <c r="C59" s="430">
        <v>5050.0625</v>
      </c>
      <c r="D59" s="430">
        <v>1741.8625</v>
      </c>
      <c r="E59" s="430">
        <v>30443.174999999999</v>
      </c>
      <c r="F59" s="408"/>
      <c r="G59" s="408"/>
      <c r="H59" s="567" t="s">
        <v>284</v>
      </c>
      <c r="I59" s="568"/>
      <c r="J59" s="423">
        <v>204.66</v>
      </c>
      <c r="K59" s="423">
        <v>1785</v>
      </c>
      <c r="L59" s="429">
        <v>365318.1</v>
      </c>
      <c r="M59" s="408"/>
      <c r="N59" s="404"/>
      <c r="O59" s="404"/>
    </row>
    <row r="60" spans="1:15">
      <c r="A60" s="412">
        <v>42401</v>
      </c>
      <c r="B60" s="421">
        <v>23651.25</v>
      </c>
      <c r="C60" s="430">
        <v>5050.0625</v>
      </c>
      <c r="D60" s="430">
        <v>1741.8625</v>
      </c>
      <c r="E60" s="430">
        <v>30443.174999999999</v>
      </c>
      <c r="F60" s="408"/>
      <c r="G60" s="408"/>
      <c r="H60" s="408"/>
      <c r="I60" s="408"/>
      <c r="J60" s="408"/>
      <c r="K60" s="408"/>
      <c r="L60" s="408"/>
      <c r="M60" s="408"/>
      <c r="N60" s="404"/>
      <c r="O60" s="404"/>
    </row>
    <row r="61" spans="1:15" ht="15.75" thickBot="1">
      <c r="A61" s="412">
        <v>42430</v>
      </c>
      <c r="B61" s="421">
        <v>23651.25</v>
      </c>
      <c r="C61" s="430">
        <v>5050.0625</v>
      </c>
      <c r="D61" s="430">
        <v>1741.8625</v>
      </c>
      <c r="E61" s="430">
        <v>30443.174999999999</v>
      </c>
      <c r="F61" s="408"/>
      <c r="G61" s="408"/>
      <c r="H61" s="408"/>
      <c r="I61" s="408"/>
      <c r="J61" s="408"/>
      <c r="K61" s="408"/>
      <c r="L61" s="408"/>
      <c r="M61" s="408"/>
      <c r="N61" s="404"/>
      <c r="O61" s="404"/>
    </row>
    <row r="62" spans="1:15">
      <c r="A62" s="412">
        <v>42461</v>
      </c>
      <c r="B62" s="421">
        <v>23651.25</v>
      </c>
      <c r="C62" s="430">
        <v>5050.0625</v>
      </c>
      <c r="D62" s="430">
        <v>1741.8625</v>
      </c>
      <c r="E62" s="430">
        <v>30443.174999999999</v>
      </c>
      <c r="F62" s="408"/>
      <c r="G62" s="408"/>
      <c r="H62" s="556" t="s">
        <v>248</v>
      </c>
      <c r="I62" s="557"/>
      <c r="J62" s="557"/>
      <c r="K62" s="558"/>
      <c r="L62" s="408"/>
      <c r="M62" s="408"/>
      <c r="N62" s="404"/>
      <c r="O62" s="404"/>
    </row>
    <row r="63" spans="1:15">
      <c r="A63" s="412">
        <v>42491</v>
      </c>
      <c r="B63" s="421">
        <v>23651.25</v>
      </c>
      <c r="C63" s="430">
        <v>5050.0625</v>
      </c>
      <c r="D63" s="430">
        <v>1741.8625</v>
      </c>
      <c r="E63" s="430">
        <v>30443.174999999999</v>
      </c>
      <c r="F63" s="408"/>
      <c r="G63" s="408"/>
      <c r="H63" s="549" t="s">
        <v>249</v>
      </c>
      <c r="I63" s="550"/>
      <c r="J63" s="550"/>
      <c r="K63" s="551"/>
      <c r="L63" s="408"/>
      <c r="M63" s="408" t="s">
        <v>221</v>
      </c>
      <c r="N63" s="404"/>
      <c r="O63" s="404"/>
    </row>
    <row r="64" spans="1:15" ht="15.75" thickBot="1">
      <c r="A64" s="412">
        <v>42522</v>
      </c>
      <c r="B64" s="421">
        <v>23651.25</v>
      </c>
      <c r="C64" s="430">
        <v>5050.0625</v>
      </c>
      <c r="D64" s="430">
        <v>1741.8625</v>
      </c>
      <c r="E64" s="430">
        <v>30443.174999999999</v>
      </c>
      <c r="F64" s="408"/>
      <c r="G64" s="408"/>
      <c r="H64" s="444"/>
      <c r="I64" s="445" t="s">
        <v>277</v>
      </c>
      <c r="J64" s="445"/>
      <c r="K64" s="446"/>
      <c r="L64" s="408"/>
      <c r="M64" s="408"/>
      <c r="N64" s="404"/>
      <c r="O64" s="404"/>
    </row>
    <row r="65" spans="1:15">
      <c r="A65" s="412">
        <v>42552</v>
      </c>
      <c r="B65" s="421">
        <v>23651.25</v>
      </c>
      <c r="C65" s="430">
        <v>5050.0625</v>
      </c>
      <c r="D65" s="430">
        <v>1741.8625</v>
      </c>
      <c r="E65" s="430">
        <v>30443.174999999999</v>
      </c>
      <c r="F65" s="408"/>
      <c r="G65" s="408"/>
      <c r="H65" s="447" t="s">
        <v>250</v>
      </c>
      <c r="I65" s="448" t="s">
        <v>251</v>
      </c>
      <c r="J65" s="448" t="s">
        <v>252</v>
      </c>
      <c r="K65" s="449" t="s">
        <v>239</v>
      </c>
      <c r="L65" s="408"/>
      <c r="M65" s="408"/>
      <c r="N65" s="404"/>
      <c r="O65" s="404"/>
    </row>
    <row r="66" spans="1:15">
      <c r="A66" s="412">
        <v>42583</v>
      </c>
      <c r="B66" s="421">
        <v>23651.25</v>
      </c>
      <c r="C66" s="430">
        <v>5050.0625</v>
      </c>
      <c r="D66" s="430">
        <v>1741.8625</v>
      </c>
      <c r="E66" s="430">
        <v>30443.174999999999</v>
      </c>
      <c r="F66" s="408"/>
      <c r="G66" s="408"/>
      <c r="H66" s="450" t="s">
        <v>287</v>
      </c>
      <c r="I66" s="438">
        <v>42336</v>
      </c>
      <c r="J66" s="439"/>
      <c r="K66" s="451">
        <v>91329.53</v>
      </c>
      <c r="L66" s="570" t="s">
        <v>292</v>
      </c>
      <c r="M66" s="552"/>
      <c r="N66" s="404"/>
      <c r="O66" s="404"/>
    </row>
    <row r="67" spans="1:15" ht="17.25">
      <c r="A67" s="412">
        <v>42614</v>
      </c>
      <c r="B67" s="421">
        <v>23651.25</v>
      </c>
      <c r="C67" s="430">
        <v>5050.0625</v>
      </c>
      <c r="D67" s="430">
        <v>1741.8625</v>
      </c>
      <c r="E67" s="430">
        <v>30443.174999999999</v>
      </c>
      <c r="F67" s="408"/>
      <c r="G67" s="408"/>
      <c r="H67" s="452" t="s">
        <v>255</v>
      </c>
      <c r="I67" s="417">
        <v>42428</v>
      </c>
      <c r="J67" s="418"/>
      <c r="K67" s="451">
        <v>91329.53</v>
      </c>
      <c r="L67" s="570" t="s">
        <v>292</v>
      </c>
      <c r="M67" s="552"/>
      <c r="N67" s="404"/>
      <c r="O67" s="404"/>
    </row>
    <row r="68" spans="1:15" ht="17.25">
      <c r="A68" s="412">
        <v>42644</v>
      </c>
      <c r="B68" s="421">
        <v>23651.25</v>
      </c>
      <c r="C68" s="430">
        <v>5050.0625</v>
      </c>
      <c r="D68" s="430">
        <v>1741.8625</v>
      </c>
      <c r="E68" s="430">
        <v>30443.174999999999</v>
      </c>
      <c r="F68" s="408"/>
      <c r="G68" s="408"/>
      <c r="H68" s="452" t="s">
        <v>257</v>
      </c>
      <c r="I68" s="417">
        <v>42515</v>
      </c>
      <c r="J68" s="418"/>
      <c r="K68" s="451">
        <v>91329.53</v>
      </c>
      <c r="L68" s="570" t="s">
        <v>292</v>
      </c>
      <c r="M68" s="552"/>
      <c r="N68" s="404"/>
      <c r="O68" s="404"/>
    </row>
    <row r="69" spans="1:15" ht="17.25">
      <c r="A69" s="412">
        <v>42675</v>
      </c>
      <c r="B69" s="421">
        <v>23651.25</v>
      </c>
      <c r="C69" s="430">
        <v>5050.0625</v>
      </c>
      <c r="D69" s="430">
        <v>1741.8625</v>
      </c>
      <c r="E69" s="430">
        <v>30443.174999999999</v>
      </c>
      <c r="F69" s="408"/>
      <c r="G69" s="408"/>
      <c r="H69" s="452" t="s">
        <v>259</v>
      </c>
      <c r="I69" s="417">
        <v>42610</v>
      </c>
      <c r="J69" s="418"/>
      <c r="K69" s="451">
        <v>91329.53</v>
      </c>
      <c r="L69" s="570" t="s">
        <v>292</v>
      </c>
      <c r="M69" s="552"/>
      <c r="N69" s="404"/>
      <c r="O69" s="404"/>
    </row>
    <row r="70" spans="1:15">
      <c r="A70" s="421"/>
      <c r="B70" s="421"/>
      <c r="C70" s="421"/>
      <c r="D70" s="421"/>
      <c r="E70" s="421"/>
      <c r="F70" s="408"/>
      <c r="G70" s="408"/>
      <c r="H70" s="453"/>
      <c r="I70" s="441"/>
      <c r="J70" s="442"/>
      <c r="K70" s="454"/>
      <c r="L70" s="408"/>
      <c r="M70" s="408"/>
      <c r="N70" s="404"/>
      <c r="O70" s="404"/>
    </row>
    <row r="71" spans="1:15" ht="15.75" thickBot="1">
      <c r="A71" s="413" t="s">
        <v>206</v>
      </c>
      <c r="B71" s="422">
        <v>283815</v>
      </c>
      <c r="C71" s="422">
        <v>60600.75</v>
      </c>
      <c r="D71" s="422">
        <v>20902.349999999995</v>
      </c>
      <c r="E71" s="422">
        <v>365318.09999999992</v>
      </c>
      <c r="F71" s="408"/>
      <c r="G71" s="408"/>
      <c r="H71" s="455" t="s">
        <v>206</v>
      </c>
      <c r="I71" s="456"/>
      <c r="J71" s="456"/>
      <c r="K71" s="457">
        <v>365318.12</v>
      </c>
      <c r="L71" s="408"/>
      <c r="M71" s="408"/>
      <c r="N71" s="404"/>
      <c r="O71" s="404"/>
    </row>
    <row r="72" spans="1:15">
      <c r="A72" s="404"/>
      <c r="B72" s="404"/>
      <c r="C72" s="404"/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</row>
    <row r="73" spans="1:15">
      <c r="A73" s="404"/>
      <c r="B73" s="404"/>
      <c r="C73" s="404"/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</row>
    <row r="74" spans="1:15" s="408" customFormat="1"/>
    <row r="75" spans="1:15" s="408" customFormat="1" ht="18.75">
      <c r="A75" s="520"/>
      <c r="B75" s="518"/>
      <c r="C75" s="518"/>
      <c r="D75" s="518"/>
      <c r="E75" s="519" t="s">
        <v>293</v>
      </c>
      <c r="F75" s="519"/>
      <c r="G75" s="519"/>
      <c r="H75" s="519"/>
      <c r="I75" s="519"/>
      <c r="J75" s="519"/>
      <c r="K75" s="519"/>
      <c r="L75" s="518"/>
      <c r="M75" s="518"/>
    </row>
    <row r="76" spans="1:15" s="408" customFormat="1"/>
    <row r="77" spans="1:15" s="408" customFormat="1"/>
    <row r="78" spans="1:15" s="408" customFormat="1">
      <c r="A78" s="477"/>
      <c r="B78" s="554" t="s">
        <v>262</v>
      </c>
      <c r="C78" s="554"/>
      <c r="D78" s="554"/>
      <c r="E78" s="486"/>
      <c r="F78" s="477"/>
      <c r="G78" s="477"/>
      <c r="H78" s="477"/>
      <c r="I78" s="477"/>
      <c r="J78" s="477"/>
      <c r="K78" s="477"/>
      <c r="L78" s="477"/>
      <c r="M78" s="477"/>
    </row>
    <row r="79" spans="1:15">
      <c r="A79" s="477"/>
      <c r="B79" s="554" t="s">
        <v>263</v>
      </c>
      <c r="C79" s="554"/>
      <c r="D79" s="554"/>
      <c r="E79" s="486"/>
      <c r="F79" s="477"/>
      <c r="G79" s="477"/>
      <c r="H79" s="491"/>
      <c r="I79" s="491"/>
      <c r="J79" s="492" t="s">
        <v>278</v>
      </c>
      <c r="K79" s="491" t="s">
        <v>279</v>
      </c>
      <c r="L79" s="491" t="s">
        <v>280</v>
      </c>
      <c r="M79" s="477"/>
      <c r="N79" s="408"/>
      <c r="O79" s="408"/>
    </row>
    <row r="80" spans="1:15">
      <c r="A80" s="477"/>
      <c r="B80" s="477"/>
      <c r="C80" s="477"/>
      <c r="D80" s="477"/>
      <c r="E80" s="477"/>
      <c r="F80" s="477"/>
      <c r="G80" s="477"/>
      <c r="H80" s="493" t="s">
        <v>274</v>
      </c>
      <c r="I80" s="479"/>
      <c r="J80" s="479">
        <v>159</v>
      </c>
      <c r="K80" s="494">
        <v>1785</v>
      </c>
      <c r="L80" s="495">
        <v>283815</v>
      </c>
      <c r="M80" s="477"/>
      <c r="N80" s="408"/>
      <c r="O80" s="408"/>
    </row>
    <row r="81" spans="1:15" ht="60">
      <c r="A81" s="483" t="s">
        <v>264</v>
      </c>
      <c r="B81" s="483" t="s">
        <v>274</v>
      </c>
      <c r="C81" s="487" t="s">
        <v>275</v>
      </c>
      <c r="D81" s="487" t="s">
        <v>276</v>
      </c>
      <c r="E81" s="483" t="s">
        <v>206</v>
      </c>
      <c r="F81" s="477"/>
      <c r="G81" s="477"/>
      <c r="H81" s="493" t="s">
        <v>281</v>
      </c>
      <c r="I81" s="479"/>
      <c r="J81" s="479">
        <v>34.97</v>
      </c>
      <c r="K81" s="479">
        <v>1785</v>
      </c>
      <c r="L81" s="495">
        <v>62421.45</v>
      </c>
      <c r="M81" s="477"/>
      <c r="N81" s="408"/>
      <c r="O81" s="408"/>
    </row>
    <row r="82" spans="1:15">
      <c r="A82" s="488"/>
      <c r="B82" s="482"/>
      <c r="C82" s="482"/>
      <c r="D82" s="482"/>
      <c r="E82" s="482"/>
      <c r="F82" s="477"/>
      <c r="G82" s="477"/>
      <c r="H82" s="493" t="s">
        <v>291</v>
      </c>
      <c r="I82" s="479"/>
      <c r="J82" s="479">
        <v>12.06</v>
      </c>
      <c r="K82" s="479">
        <v>1785</v>
      </c>
      <c r="L82" s="495">
        <v>21527.100000000002</v>
      </c>
      <c r="M82" s="477"/>
      <c r="N82" s="408"/>
      <c r="O82" s="408"/>
    </row>
    <row r="83" spans="1:15">
      <c r="A83" s="488">
        <v>42339</v>
      </c>
      <c r="B83" s="513">
        <v>23651.25</v>
      </c>
      <c r="C83" s="513">
        <v>5201.7875000000004</v>
      </c>
      <c r="D83" s="513">
        <v>1793.925</v>
      </c>
      <c r="E83" s="513">
        <v>30646.962499999998</v>
      </c>
      <c r="F83" s="477"/>
      <c r="G83" s="477"/>
      <c r="H83" s="496"/>
      <c r="I83" s="497"/>
      <c r="J83" s="497"/>
      <c r="K83" s="497"/>
      <c r="L83" s="498"/>
      <c r="M83" s="477"/>
      <c r="N83" s="408"/>
      <c r="O83" s="408"/>
    </row>
    <row r="84" spans="1:15">
      <c r="A84" s="488">
        <v>42370</v>
      </c>
      <c r="B84" s="513">
        <v>23651.25</v>
      </c>
      <c r="C84" s="513">
        <v>5201.7875000000004</v>
      </c>
      <c r="D84" s="513">
        <v>1793.925</v>
      </c>
      <c r="E84" s="513">
        <v>30646.962499999998</v>
      </c>
      <c r="F84" s="477"/>
      <c r="G84" s="477"/>
      <c r="H84" s="555" t="s">
        <v>284</v>
      </c>
      <c r="I84" s="555"/>
      <c r="J84" s="491">
        <v>206.03</v>
      </c>
      <c r="K84" s="491">
        <v>1785</v>
      </c>
      <c r="L84" s="499">
        <v>367763.55</v>
      </c>
      <c r="M84" s="477"/>
      <c r="N84" s="408"/>
      <c r="O84" s="408"/>
    </row>
    <row r="85" spans="1:15">
      <c r="A85" s="488">
        <v>42401</v>
      </c>
      <c r="B85" s="513">
        <v>23651.25</v>
      </c>
      <c r="C85" s="513">
        <v>5201.7875000000004</v>
      </c>
      <c r="D85" s="513">
        <v>1793.925</v>
      </c>
      <c r="E85" s="513">
        <v>30646.962499999998</v>
      </c>
      <c r="F85" s="477"/>
      <c r="G85" s="477"/>
      <c r="H85" s="477"/>
      <c r="I85" s="477"/>
      <c r="J85" s="477"/>
      <c r="K85" s="477"/>
      <c r="L85" s="477"/>
      <c r="M85" s="477"/>
      <c r="N85" s="408"/>
      <c r="O85" s="408"/>
    </row>
    <row r="86" spans="1:15" ht="15.75" thickBot="1">
      <c r="A86" s="488">
        <v>42430</v>
      </c>
      <c r="B86" s="513">
        <v>23651.25</v>
      </c>
      <c r="C86" s="513">
        <v>5201.7875000000004</v>
      </c>
      <c r="D86" s="513">
        <v>1793.925</v>
      </c>
      <c r="E86" s="513">
        <v>30646.962499999998</v>
      </c>
      <c r="F86" s="477"/>
      <c r="G86" s="477"/>
      <c r="H86" s="477"/>
      <c r="I86" s="477"/>
      <c r="J86" s="477"/>
      <c r="K86" s="477"/>
      <c r="L86" s="477"/>
      <c r="M86" s="477"/>
      <c r="N86" s="408"/>
      <c r="O86" s="408"/>
    </row>
    <row r="87" spans="1:15">
      <c r="A87" s="488">
        <v>42461</v>
      </c>
      <c r="B87" s="513">
        <v>23651.25</v>
      </c>
      <c r="C87" s="513">
        <v>5201.7875000000004</v>
      </c>
      <c r="D87" s="513">
        <v>1793.925</v>
      </c>
      <c r="E87" s="513">
        <v>30646.962499999998</v>
      </c>
      <c r="F87" s="477"/>
      <c r="G87" s="477"/>
      <c r="H87" s="556" t="s">
        <v>248</v>
      </c>
      <c r="I87" s="557"/>
      <c r="J87" s="557"/>
      <c r="K87" s="558"/>
      <c r="L87" s="477"/>
      <c r="M87" s="477"/>
      <c r="N87" s="408"/>
      <c r="O87" s="408"/>
    </row>
    <row r="88" spans="1:15">
      <c r="A88" s="488">
        <v>42491</v>
      </c>
      <c r="B88" s="513">
        <v>23651.25</v>
      </c>
      <c r="C88" s="513">
        <v>5201.7875000000004</v>
      </c>
      <c r="D88" s="513">
        <v>1793.925</v>
      </c>
      <c r="E88" s="513">
        <v>30646.962499999998</v>
      </c>
      <c r="F88" s="477"/>
      <c r="G88" s="477"/>
      <c r="H88" s="549" t="s">
        <v>249</v>
      </c>
      <c r="I88" s="550"/>
      <c r="J88" s="550"/>
      <c r="K88" s="551"/>
      <c r="L88" s="477"/>
      <c r="M88" s="477" t="s">
        <v>221</v>
      </c>
      <c r="N88" s="408"/>
      <c r="O88" s="408"/>
    </row>
    <row r="89" spans="1:15" ht="15.75" thickBot="1">
      <c r="A89" s="488">
        <v>42522</v>
      </c>
      <c r="B89" s="513">
        <v>23651.25</v>
      </c>
      <c r="C89" s="513">
        <v>5201.7875000000004</v>
      </c>
      <c r="D89" s="513">
        <v>1793.925</v>
      </c>
      <c r="E89" s="513">
        <v>30646.962499999998</v>
      </c>
      <c r="F89" s="477"/>
      <c r="G89" s="477"/>
      <c r="H89" s="500"/>
      <c r="I89" s="501" t="s">
        <v>340</v>
      </c>
      <c r="J89" s="501"/>
      <c r="K89" s="502"/>
      <c r="L89" s="477"/>
      <c r="M89" s="477"/>
      <c r="N89" s="408"/>
      <c r="O89" s="408"/>
    </row>
    <row r="90" spans="1:15">
      <c r="A90" s="488">
        <v>42552</v>
      </c>
      <c r="B90" s="513">
        <v>23651.25</v>
      </c>
      <c r="C90" s="513">
        <v>5201.7875000000004</v>
      </c>
      <c r="D90" s="513">
        <v>1793.925</v>
      </c>
      <c r="E90" s="513">
        <v>30646.962499999998</v>
      </c>
      <c r="F90" s="477"/>
      <c r="G90" s="477"/>
      <c r="H90" s="503" t="s">
        <v>250</v>
      </c>
      <c r="I90" s="504" t="s">
        <v>251</v>
      </c>
      <c r="J90" s="504" t="s">
        <v>252</v>
      </c>
      <c r="K90" s="505" t="s">
        <v>239</v>
      </c>
      <c r="L90" s="477"/>
      <c r="M90" s="477"/>
      <c r="N90" s="408"/>
      <c r="O90" s="408"/>
    </row>
    <row r="91" spans="1:15">
      <c r="A91" s="488">
        <v>42583</v>
      </c>
      <c r="B91" s="513">
        <v>23651.25</v>
      </c>
      <c r="C91" s="513">
        <v>5201.7875000000004</v>
      </c>
      <c r="D91" s="513">
        <v>1793.925</v>
      </c>
      <c r="E91" s="513">
        <v>30646.962499999998</v>
      </c>
      <c r="F91" s="477"/>
      <c r="G91" s="477"/>
      <c r="H91" s="506" t="s">
        <v>287</v>
      </c>
      <c r="I91" s="489">
        <v>42702</v>
      </c>
      <c r="J91" s="490"/>
      <c r="K91" s="515">
        <v>91940.89</v>
      </c>
      <c r="L91" s="552" t="s">
        <v>292</v>
      </c>
      <c r="M91" s="553"/>
      <c r="N91" s="408"/>
      <c r="O91" s="408"/>
    </row>
    <row r="92" spans="1:15" ht="17.25">
      <c r="A92" s="488">
        <v>42614</v>
      </c>
      <c r="B92" s="513">
        <v>23651.25</v>
      </c>
      <c r="C92" s="513">
        <v>5201.7875000000004</v>
      </c>
      <c r="D92" s="513">
        <v>1793.925</v>
      </c>
      <c r="E92" s="513">
        <v>30646.962499999998</v>
      </c>
      <c r="F92" s="477"/>
      <c r="G92" s="477"/>
      <c r="H92" s="507" t="s">
        <v>255</v>
      </c>
      <c r="I92" s="480">
        <v>42794</v>
      </c>
      <c r="J92" s="481"/>
      <c r="K92" s="515">
        <v>91940.89</v>
      </c>
      <c r="L92" s="552" t="s">
        <v>292</v>
      </c>
      <c r="M92" s="553"/>
      <c r="N92" s="408"/>
      <c r="O92" s="408"/>
    </row>
    <row r="93" spans="1:15" ht="17.25">
      <c r="A93" s="488">
        <v>42644</v>
      </c>
      <c r="B93" s="513">
        <v>23651.25</v>
      </c>
      <c r="C93" s="513">
        <v>5201.7875000000004</v>
      </c>
      <c r="D93" s="513">
        <v>1793.925</v>
      </c>
      <c r="E93" s="513">
        <v>30646.962499999998</v>
      </c>
      <c r="F93" s="477"/>
      <c r="G93" s="477"/>
      <c r="H93" s="507" t="s">
        <v>257</v>
      </c>
      <c r="I93" s="480">
        <v>42880</v>
      </c>
      <c r="J93" s="481"/>
      <c r="K93" s="515">
        <v>91940.89</v>
      </c>
      <c r="L93" s="552" t="s">
        <v>292</v>
      </c>
      <c r="M93" s="553"/>
      <c r="N93" s="408"/>
      <c r="O93" s="408"/>
    </row>
    <row r="94" spans="1:15" ht="17.25">
      <c r="A94" s="488">
        <v>42675</v>
      </c>
      <c r="B94" s="513">
        <v>23651.25</v>
      </c>
      <c r="C94" s="513">
        <v>5201.7875000000004</v>
      </c>
      <c r="D94" s="513">
        <v>1793.925</v>
      </c>
      <c r="E94" s="513">
        <v>30646.962499999998</v>
      </c>
      <c r="F94" s="477"/>
      <c r="G94" s="477"/>
      <c r="H94" s="507" t="s">
        <v>259</v>
      </c>
      <c r="I94" s="480">
        <v>42975</v>
      </c>
      <c r="J94" s="481"/>
      <c r="K94" s="515">
        <v>91940.88</v>
      </c>
      <c r="L94" s="552" t="s">
        <v>292</v>
      </c>
      <c r="M94" s="553"/>
      <c r="N94" s="408"/>
      <c r="O94" s="408"/>
    </row>
    <row r="95" spans="1:15">
      <c r="A95" s="482"/>
      <c r="B95" s="482"/>
      <c r="C95" s="482"/>
      <c r="D95" s="482"/>
      <c r="E95" s="482"/>
      <c r="F95" s="477"/>
      <c r="G95" s="477"/>
      <c r="H95" s="508"/>
      <c r="I95" s="509"/>
      <c r="J95" s="510"/>
      <c r="K95" s="516"/>
      <c r="L95" s="477"/>
      <c r="M95" s="477"/>
      <c r="N95" s="408"/>
      <c r="O95" s="408"/>
    </row>
    <row r="96" spans="1:15" ht="15.75" thickBot="1">
      <c r="A96" s="487" t="s">
        <v>206</v>
      </c>
      <c r="B96" s="514">
        <v>283815</v>
      </c>
      <c r="C96" s="514">
        <v>62421.44999999999</v>
      </c>
      <c r="D96" s="514">
        <v>21527.099999999995</v>
      </c>
      <c r="E96" s="514">
        <v>367763.55000000005</v>
      </c>
      <c r="F96" s="477"/>
      <c r="G96" s="477"/>
      <c r="H96" s="511" t="s">
        <v>206</v>
      </c>
      <c r="I96" s="512"/>
      <c r="J96" s="512"/>
      <c r="K96" s="517">
        <v>367763.55</v>
      </c>
      <c r="L96" s="477"/>
      <c r="M96" s="477"/>
      <c r="N96" s="408"/>
      <c r="O96" s="408"/>
    </row>
    <row r="97" spans="1:15">
      <c r="A97" s="477"/>
      <c r="B97" s="477"/>
      <c r="C97" s="477"/>
      <c r="D97" s="477"/>
      <c r="E97" s="477" t="s">
        <v>221</v>
      </c>
      <c r="F97" s="477"/>
      <c r="G97" s="477"/>
      <c r="H97" s="477"/>
      <c r="I97" s="477"/>
      <c r="J97" s="477"/>
      <c r="K97" s="477"/>
      <c r="L97" s="477"/>
      <c r="M97" s="477"/>
      <c r="N97" s="408"/>
      <c r="O97" s="408"/>
    </row>
    <row r="98" spans="1:15">
      <c r="A98" s="408"/>
      <c r="B98" s="408"/>
      <c r="C98" s="408"/>
      <c r="D98" s="408"/>
      <c r="E98" s="408"/>
      <c r="F98" s="408"/>
      <c r="G98" s="408"/>
      <c r="H98" s="408"/>
      <c r="I98" s="408"/>
      <c r="J98" s="408"/>
      <c r="K98" s="408"/>
      <c r="L98" s="408"/>
      <c r="M98" s="408"/>
      <c r="N98" s="408"/>
      <c r="O98" s="408"/>
    </row>
    <row r="99" spans="1:15" ht="18.75">
      <c r="A99" s="484"/>
      <c r="B99" s="485"/>
      <c r="C99" s="485"/>
      <c r="D99" s="485"/>
      <c r="E99" s="566" t="s">
        <v>341</v>
      </c>
      <c r="F99" s="566"/>
      <c r="G99" s="566"/>
      <c r="H99" s="566"/>
      <c r="I99" s="566"/>
      <c r="J99" s="566"/>
      <c r="K99" s="566"/>
      <c r="L99" s="485"/>
      <c r="M99" s="485"/>
      <c r="N99" s="408"/>
      <c r="O99" s="408"/>
    </row>
    <row r="100" spans="1:15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08"/>
    </row>
    <row r="101" spans="1:15">
      <c r="A101" s="408"/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</row>
    <row r="102" spans="1:15">
      <c r="A102" s="477"/>
      <c r="B102" s="554" t="s">
        <v>262</v>
      </c>
      <c r="C102" s="554"/>
      <c r="D102" s="554"/>
      <c r="E102" s="486"/>
      <c r="F102" s="477"/>
      <c r="G102" s="477"/>
      <c r="H102" s="477"/>
      <c r="I102" s="477"/>
      <c r="J102" s="477"/>
      <c r="K102" s="477"/>
      <c r="L102" s="477"/>
      <c r="M102" s="477"/>
      <c r="N102" s="408"/>
      <c r="O102" s="408"/>
    </row>
    <row r="103" spans="1:15">
      <c r="A103" s="477"/>
      <c r="B103" s="554" t="s">
        <v>263</v>
      </c>
      <c r="C103" s="554"/>
      <c r="D103" s="554"/>
      <c r="E103" s="486"/>
      <c r="F103" s="477"/>
      <c r="G103" s="477"/>
      <c r="H103" s="491"/>
      <c r="I103" s="491"/>
      <c r="J103" s="492" t="s">
        <v>278</v>
      </c>
      <c r="K103" s="491" t="s">
        <v>279</v>
      </c>
      <c r="L103" s="491" t="s">
        <v>280</v>
      </c>
      <c r="M103" s="477"/>
      <c r="N103" s="408"/>
      <c r="O103" s="408"/>
    </row>
    <row r="104" spans="1:15">
      <c r="A104" s="477"/>
      <c r="B104" s="477"/>
      <c r="C104" s="477"/>
      <c r="D104" s="477"/>
      <c r="E104" s="477"/>
      <c r="F104" s="477"/>
      <c r="G104" s="477"/>
      <c r="H104" s="493" t="s">
        <v>274</v>
      </c>
      <c r="I104" s="479"/>
      <c r="J104" s="479">
        <v>166.95</v>
      </c>
      <c r="K104" s="494">
        <v>1785</v>
      </c>
      <c r="L104" s="495">
        <v>298005.75</v>
      </c>
      <c r="M104" s="477"/>
      <c r="N104" s="408"/>
      <c r="O104" s="408"/>
    </row>
    <row r="105" spans="1:15" ht="60">
      <c r="A105" s="483" t="s">
        <v>264</v>
      </c>
      <c r="B105" s="483" t="s">
        <v>274</v>
      </c>
      <c r="C105" s="487" t="s">
        <v>275</v>
      </c>
      <c r="D105" s="487" t="s">
        <v>276</v>
      </c>
      <c r="E105" s="483" t="s">
        <v>206</v>
      </c>
      <c r="F105" s="477"/>
      <c r="G105" s="477"/>
      <c r="H105" s="493" t="s">
        <v>281</v>
      </c>
      <c r="I105" s="479"/>
      <c r="J105" s="479">
        <v>36.020000000000003</v>
      </c>
      <c r="K105" s="479">
        <v>1785</v>
      </c>
      <c r="L105" s="495">
        <v>64295.700000000004</v>
      </c>
      <c r="M105" s="477"/>
      <c r="N105" s="408"/>
      <c r="O105" s="408"/>
    </row>
    <row r="106" spans="1:15">
      <c r="A106" s="488"/>
      <c r="B106" s="482"/>
      <c r="C106" s="482"/>
      <c r="D106" s="482"/>
      <c r="E106" s="482"/>
      <c r="F106" s="477"/>
      <c r="G106" s="477"/>
      <c r="H106" s="493" t="s">
        <v>291</v>
      </c>
      <c r="I106" s="479"/>
      <c r="J106" s="479">
        <v>12.42</v>
      </c>
      <c r="K106" s="479">
        <v>1785</v>
      </c>
      <c r="L106" s="495">
        <v>22169.7</v>
      </c>
      <c r="M106" s="477"/>
      <c r="N106" s="408"/>
      <c r="O106" s="408"/>
    </row>
    <row r="107" spans="1:15">
      <c r="A107" s="488">
        <v>42705</v>
      </c>
      <c r="B107" s="513">
        <v>24833.812999999998</v>
      </c>
      <c r="C107" s="513">
        <v>5357.9750000000004</v>
      </c>
      <c r="D107" s="513">
        <v>1847.4749999999999</v>
      </c>
      <c r="E107" s="513">
        <v>32039.262999999999</v>
      </c>
      <c r="F107" s="477"/>
      <c r="G107" s="477"/>
      <c r="H107" s="496"/>
      <c r="I107" s="497"/>
      <c r="J107" s="497"/>
      <c r="K107" s="497"/>
      <c r="L107" s="498"/>
      <c r="M107" s="477"/>
      <c r="N107" s="408"/>
      <c r="O107" s="408"/>
    </row>
    <row r="108" spans="1:15">
      <c r="A108" s="488">
        <v>42736</v>
      </c>
      <c r="B108" s="513">
        <v>24833.812999999998</v>
      </c>
      <c r="C108" s="513">
        <v>5357.9750000000004</v>
      </c>
      <c r="D108" s="513">
        <v>1847.4749999999999</v>
      </c>
      <c r="E108" s="513">
        <v>32039.262999999999</v>
      </c>
      <c r="F108" s="477"/>
      <c r="G108" s="477"/>
      <c r="H108" s="555" t="s">
        <v>284</v>
      </c>
      <c r="I108" s="555"/>
      <c r="J108" s="491">
        <v>215.39</v>
      </c>
      <c r="K108" s="491">
        <v>1785</v>
      </c>
      <c r="L108" s="499">
        <v>384471.15</v>
      </c>
      <c r="M108" s="477"/>
      <c r="N108" s="408"/>
      <c r="O108" s="408"/>
    </row>
    <row r="109" spans="1:15">
      <c r="A109" s="488">
        <v>42767</v>
      </c>
      <c r="B109" s="513">
        <v>24833.812999999998</v>
      </c>
      <c r="C109" s="513">
        <v>5357.9750000000004</v>
      </c>
      <c r="D109" s="513">
        <v>1847.4749999999999</v>
      </c>
      <c r="E109" s="513">
        <v>32039.262999999999</v>
      </c>
      <c r="F109" s="477"/>
      <c r="G109" s="477"/>
      <c r="H109" s="477"/>
      <c r="I109" s="477"/>
      <c r="J109" s="477"/>
      <c r="K109" s="477"/>
      <c r="L109" s="477"/>
      <c r="M109" s="477"/>
      <c r="N109" s="408"/>
      <c r="O109" s="408"/>
    </row>
    <row r="110" spans="1:15" ht="15.75" thickBot="1">
      <c r="A110" s="488">
        <v>42795</v>
      </c>
      <c r="B110" s="513">
        <v>24833.812999999998</v>
      </c>
      <c r="C110" s="513">
        <v>5357.9750000000004</v>
      </c>
      <c r="D110" s="513">
        <v>1847.4749999999999</v>
      </c>
      <c r="E110" s="513">
        <v>32039.262999999999</v>
      </c>
      <c r="F110" s="477"/>
      <c r="G110" s="477"/>
      <c r="H110" s="477"/>
      <c r="I110" s="477"/>
      <c r="J110" s="477"/>
      <c r="K110" s="477"/>
      <c r="L110" s="477"/>
      <c r="M110" s="477"/>
      <c r="N110" s="408"/>
      <c r="O110" s="408"/>
    </row>
    <row r="111" spans="1:15">
      <c r="A111" s="488">
        <v>42826</v>
      </c>
      <c r="B111" s="513">
        <v>24833.812999999998</v>
      </c>
      <c r="C111" s="513">
        <v>5357.9750000000004</v>
      </c>
      <c r="D111" s="513">
        <v>1847.4749999999999</v>
      </c>
      <c r="E111" s="513">
        <v>32039.262999999999</v>
      </c>
      <c r="F111" s="477"/>
      <c r="G111" s="477"/>
      <c r="H111" s="556" t="s">
        <v>248</v>
      </c>
      <c r="I111" s="557"/>
      <c r="J111" s="557"/>
      <c r="K111" s="558"/>
      <c r="L111" s="477"/>
      <c r="M111" s="477"/>
      <c r="N111" s="408"/>
      <c r="O111" s="408"/>
    </row>
    <row r="112" spans="1:15">
      <c r="A112" s="488">
        <v>42856</v>
      </c>
      <c r="B112" s="513">
        <v>24833.812999999998</v>
      </c>
      <c r="C112" s="513">
        <v>5357.9750000000004</v>
      </c>
      <c r="D112" s="513">
        <v>1847.4749999999999</v>
      </c>
      <c r="E112" s="513">
        <v>32039.262999999999</v>
      </c>
      <c r="F112" s="477"/>
      <c r="G112" s="477"/>
      <c r="H112" s="549" t="s">
        <v>249</v>
      </c>
      <c r="I112" s="550"/>
      <c r="J112" s="550"/>
      <c r="K112" s="551"/>
      <c r="L112" s="477"/>
      <c r="M112" s="477" t="s">
        <v>221</v>
      </c>
      <c r="N112" s="408"/>
      <c r="O112" s="408"/>
    </row>
    <row r="113" spans="1:15" ht="15.75" thickBot="1">
      <c r="A113" s="488">
        <v>42887</v>
      </c>
      <c r="B113" s="513">
        <v>24833.812999999998</v>
      </c>
      <c r="C113" s="513">
        <v>5357.9750000000004</v>
      </c>
      <c r="D113" s="513">
        <v>1847.4749999999999</v>
      </c>
      <c r="E113" s="513">
        <v>32039.262999999999</v>
      </c>
      <c r="F113" s="477"/>
      <c r="G113" s="477"/>
      <c r="H113" s="500"/>
      <c r="I113" s="501" t="s">
        <v>340</v>
      </c>
      <c r="J113" s="501"/>
      <c r="K113" s="502"/>
      <c r="L113" s="477"/>
      <c r="M113" s="477"/>
      <c r="N113" s="408"/>
      <c r="O113" s="408"/>
    </row>
    <row r="114" spans="1:15">
      <c r="A114" s="488">
        <v>42917</v>
      </c>
      <c r="B114" s="513">
        <v>24833.812999999998</v>
      </c>
      <c r="C114" s="513">
        <v>5357.9750000000004</v>
      </c>
      <c r="D114" s="513">
        <v>1847.4749999999999</v>
      </c>
      <c r="E114" s="513">
        <v>32039.262999999999</v>
      </c>
      <c r="F114" s="477"/>
      <c r="G114" s="477"/>
      <c r="H114" s="503" t="s">
        <v>250</v>
      </c>
      <c r="I114" s="504" t="s">
        <v>251</v>
      </c>
      <c r="J114" s="504" t="s">
        <v>252</v>
      </c>
      <c r="K114" s="505" t="s">
        <v>239</v>
      </c>
      <c r="L114" s="477"/>
      <c r="M114" s="477"/>
      <c r="N114" s="408"/>
      <c r="O114" s="408"/>
    </row>
    <row r="115" spans="1:15">
      <c r="A115" s="488">
        <v>42948</v>
      </c>
      <c r="B115" s="513">
        <v>24833.812999999998</v>
      </c>
      <c r="C115" s="513">
        <v>5357.9750000000004</v>
      </c>
      <c r="D115" s="513">
        <v>1847.4749999999999</v>
      </c>
      <c r="E115" s="513">
        <v>32039.262999999999</v>
      </c>
      <c r="F115" s="477"/>
      <c r="G115" s="477"/>
      <c r="H115" s="506" t="s">
        <v>287</v>
      </c>
      <c r="I115" s="489">
        <v>43067</v>
      </c>
      <c r="J115" s="490"/>
      <c r="K115" s="515">
        <v>96117.788</v>
      </c>
      <c r="L115" s="552" t="s">
        <v>292</v>
      </c>
      <c r="M115" s="553"/>
      <c r="N115" s="408"/>
      <c r="O115" s="408"/>
    </row>
    <row r="116" spans="1:15" ht="17.25">
      <c r="A116" s="488">
        <v>42979</v>
      </c>
      <c r="B116" s="513">
        <v>24833.812999999998</v>
      </c>
      <c r="C116" s="513">
        <v>5357.9750000000004</v>
      </c>
      <c r="D116" s="513">
        <v>1847.4749999999999</v>
      </c>
      <c r="E116" s="513">
        <v>32039.262999999999</v>
      </c>
      <c r="F116" s="477"/>
      <c r="G116" s="477"/>
      <c r="H116" s="507" t="s">
        <v>255</v>
      </c>
      <c r="I116" s="480">
        <v>43159</v>
      </c>
      <c r="J116" s="481"/>
      <c r="K116" s="515">
        <v>96117.788</v>
      </c>
      <c r="L116" s="552" t="s">
        <v>292</v>
      </c>
      <c r="M116" s="553"/>
      <c r="N116" s="408"/>
      <c r="O116" s="408"/>
    </row>
    <row r="117" spans="1:15" ht="17.25">
      <c r="A117" s="488">
        <v>43009</v>
      </c>
      <c r="B117" s="513">
        <v>24833.812999999998</v>
      </c>
      <c r="C117" s="513">
        <v>5357.9750000000004</v>
      </c>
      <c r="D117" s="513">
        <v>1847.4749999999999</v>
      </c>
      <c r="E117" s="513">
        <v>32039.262999999999</v>
      </c>
      <c r="F117" s="477"/>
      <c r="G117" s="477"/>
      <c r="H117" s="507" t="s">
        <v>257</v>
      </c>
      <c r="I117" s="480">
        <v>43245</v>
      </c>
      <c r="J117" s="481"/>
      <c r="K117" s="515">
        <v>96117.788</v>
      </c>
      <c r="L117" s="552" t="s">
        <v>292</v>
      </c>
      <c r="M117" s="553"/>
      <c r="N117" s="408"/>
      <c r="O117" s="408"/>
    </row>
    <row r="118" spans="1:15" ht="17.25">
      <c r="A118" s="488">
        <v>43040</v>
      </c>
      <c r="B118" s="513">
        <v>24833.812999999998</v>
      </c>
      <c r="C118" s="513">
        <v>5357.9750000000004</v>
      </c>
      <c r="D118" s="513">
        <v>1847.4749999999999</v>
      </c>
      <c r="E118" s="513">
        <v>32039.262999999999</v>
      </c>
      <c r="F118" s="477"/>
      <c r="G118" s="477"/>
      <c r="H118" s="507" t="s">
        <v>259</v>
      </c>
      <c r="I118" s="480">
        <v>43340</v>
      </c>
      <c r="J118" s="481"/>
      <c r="K118" s="515">
        <v>96117.788</v>
      </c>
      <c r="L118" s="552" t="s">
        <v>292</v>
      </c>
      <c r="M118" s="553"/>
      <c r="N118" s="408"/>
      <c r="O118" s="408"/>
    </row>
    <row r="119" spans="1:15">
      <c r="A119" s="482"/>
      <c r="B119" s="482"/>
      <c r="C119" s="482"/>
      <c r="D119" s="482"/>
      <c r="E119" s="482"/>
      <c r="F119" s="477"/>
      <c r="G119" s="477"/>
      <c r="H119" s="508"/>
      <c r="I119" s="509"/>
      <c r="J119" s="510"/>
      <c r="K119" s="516"/>
      <c r="L119" s="477"/>
      <c r="M119" s="477"/>
      <c r="N119" s="408"/>
      <c r="O119" s="408"/>
    </row>
    <row r="120" spans="1:15" ht="15.75" thickBot="1">
      <c r="A120" s="487" t="s">
        <v>206</v>
      </c>
      <c r="B120" s="514">
        <v>298005.75599999999</v>
      </c>
      <c r="C120" s="514">
        <v>64295.69999999999</v>
      </c>
      <c r="D120" s="514">
        <v>22169.699999999997</v>
      </c>
      <c r="E120" s="514">
        <v>384471.15599999996</v>
      </c>
      <c r="F120" s="477"/>
      <c r="G120" s="477"/>
      <c r="H120" s="511" t="s">
        <v>206</v>
      </c>
      <c r="I120" s="512"/>
      <c r="J120" s="512"/>
      <c r="K120" s="513">
        <v>384471.152</v>
      </c>
      <c r="L120" s="477"/>
      <c r="M120" s="477"/>
      <c r="N120" s="408"/>
      <c r="O120" s="408"/>
    </row>
    <row r="121" spans="1:15">
      <c r="A121" s="408"/>
      <c r="B121" s="408"/>
      <c r="C121" s="408"/>
      <c r="D121" s="408"/>
      <c r="E121" s="408"/>
      <c r="F121" s="408"/>
      <c r="G121" s="408"/>
      <c r="H121" s="408"/>
      <c r="I121" s="408"/>
      <c r="J121" s="408"/>
      <c r="K121" s="408"/>
      <c r="L121" s="408"/>
      <c r="M121" s="408"/>
      <c r="N121" s="408"/>
      <c r="O121" s="408"/>
    </row>
    <row r="122" spans="1:15">
      <c r="A122" s="408"/>
      <c r="B122" s="408"/>
      <c r="C122" s="408"/>
      <c r="D122" s="408"/>
      <c r="E122" s="408"/>
      <c r="F122" s="408"/>
      <c r="G122" s="408"/>
      <c r="H122" s="408"/>
      <c r="I122" s="408"/>
      <c r="J122" s="408"/>
      <c r="K122" s="408"/>
      <c r="L122" s="408"/>
      <c r="M122" s="408"/>
      <c r="N122" s="408"/>
      <c r="O122" s="408"/>
    </row>
    <row r="123" spans="1:15">
      <c r="A123" s="408"/>
      <c r="B123" s="408"/>
      <c r="C123" s="408"/>
      <c r="D123" s="408"/>
      <c r="E123" s="408"/>
      <c r="F123" s="408"/>
      <c r="G123" s="408"/>
      <c r="H123" s="408"/>
      <c r="I123" s="408"/>
      <c r="J123" s="408"/>
      <c r="K123" s="408"/>
      <c r="L123" s="408"/>
      <c r="M123" s="408"/>
      <c r="N123" s="408"/>
      <c r="O123" s="408"/>
    </row>
    <row r="124" spans="1:15">
      <c r="A124" s="408"/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08"/>
    </row>
    <row r="125" spans="1:15" ht="18.75">
      <c r="A125" s="484"/>
      <c r="B125" s="485"/>
      <c r="C125" s="485"/>
      <c r="D125" s="485"/>
      <c r="E125" s="566" t="s">
        <v>342</v>
      </c>
      <c r="F125" s="566"/>
      <c r="G125" s="566"/>
      <c r="H125" s="566"/>
      <c r="I125" s="566"/>
      <c r="J125" s="566"/>
      <c r="K125" s="566"/>
      <c r="L125" s="485"/>
      <c r="M125" s="485"/>
      <c r="N125" s="408"/>
      <c r="O125" s="408"/>
    </row>
    <row r="126" spans="1:15">
      <c r="A126" s="477"/>
      <c r="B126" s="477"/>
      <c r="C126" s="477"/>
      <c r="D126" s="477"/>
      <c r="E126" s="477"/>
      <c r="F126" s="477"/>
      <c r="G126" s="477"/>
      <c r="H126" s="477"/>
      <c r="I126" s="477"/>
      <c r="J126" s="477"/>
      <c r="K126" s="477"/>
      <c r="L126" s="477"/>
      <c r="M126" s="477"/>
      <c r="N126" s="408"/>
      <c r="O126" s="408"/>
    </row>
    <row r="127" spans="1:15">
      <c r="A127" s="477"/>
      <c r="B127" s="477"/>
      <c r="C127" s="477"/>
      <c r="D127" s="477"/>
      <c r="E127" s="477"/>
      <c r="F127" s="477"/>
      <c r="G127" s="477"/>
      <c r="H127" s="477"/>
      <c r="I127" s="477"/>
      <c r="J127" s="477"/>
      <c r="K127" s="477"/>
      <c r="L127" s="477"/>
      <c r="M127" s="477"/>
      <c r="N127" s="408"/>
      <c r="O127" s="408"/>
    </row>
    <row r="128" spans="1:15">
      <c r="A128" s="477"/>
      <c r="B128" s="554" t="s">
        <v>262</v>
      </c>
      <c r="C128" s="554"/>
      <c r="D128" s="554"/>
      <c r="E128" s="486"/>
      <c r="F128" s="477"/>
      <c r="G128" s="477"/>
      <c r="H128" s="477"/>
      <c r="I128" s="477"/>
      <c r="J128" s="477"/>
      <c r="K128" s="477"/>
      <c r="L128" s="477"/>
      <c r="M128" s="477"/>
      <c r="N128" s="408"/>
      <c r="O128" s="408"/>
    </row>
    <row r="129" spans="1:15">
      <c r="A129" s="477"/>
      <c r="B129" s="554" t="s">
        <v>263</v>
      </c>
      <c r="C129" s="554"/>
      <c r="D129" s="554"/>
      <c r="E129" s="486"/>
      <c r="F129" s="477"/>
      <c r="G129" s="477"/>
      <c r="H129" s="491"/>
      <c r="I129" s="491"/>
      <c r="J129" s="492" t="s">
        <v>278</v>
      </c>
      <c r="K129" s="491" t="s">
        <v>279</v>
      </c>
      <c r="L129" s="491" t="s">
        <v>280</v>
      </c>
      <c r="M129" s="477"/>
      <c r="N129" s="408"/>
      <c r="O129" s="408"/>
    </row>
    <row r="130" spans="1:15">
      <c r="A130" s="477"/>
      <c r="B130" s="477"/>
      <c r="C130" s="477"/>
      <c r="D130" s="477"/>
      <c r="E130" s="477"/>
      <c r="F130" s="477"/>
      <c r="G130" s="477"/>
      <c r="H130" s="493" t="s">
        <v>274</v>
      </c>
      <c r="I130" s="479"/>
      <c r="J130" s="479">
        <v>166.95</v>
      </c>
      <c r="K130" s="494">
        <v>1785</v>
      </c>
      <c r="L130" s="495">
        <v>298005.75</v>
      </c>
      <c r="M130" s="477"/>
      <c r="N130" s="408"/>
      <c r="O130" s="408"/>
    </row>
    <row r="131" spans="1:15" ht="60">
      <c r="A131" s="483" t="s">
        <v>264</v>
      </c>
      <c r="B131" s="483" t="s">
        <v>274</v>
      </c>
      <c r="C131" s="487" t="s">
        <v>275</v>
      </c>
      <c r="D131" s="487" t="s">
        <v>276</v>
      </c>
      <c r="E131" s="483" t="s">
        <v>206</v>
      </c>
      <c r="F131" s="477"/>
      <c r="G131" s="477"/>
      <c r="H131" s="493" t="s">
        <v>281</v>
      </c>
      <c r="I131" s="479"/>
      <c r="J131" s="479">
        <v>37.1</v>
      </c>
      <c r="K131" s="479">
        <v>1785</v>
      </c>
      <c r="L131" s="495">
        <v>66223.5</v>
      </c>
      <c r="M131" s="477"/>
      <c r="N131" s="408"/>
      <c r="O131" s="408"/>
    </row>
    <row r="132" spans="1:15">
      <c r="A132" s="488"/>
      <c r="B132" s="482"/>
      <c r="C132" s="482"/>
      <c r="D132" s="482"/>
      <c r="E132" s="482"/>
      <c r="F132" s="477"/>
      <c r="G132" s="477"/>
      <c r="H132" s="493" t="s">
        <v>291</v>
      </c>
      <c r="I132" s="479"/>
      <c r="J132" s="479">
        <v>12.79</v>
      </c>
      <c r="K132" s="479">
        <v>1785</v>
      </c>
      <c r="L132" s="495">
        <v>22830.149999999998</v>
      </c>
      <c r="M132" s="477"/>
      <c r="N132" s="408"/>
      <c r="O132" s="408"/>
    </row>
    <row r="133" spans="1:15">
      <c r="A133" s="488">
        <v>42705</v>
      </c>
      <c r="B133" s="513">
        <v>24833.8125</v>
      </c>
      <c r="C133" s="513">
        <v>5518.625</v>
      </c>
      <c r="D133" s="513">
        <v>1902.5124999999998</v>
      </c>
      <c r="E133" s="513">
        <v>32254.95</v>
      </c>
      <c r="F133" s="477"/>
      <c r="G133" s="477"/>
      <c r="H133" s="496"/>
      <c r="I133" s="497"/>
      <c r="J133" s="497"/>
      <c r="K133" s="497"/>
      <c r="L133" s="498"/>
      <c r="M133" s="477"/>
      <c r="N133" s="408"/>
      <c r="O133" s="408"/>
    </row>
    <row r="134" spans="1:15">
      <c r="A134" s="488">
        <v>42736</v>
      </c>
      <c r="B134" s="513">
        <v>24833.812999999998</v>
      </c>
      <c r="C134" s="513">
        <v>5518.625</v>
      </c>
      <c r="D134" s="513">
        <v>1902.5124999999998</v>
      </c>
      <c r="E134" s="513">
        <v>32254.950499999999</v>
      </c>
      <c r="F134" s="477"/>
      <c r="G134" s="477"/>
      <c r="H134" s="555" t="s">
        <v>284</v>
      </c>
      <c r="I134" s="555"/>
      <c r="J134" s="491">
        <v>216.83999999999997</v>
      </c>
      <c r="K134" s="491">
        <v>1785</v>
      </c>
      <c r="L134" s="499">
        <v>387059.4</v>
      </c>
      <c r="M134" s="477"/>
      <c r="N134" s="408"/>
      <c r="O134" s="408"/>
    </row>
    <row r="135" spans="1:15">
      <c r="A135" s="488">
        <v>42767</v>
      </c>
      <c r="B135" s="513">
        <v>24833.812999999998</v>
      </c>
      <c r="C135" s="513">
        <v>5518.625</v>
      </c>
      <c r="D135" s="513">
        <v>1902.5124999999998</v>
      </c>
      <c r="E135" s="513">
        <v>32254.950499999999</v>
      </c>
      <c r="F135" s="477"/>
      <c r="G135" s="477"/>
      <c r="H135" s="477"/>
      <c r="I135" s="477"/>
      <c r="J135" s="477"/>
      <c r="K135" s="477"/>
      <c r="L135" s="477"/>
      <c r="M135" s="477"/>
      <c r="N135" s="408"/>
      <c r="O135" s="408"/>
    </row>
    <row r="136" spans="1:15" ht="15.75" thickBot="1">
      <c r="A136" s="488">
        <v>42795</v>
      </c>
      <c r="B136" s="513">
        <v>24833.812999999998</v>
      </c>
      <c r="C136" s="513">
        <v>5518.625</v>
      </c>
      <c r="D136" s="513">
        <v>1902.5124999999998</v>
      </c>
      <c r="E136" s="513">
        <v>32254.950499999999</v>
      </c>
      <c r="F136" s="477"/>
      <c r="G136" s="477"/>
      <c r="H136" s="477"/>
      <c r="I136" s="477"/>
      <c r="J136" s="477"/>
      <c r="K136" s="477"/>
      <c r="L136" s="477"/>
      <c r="M136" s="477"/>
      <c r="N136" s="408"/>
      <c r="O136" s="408"/>
    </row>
    <row r="137" spans="1:15">
      <c r="A137" s="488">
        <v>42826</v>
      </c>
      <c r="B137" s="513">
        <v>24833.812999999998</v>
      </c>
      <c r="C137" s="513">
        <v>5518.625</v>
      </c>
      <c r="D137" s="513">
        <v>1902.5124999999998</v>
      </c>
      <c r="E137" s="513">
        <v>32254.950499999999</v>
      </c>
      <c r="F137" s="477"/>
      <c r="G137" s="477"/>
      <c r="H137" s="556" t="s">
        <v>248</v>
      </c>
      <c r="I137" s="557"/>
      <c r="J137" s="557"/>
      <c r="K137" s="558"/>
      <c r="L137" s="477"/>
      <c r="M137" s="477"/>
      <c r="N137" s="408"/>
      <c r="O137" s="408"/>
    </row>
    <row r="138" spans="1:15">
      <c r="A138" s="488">
        <v>42856</v>
      </c>
      <c r="B138" s="513">
        <v>24833.812999999998</v>
      </c>
      <c r="C138" s="513">
        <v>5518.625</v>
      </c>
      <c r="D138" s="513">
        <v>1902.5124999999998</v>
      </c>
      <c r="E138" s="513">
        <v>32254.950499999999</v>
      </c>
      <c r="F138" s="477"/>
      <c r="G138" s="477"/>
      <c r="H138" s="549" t="s">
        <v>249</v>
      </c>
      <c r="I138" s="550"/>
      <c r="J138" s="550"/>
      <c r="K138" s="551"/>
      <c r="L138" s="477"/>
      <c r="M138" s="477" t="s">
        <v>221</v>
      </c>
      <c r="N138" s="408"/>
      <c r="O138" s="408"/>
    </row>
    <row r="139" spans="1:15" ht="15.75" thickBot="1">
      <c r="A139" s="488">
        <v>42887</v>
      </c>
      <c r="B139" s="513">
        <v>24833.812999999998</v>
      </c>
      <c r="C139" s="513">
        <v>5518.625</v>
      </c>
      <c r="D139" s="513">
        <v>1902.5124999999998</v>
      </c>
      <c r="E139" s="513">
        <v>32254.950499999999</v>
      </c>
      <c r="F139" s="477"/>
      <c r="G139" s="477"/>
      <c r="H139" s="500"/>
      <c r="I139" s="501" t="s">
        <v>340</v>
      </c>
      <c r="J139" s="501"/>
      <c r="K139" s="502"/>
      <c r="L139" s="477"/>
      <c r="M139" s="477"/>
      <c r="N139" s="408"/>
      <c r="O139" s="408"/>
    </row>
    <row r="140" spans="1:15">
      <c r="A140" s="488">
        <v>42917</v>
      </c>
      <c r="B140" s="513">
        <v>24833.812999999998</v>
      </c>
      <c r="C140" s="513">
        <v>5518.625</v>
      </c>
      <c r="D140" s="513">
        <v>1902.5124999999998</v>
      </c>
      <c r="E140" s="513">
        <v>32254.950499999999</v>
      </c>
      <c r="F140" s="477"/>
      <c r="G140" s="477"/>
      <c r="H140" s="503" t="s">
        <v>250</v>
      </c>
      <c r="I140" s="504" t="s">
        <v>251</v>
      </c>
      <c r="J140" s="504" t="s">
        <v>252</v>
      </c>
      <c r="K140" s="505" t="s">
        <v>239</v>
      </c>
      <c r="L140" s="477"/>
      <c r="M140" s="477"/>
      <c r="N140" s="408"/>
      <c r="O140" s="408"/>
    </row>
    <row r="141" spans="1:15">
      <c r="A141" s="488">
        <v>42948</v>
      </c>
      <c r="B141" s="513">
        <v>24833.812999999998</v>
      </c>
      <c r="C141" s="513">
        <v>5518.625</v>
      </c>
      <c r="D141" s="513">
        <v>1902.5124999999998</v>
      </c>
      <c r="E141" s="513">
        <v>32254.950499999999</v>
      </c>
      <c r="F141" s="477"/>
      <c r="G141" s="477"/>
      <c r="H141" s="506" t="s">
        <v>287</v>
      </c>
      <c r="I141" s="489">
        <v>43432</v>
      </c>
      <c r="J141" s="490"/>
      <c r="K141" s="515">
        <v>96764.85</v>
      </c>
      <c r="L141" s="552" t="s">
        <v>292</v>
      </c>
      <c r="M141" s="553"/>
      <c r="N141" s="408"/>
      <c r="O141" s="408"/>
    </row>
    <row r="142" spans="1:15" ht="17.25">
      <c r="A142" s="488">
        <v>42979</v>
      </c>
      <c r="B142" s="513">
        <v>24833.812999999998</v>
      </c>
      <c r="C142" s="513">
        <v>5518.625</v>
      </c>
      <c r="D142" s="513">
        <v>1902.5124999999998</v>
      </c>
      <c r="E142" s="513">
        <v>32254.950499999999</v>
      </c>
      <c r="F142" s="477"/>
      <c r="G142" s="477"/>
      <c r="H142" s="507" t="s">
        <v>255</v>
      </c>
      <c r="I142" s="480">
        <v>43524</v>
      </c>
      <c r="J142" s="481"/>
      <c r="K142" s="515">
        <v>96764.85</v>
      </c>
      <c r="L142" s="552" t="s">
        <v>292</v>
      </c>
      <c r="M142" s="553"/>
      <c r="N142" s="408"/>
      <c r="O142" s="408"/>
    </row>
    <row r="143" spans="1:15" ht="17.25">
      <c r="A143" s="488">
        <v>43009</v>
      </c>
      <c r="B143" s="513">
        <v>24833.812999999998</v>
      </c>
      <c r="C143" s="513">
        <v>5518.625</v>
      </c>
      <c r="D143" s="513">
        <v>1902.5124999999998</v>
      </c>
      <c r="E143" s="513">
        <v>32254.950499999999</v>
      </c>
      <c r="F143" s="477"/>
      <c r="G143" s="477"/>
      <c r="H143" s="507" t="s">
        <v>257</v>
      </c>
      <c r="I143" s="480">
        <v>43610</v>
      </c>
      <c r="J143" s="481"/>
      <c r="K143" s="515">
        <v>96764.85</v>
      </c>
      <c r="L143" s="552" t="s">
        <v>292</v>
      </c>
      <c r="M143" s="553"/>
      <c r="N143" s="408"/>
      <c r="O143" s="408"/>
    </row>
    <row r="144" spans="1:15" ht="17.25">
      <c r="A144" s="488">
        <v>43040</v>
      </c>
      <c r="B144" s="513">
        <v>24833.812999999998</v>
      </c>
      <c r="C144" s="513">
        <v>5518.625</v>
      </c>
      <c r="D144" s="513">
        <v>1902.5124999999998</v>
      </c>
      <c r="E144" s="513">
        <v>32254.950499999999</v>
      </c>
      <c r="F144" s="477"/>
      <c r="G144" s="477"/>
      <c r="H144" s="507" t="s">
        <v>259</v>
      </c>
      <c r="I144" s="480">
        <v>43705</v>
      </c>
      <c r="J144" s="481"/>
      <c r="K144" s="515">
        <v>96764.85</v>
      </c>
      <c r="L144" s="552" t="s">
        <v>292</v>
      </c>
      <c r="M144" s="553"/>
      <c r="N144" s="408"/>
      <c r="O144" s="408"/>
    </row>
    <row r="145" spans="1:15">
      <c r="A145" s="482"/>
      <c r="B145" s="482"/>
      <c r="C145" s="482"/>
      <c r="D145" s="482"/>
      <c r="E145" s="482"/>
      <c r="F145" s="477"/>
      <c r="G145" s="477"/>
      <c r="H145" s="508"/>
      <c r="I145" s="509"/>
      <c r="J145" s="510"/>
      <c r="K145" s="516"/>
      <c r="L145" s="477"/>
      <c r="M145" s="477"/>
      <c r="N145" s="408"/>
      <c r="O145" s="408"/>
    </row>
    <row r="146" spans="1:15" ht="15.75" thickBot="1">
      <c r="A146" s="487" t="s">
        <v>206</v>
      </c>
      <c r="B146" s="514">
        <v>298005.75549999997</v>
      </c>
      <c r="C146" s="514">
        <v>66223.5</v>
      </c>
      <c r="D146" s="514">
        <v>22830.150000000005</v>
      </c>
      <c r="E146" s="514">
        <v>387059.40549999994</v>
      </c>
      <c r="F146" s="477"/>
      <c r="G146" s="477"/>
      <c r="H146" s="511" t="s">
        <v>206</v>
      </c>
      <c r="I146" s="512"/>
      <c r="J146" s="512"/>
      <c r="K146" s="513">
        <v>387059.4</v>
      </c>
      <c r="L146" s="477"/>
      <c r="M146" s="477"/>
      <c r="N146" s="408"/>
      <c r="O146" s="408"/>
    </row>
    <row r="147" spans="1:15">
      <c r="A147" s="408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08"/>
    </row>
    <row r="148" spans="1:15">
      <c r="A148" s="408"/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</row>
    <row r="149" spans="1:15">
      <c r="A149" s="408"/>
      <c r="B149" s="408"/>
      <c r="C149" s="408"/>
      <c r="D149" s="408"/>
      <c r="E149" s="408"/>
      <c r="F149" s="408"/>
      <c r="G149" s="408"/>
      <c r="H149" s="408"/>
      <c r="I149" s="408"/>
      <c r="J149" s="408"/>
      <c r="K149" s="408"/>
      <c r="L149" s="408"/>
      <c r="M149" s="408"/>
      <c r="N149" s="408"/>
      <c r="O149" s="408"/>
    </row>
    <row r="150" spans="1:15" ht="18.75">
      <c r="A150" s="484"/>
      <c r="B150" s="485"/>
      <c r="C150" s="485"/>
      <c r="D150" s="485"/>
      <c r="E150" s="566" t="s">
        <v>343</v>
      </c>
      <c r="F150" s="566"/>
      <c r="G150" s="566"/>
      <c r="H150" s="566"/>
      <c r="I150" s="566"/>
      <c r="J150" s="566"/>
      <c r="K150" s="566"/>
      <c r="L150" s="485"/>
      <c r="M150" s="485"/>
      <c r="N150" s="408"/>
      <c r="O150" s="408"/>
    </row>
    <row r="151" spans="1:15">
      <c r="A151" s="477"/>
      <c r="B151" s="477"/>
      <c r="C151" s="477"/>
      <c r="D151" s="477"/>
      <c r="E151" s="477"/>
      <c r="F151" s="477"/>
      <c r="G151" s="477"/>
      <c r="H151" s="477"/>
      <c r="I151" s="477"/>
      <c r="J151" s="477"/>
      <c r="K151" s="477"/>
      <c r="L151" s="477"/>
      <c r="M151" s="477"/>
      <c r="N151" s="408"/>
      <c r="O151" s="408"/>
    </row>
    <row r="152" spans="1:15">
      <c r="A152" s="477"/>
      <c r="B152" s="477"/>
      <c r="C152" s="477"/>
      <c r="D152" s="477"/>
      <c r="E152" s="477"/>
      <c r="F152" s="477"/>
      <c r="G152" s="477"/>
      <c r="H152" s="477"/>
      <c r="I152" s="477"/>
      <c r="J152" s="477"/>
      <c r="K152" s="477"/>
      <c r="L152" s="477"/>
      <c r="M152" s="477"/>
      <c r="N152" s="408"/>
      <c r="O152" s="408"/>
    </row>
    <row r="153" spans="1:15">
      <c r="A153" s="477"/>
      <c r="B153" s="554" t="s">
        <v>262</v>
      </c>
      <c r="C153" s="554"/>
      <c r="D153" s="554"/>
      <c r="E153" s="486"/>
      <c r="F153" s="477"/>
      <c r="G153" s="477"/>
      <c r="H153" s="477"/>
      <c r="I153" s="477"/>
      <c r="J153" s="477"/>
      <c r="K153" s="477"/>
      <c r="L153" s="477"/>
      <c r="M153" s="477"/>
      <c r="N153" s="408"/>
      <c r="O153" s="408"/>
    </row>
    <row r="154" spans="1:15">
      <c r="A154" s="477"/>
      <c r="B154" s="554" t="s">
        <v>263</v>
      </c>
      <c r="C154" s="554"/>
      <c r="D154" s="554"/>
      <c r="E154" s="486"/>
      <c r="F154" s="477"/>
      <c r="G154" s="477"/>
      <c r="H154" s="491"/>
      <c r="I154" s="491"/>
      <c r="J154" s="492" t="s">
        <v>278</v>
      </c>
      <c r="K154" s="491" t="s">
        <v>279</v>
      </c>
      <c r="L154" s="491" t="s">
        <v>280</v>
      </c>
      <c r="M154" s="477"/>
      <c r="N154" s="408"/>
      <c r="O154" s="408"/>
    </row>
    <row r="155" spans="1:15">
      <c r="A155" s="477"/>
      <c r="B155" s="477"/>
      <c r="C155" s="477"/>
      <c r="D155" s="477"/>
      <c r="E155" s="477"/>
      <c r="F155" s="477"/>
      <c r="G155" s="477"/>
      <c r="H155" s="493" t="s">
        <v>274</v>
      </c>
      <c r="I155" s="479"/>
      <c r="J155" s="479">
        <v>166.95</v>
      </c>
      <c r="K155" s="494">
        <v>1785</v>
      </c>
      <c r="L155" s="495">
        <v>298005.75</v>
      </c>
      <c r="M155" s="477"/>
      <c r="N155" s="408"/>
      <c r="O155" s="408"/>
    </row>
    <row r="156" spans="1:15" ht="60">
      <c r="A156" s="483" t="s">
        <v>264</v>
      </c>
      <c r="B156" s="483" t="s">
        <v>274</v>
      </c>
      <c r="C156" s="487" t="s">
        <v>275</v>
      </c>
      <c r="D156" s="487" t="s">
        <v>276</v>
      </c>
      <c r="E156" s="483" t="s">
        <v>206</v>
      </c>
      <c r="F156" s="477"/>
      <c r="G156" s="477"/>
      <c r="H156" s="493" t="s">
        <v>281</v>
      </c>
      <c r="I156" s="479"/>
      <c r="J156" s="479">
        <v>38.21</v>
      </c>
      <c r="K156" s="479">
        <v>1785</v>
      </c>
      <c r="L156" s="495">
        <v>68204.850000000006</v>
      </c>
      <c r="M156" s="477"/>
      <c r="N156" s="408"/>
      <c r="O156" s="408"/>
    </row>
    <row r="157" spans="1:15">
      <c r="A157" s="488"/>
      <c r="B157" s="482"/>
      <c r="C157" s="482"/>
      <c r="D157" s="482"/>
      <c r="E157" s="482"/>
      <c r="F157" s="477"/>
      <c r="G157" s="477"/>
      <c r="H157" s="493" t="s">
        <v>291</v>
      </c>
      <c r="I157" s="479"/>
      <c r="J157" s="479">
        <v>13.17</v>
      </c>
      <c r="K157" s="479">
        <v>1785</v>
      </c>
      <c r="L157" s="495">
        <v>23508.45</v>
      </c>
      <c r="M157" s="477"/>
      <c r="N157" s="408"/>
      <c r="O157" s="408"/>
    </row>
    <row r="158" spans="1:15">
      <c r="A158" s="488">
        <v>42705</v>
      </c>
      <c r="B158" s="513">
        <v>24833.8125</v>
      </c>
      <c r="C158" s="513">
        <v>5683.7375000000002</v>
      </c>
      <c r="D158" s="513">
        <v>1959.0375000000001</v>
      </c>
      <c r="E158" s="513">
        <v>32476.587499999998</v>
      </c>
      <c r="F158" s="477"/>
      <c r="G158" s="477"/>
      <c r="H158" s="496"/>
      <c r="I158" s="497"/>
      <c r="J158" s="497"/>
      <c r="K158" s="497"/>
      <c r="L158" s="498"/>
      <c r="M158" s="477"/>
      <c r="N158" s="408"/>
      <c r="O158" s="408"/>
    </row>
    <row r="159" spans="1:15">
      <c r="A159" s="488">
        <v>42736</v>
      </c>
      <c r="B159" s="513">
        <v>24833.812999999998</v>
      </c>
      <c r="C159" s="513">
        <v>5683.7375000000002</v>
      </c>
      <c r="D159" s="513">
        <v>1959.0375000000001</v>
      </c>
      <c r="E159" s="513">
        <v>32476.587999999996</v>
      </c>
      <c r="F159" s="477"/>
      <c r="G159" s="477"/>
      <c r="H159" s="555" t="s">
        <v>284</v>
      </c>
      <c r="I159" s="555"/>
      <c r="J159" s="491">
        <v>218.32999999999998</v>
      </c>
      <c r="K159" s="491">
        <v>1785</v>
      </c>
      <c r="L159" s="499">
        <v>389719.05</v>
      </c>
      <c r="M159" s="477"/>
      <c r="N159" s="408"/>
      <c r="O159" s="408"/>
    </row>
    <row r="160" spans="1:15">
      <c r="A160" s="488">
        <v>42767</v>
      </c>
      <c r="B160" s="513">
        <v>24833.812999999998</v>
      </c>
      <c r="C160" s="513">
        <v>5683.7375000000002</v>
      </c>
      <c r="D160" s="513">
        <v>1959.0375000000001</v>
      </c>
      <c r="E160" s="513">
        <v>32476.587999999996</v>
      </c>
      <c r="F160" s="477"/>
      <c r="G160" s="477"/>
      <c r="H160" s="477"/>
      <c r="I160" s="477"/>
      <c r="J160" s="477"/>
      <c r="K160" s="477"/>
      <c r="L160" s="477"/>
      <c r="M160" s="477"/>
      <c r="N160" s="408"/>
      <c r="O160" s="408"/>
    </row>
    <row r="161" spans="1:15" ht="15.75" thickBot="1">
      <c r="A161" s="488">
        <v>42795</v>
      </c>
      <c r="B161" s="513">
        <v>24833.812999999998</v>
      </c>
      <c r="C161" s="513">
        <v>5683.7375000000002</v>
      </c>
      <c r="D161" s="513">
        <v>1959.0375000000001</v>
      </c>
      <c r="E161" s="513">
        <v>32476.587999999996</v>
      </c>
      <c r="F161" s="477"/>
      <c r="G161" s="477"/>
      <c r="H161" s="477"/>
      <c r="I161" s="477"/>
      <c r="J161" s="477"/>
      <c r="K161" s="477"/>
      <c r="L161" s="477"/>
      <c r="M161" s="477"/>
      <c r="N161" s="408"/>
      <c r="O161" s="408"/>
    </row>
    <row r="162" spans="1:15">
      <c r="A162" s="488">
        <v>42826</v>
      </c>
      <c r="B162" s="513">
        <v>24833.812999999998</v>
      </c>
      <c r="C162" s="513">
        <v>5683.7375000000002</v>
      </c>
      <c r="D162" s="513">
        <v>1959.0375000000001</v>
      </c>
      <c r="E162" s="513">
        <v>32476.587999999996</v>
      </c>
      <c r="F162" s="477"/>
      <c r="G162" s="477"/>
      <c r="H162" s="556" t="s">
        <v>248</v>
      </c>
      <c r="I162" s="557"/>
      <c r="J162" s="557"/>
      <c r="K162" s="558"/>
      <c r="L162" s="477"/>
      <c r="M162" s="477"/>
      <c r="N162" s="408"/>
      <c r="O162" s="408"/>
    </row>
    <row r="163" spans="1:15">
      <c r="A163" s="488">
        <v>42856</v>
      </c>
      <c r="B163" s="513">
        <v>24833.812999999998</v>
      </c>
      <c r="C163" s="513">
        <v>5683.7375000000002</v>
      </c>
      <c r="D163" s="513">
        <v>1959.0375000000001</v>
      </c>
      <c r="E163" s="513">
        <v>32476.587999999996</v>
      </c>
      <c r="F163" s="477"/>
      <c r="G163" s="477"/>
      <c r="H163" s="549" t="s">
        <v>249</v>
      </c>
      <c r="I163" s="550"/>
      <c r="J163" s="550"/>
      <c r="K163" s="551"/>
      <c r="L163" s="477"/>
      <c r="M163" s="477" t="s">
        <v>221</v>
      </c>
      <c r="N163" s="408"/>
      <c r="O163" s="408"/>
    </row>
    <row r="164" spans="1:15" ht="15.75" thickBot="1">
      <c r="A164" s="488">
        <v>42887</v>
      </c>
      <c r="B164" s="513">
        <v>24833.812999999998</v>
      </c>
      <c r="C164" s="513">
        <v>5683.7375000000002</v>
      </c>
      <c r="D164" s="513">
        <v>1959.0375000000001</v>
      </c>
      <c r="E164" s="513">
        <v>32476.587999999996</v>
      </c>
      <c r="F164" s="477"/>
      <c r="G164" s="477"/>
      <c r="H164" s="500"/>
      <c r="I164" s="501" t="s">
        <v>340</v>
      </c>
      <c r="J164" s="501"/>
      <c r="K164" s="502"/>
      <c r="L164" s="477"/>
      <c r="M164" s="477"/>
      <c r="N164" s="408"/>
      <c r="O164" s="408"/>
    </row>
    <row r="165" spans="1:15">
      <c r="A165" s="488">
        <v>42917</v>
      </c>
      <c r="B165" s="513">
        <v>24833.812999999998</v>
      </c>
      <c r="C165" s="513">
        <v>5683.7375000000002</v>
      </c>
      <c r="D165" s="513">
        <v>1959.0375000000001</v>
      </c>
      <c r="E165" s="513">
        <v>32476.587999999996</v>
      </c>
      <c r="F165" s="477"/>
      <c r="G165" s="477"/>
      <c r="H165" s="503" t="s">
        <v>250</v>
      </c>
      <c r="I165" s="504" t="s">
        <v>251</v>
      </c>
      <c r="J165" s="504" t="s">
        <v>252</v>
      </c>
      <c r="K165" s="505" t="s">
        <v>239</v>
      </c>
      <c r="L165" s="477"/>
      <c r="M165" s="477"/>
      <c r="N165" s="408"/>
      <c r="O165" s="408"/>
    </row>
    <row r="166" spans="1:15">
      <c r="A166" s="488">
        <v>42948</v>
      </c>
      <c r="B166" s="513">
        <v>24833.812999999998</v>
      </c>
      <c r="C166" s="513">
        <v>5683.7375000000002</v>
      </c>
      <c r="D166" s="513">
        <v>1959.0375000000001</v>
      </c>
      <c r="E166" s="513">
        <v>32476.587999999996</v>
      </c>
      <c r="F166" s="477"/>
      <c r="G166" s="477"/>
      <c r="H166" s="506" t="s">
        <v>287</v>
      </c>
      <c r="I166" s="489">
        <v>43797</v>
      </c>
      <c r="J166" s="490"/>
      <c r="K166" s="515">
        <v>97429.762499999997</v>
      </c>
      <c r="L166" s="552" t="s">
        <v>292</v>
      </c>
      <c r="M166" s="553"/>
      <c r="N166" s="408"/>
      <c r="O166" s="408"/>
    </row>
    <row r="167" spans="1:15" ht="17.25">
      <c r="A167" s="488">
        <v>42979</v>
      </c>
      <c r="B167" s="513">
        <v>24833.812999999998</v>
      </c>
      <c r="C167" s="513">
        <v>5683.7375000000002</v>
      </c>
      <c r="D167" s="513">
        <v>1959.0375000000001</v>
      </c>
      <c r="E167" s="513">
        <v>32476.587999999996</v>
      </c>
      <c r="F167" s="477"/>
      <c r="G167" s="477"/>
      <c r="H167" s="507" t="s">
        <v>255</v>
      </c>
      <c r="I167" s="480">
        <v>43889</v>
      </c>
      <c r="J167" s="481"/>
      <c r="K167" s="515">
        <v>97429.762499999997</v>
      </c>
      <c r="L167" s="552" t="s">
        <v>292</v>
      </c>
      <c r="M167" s="553"/>
      <c r="N167" s="408"/>
      <c r="O167" s="408"/>
    </row>
    <row r="168" spans="1:15" ht="17.25">
      <c r="A168" s="488">
        <v>43009</v>
      </c>
      <c r="B168" s="513">
        <v>24833.812999999998</v>
      </c>
      <c r="C168" s="513">
        <v>5683.7375000000002</v>
      </c>
      <c r="D168" s="513">
        <v>1959.0375000000001</v>
      </c>
      <c r="E168" s="513">
        <v>32476.587999999996</v>
      </c>
      <c r="F168" s="477"/>
      <c r="G168" s="477"/>
      <c r="H168" s="507" t="s">
        <v>257</v>
      </c>
      <c r="I168" s="480">
        <v>43976</v>
      </c>
      <c r="J168" s="481"/>
      <c r="K168" s="515">
        <v>97429.762499999997</v>
      </c>
      <c r="L168" s="552" t="s">
        <v>292</v>
      </c>
      <c r="M168" s="553"/>
      <c r="N168" s="408"/>
      <c r="O168" s="408"/>
    </row>
    <row r="169" spans="1:15" ht="17.25">
      <c r="A169" s="488">
        <v>43040</v>
      </c>
      <c r="B169" s="513">
        <v>24833.812999999998</v>
      </c>
      <c r="C169" s="513">
        <v>5683.7375000000002</v>
      </c>
      <c r="D169" s="513">
        <v>1959.0375000000001</v>
      </c>
      <c r="E169" s="513">
        <v>32476.587999999996</v>
      </c>
      <c r="F169" s="477"/>
      <c r="G169" s="477"/>
      <c r="H169" s="507" t="s">
        <v>259</v>
      </c>
      <c r="I169" s="480">
        <v>44071</v>
      </c>
      <c r="J169" s="481"/>
      <c r="K169" s="515">
        <v>97429.762499999997</v>
      </c>
      <c r="L169" s="552" t="s">
        <v>292</v>
      </c>
      <c r="M169" s="553"/>
      <c r="N169" s="408"/>
      <c r="O169" s="408"/>
    </row>
    <row r="170" spans="1:15">
      <c r="A170" s="482"/>
      <c r="B170" s="482"/>
      <c r="C170" s="482"/>
      <c r="D170" s="482"/>
      <c r="E170" s="482"/>
      <c r="F170" s="477"/>
      <c r="G170" s="477"/>
      <c r="H170" s="508"/>
      <c r="I170" s="509"/>
      <c r="J170" s="510"/>
      <c r="K170" s="516"/>
      <c r="L170" s="477"/>
      <c r="M170" s="477"/>
      <c r="N170" s="408"/>
      <c r="O170" s="408"/>
    </row>
    <row r="171" spans="1:15" ht="15.75" thickBot="1">
      <c r="A171" s="487" t="s">
        <v>206</v>
      </c>
      <c r="B171" s="514">
        <v>298005.75549999997</v>
      </c>
      <c r="C171" s="514">
        <v>68204.85000000002</v>
      </c>
      <c r="D171" s="514">
        <v>23508.449999999997</v>
      </c>
      <c r="E171" s="514">
        <v>389719.0554999999</v>
      </c>
      <c r="F171" s="477"/>
      <c r="G171" s="477"/>
      <c r="H171" s="511" t="s">
        <v>206</v>
      </c>
      <c r="I171" s="512"/>
      <c r="J171" s="512"/>
      <c r="K171" s="513">
        <v>389719.05</v>
      </c>
      <c r="L171" s="477"/>
      <c r="M171" s="477"/>
      <c r="N171" s="408"/>
      <c r="O171" s="408"/>
    </row>
    <row r="172" spans="1:15">
      <c r="A172" s="408"/>
      <c r="B172" s="408"/>
      <c r="C172" s="408"/>
      <c r="D172" s="408"/>
      <c r="E172" s="408"/>
      <c r="F172" s="408"/>
      <c r="G172" s="408"/>
      <c r="H172" s="408"/>
      <c r="I172" s="408"/>
      <c r="J172" s="408"/>
      <c r="K172" s="408"/>
      <c r="L172" s="408"/>
      <c r="M172" s="408"/>
      <c r="N172" s="408"/>
      <c r="O172" s="408"/>
    </row>
    <row r="173" spans="1:15">
      <c r="A173" s="40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08"/>
    </row>
    <row r="174" spans="1:15">
      <c r="A174" s="408"/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08"/>
    </row>
    <row r="175" spans="1:15" ht="18.75">
      <c r="A175" s="484"/>
      <c r="B175" s="485"/>
      <c r="C175" s="485"/>
      <c r="D175" s="485"/>
      <c r="E175" s="566" t="s">
        <v>344</v>
      </c>
      <c r="F175" s="566"/>
      <c r="G175" s="566"/>
      <c r="H175" s="566"/>
      <c r="I175" s="566"/>
      <c r="J175" s="566"/>
      <c r="K175" s="566"/>
      <c r="L175" s="485"/>
      <c r="M175" s="485"/>
      <c r="N175" s="408"/>
      <c r="O175" s="408"/>
    </row>
    <row r="176" spans="1:15">
      <c r="A176" s="477"/>
      <c r="B176" s="477"/>
      <c r="C176" s="477"/>
      <c r="D176" s="477"/>
      <c r="E176" s="477"/>
      <c r="F176" s="477"/>
      <c r="G176" s="477"/>
      <c r="H176" s="477"/>
      <c r="I176" s="477"/>
      <c r="J176" s="477"/>
      <c r="K176" s="477"/>
      <c r="L176" s="477"/>
      <c r="M176" s="477"/>
      <c r="N176" s="408"/>
      <c r="O176" s="408"/>
    </row>
    <row r="177" spans="1:15">
      <c r="A177" s="477"/>
      <c r="B177" s="477"/>
      <c r="C177" s="477"/>
      <c r="D177" s="477"/>
      <c r="E177" s="477"/>
      <c r="F177" s="477"/>
      <c r="G177" s="477"/>
      <c r="H177" s="477"/>
      <c r="I177" s="477"/>
      <c r="J177" s="477"/>
      <c r="K177" s="477"/>
      <c r="L177" s="477"/>
      <c r="M177" s="477"/>
      <c r="N177" s="408"/>
      <c r="O177" s="408"/>
    </row>
    <row r="178" spans="1:15">
      <c r="A178" s="477"/>
      <c r="B178" s="554" t="s">
        <v>262</v>
      </c>
      <c r="C178" s="554"/>
      <c r="D178" s="554"/>
      <c r="E178" s="486"/>
      <c r="F178" s="477"/>
      <c r="G178" s="477"/>
      <c r="H178" s="477"/>
      <c r="I178" s="477"/>
      <c r="J178" s="477"/>
      <c r="K178" s="477"/>
      <c r="L178" s="477"/>
      <c r="M178" s="477"/>
      <c r="N178" s="408"/>
      <c r="O178" s="408"/>
    </row>
    <row r="179" spans="1:15">
      <c r="A179" s="477"/>
      <c r="B179" s="554" t="s">
        <v>263</v>
      </c>
      <c r="C179" s="554"/>
      <c r="D179" s="554"/>
      <c r="E179" s="486"/>
      <c r="F179" s="477"/>
      <c r="G179" s="477"/>
      <c r="H179" s="491"/>
      <c r="I179" s="491"/>
      <c r="J179" s="492" t="s">
        <v>278</v>
      </c>
      <c r="K179" s="491" t="s">
        <v>279</v>
      </c>
      <c r="L179" s="491" t="s">
        <v>280</v>
      </c>
      <c r="M179" s="477"/>
      <c r="N179" s="408"/>
      <c r="O179" s="408"/>
    </row>
    <row r="180" spans="1:15">
      <c r="A180" s="477"/>
      <c r="B180" s="477"/>
      <c r="C180" s="477"/>
      <c r="D180" s="477"/>
      <c r="E180" s="477"/>
      <c r="F180" s="477"/>
      <c r="G180" s="477"/>
      <c r="H180" s="493" t="s">
        <v>274</v>
      </c>
      <c r="I180" s="479"/>
      <c r="J180" s="479">
        <v>166.95</v>
      </c>
      <c r="K180" s="494">
        <v>1785</v>
      </c>
      <c r="L180" s="495">
        <v>298005.75</v>
      </c>
      <c r="M180" s="477"/>
      <c r="N180" s="408"/>
      <c r="O180" s="408"/>
    </row>
    <row r="181" spans="1:15" ht="60">
      <c r="A181" s="483" t="s">
        <v>264</v>
      </c>
      <c r="B181" s="483" t="s">
        <v>274</v>
      </c>
      <c r="C181" s="487" t="s">
        <v>275</v>
      </c>
      <c r="D181" s="487" t="s">
        <v>276</v>
      </c>
      <c r="E181" s="483" t="s">
        <v>206</v>
      </c>
      <c r="F181" s="477"/>
      <c r="G181" s="477"/>
      <c r="H181" s="493" t="s">
        <v>281</v>
      </c>
      <c r="I181" s="479"/>
      <c r="J181" s="479">
        <v>39.36</v>
      </c>
      <c r="K181" s="479">
        <v>1785</v>
      </c>
      <c r="L181" s="495">
        <v>70257.600000000006</v>
      </c>
      <c r="M181" s="477"/>
      <c r="N181" s="408"/>
      <c r="O181" s="408"/>
    </row>
    <row r="182" spans="1:15">
      <c r="A182" s="488"/>
      <c r="B182" s="482"/>
      <c r="C182" s="482"/>
      <c r="D182" s="482"/>
      <c r="E182" s="482"/>
      <c r="F182" s="477"/>
      <c r="G182" s="477"/>
      <c r="H182" s="493" t="s">
        <v>291</v>
      </c>
      <c r="I182" s="479"/>
      <c r="J182" s="479">
        <v>13.57</v>
      </c>
      <c r="K182" s="479">
        <v>1785</v>
      </c>
      <c r="L182" s="495">
        <v>24222.45</v>
      </c>
      <c r="M182" s="477"/>
      <c r="N182" s="408"/>
      <c r="O182" s="408"/>
    </row>
    <row r="183" spans="1:15">
      <c r="A183" s="488">
        <v>42705</v>
      </c>
      <c r="B183" s="513">
        <v>24833.8125</v>
      </c>
      <c r="C183" s="513">
        <v>5854.8</v>
      </c>
      <c r="D183" s="513">
        <v>2018.5375000000001</v>
      </c>
      <c r="E183" s="513">
        <v>32707.149999999998</v>
      </c>
      <c r="F183" s="477"/>
      <c r="G183" s="477"/>
      <c r="H183" s="496"/>
      <c r="I183" s="497"/>
      <c r="J183" s="497"/>
      <c r="K183" s="497"/>
      <c r="L183" s="498"/>
      <c r="M183" s="477"/>
      <c r="N183" s="408"/>
      <c r="O183" s="408"/>
    </row>
    <row r="184" spans="1:15">
      <c r="A184" s="488">
        <v>42736</v>
      </c>
      <c r="B184" s="513">
        <v>24833.8125</v>
      </c>
      <c r="C184" s="513">
        <v>5854.8</v>
      </c>
      <c r="D184" s="513">
        <v>2018.5375000000001</v>
      </c>
      <c r="E184" s="513">
        <v>32707.149999999998</v>
      </c>
      <c r="F184" s="477"/>
      <c r="G184" s="477"/>
      <c r="H184" s="555" t="s">
        <v>284</v>
      </c>
      <c r="I184" s="555"/>
      <c r="J184" s="491">
        <v>219.88</v>
      </c>
      <c r="K184" s="491">
        <v>1785</v>
      </c>
      <c r="L184" s="499">
        <v>392485.8</v>
      </c>
      <c r="M184" s="477"/>
      <c r="N184" s="408"/>
      <c r="O184" s="408"/>
    </row>
    <row r="185" spans="1:15">
      <c r="A185" s="488">
        <v>42767</v>
      </c>
      <c r="B185" s="513">
        <v>24833.8125</v>
      </c>
      <c r="C185" s="513">
        <v>5854.8</v>
      </c>
      <c r="D185" s="513">
        <v>2018.5375000000001</v>
      </c>
      <c r="E185" s="513">
        <v>32707.149999999998</v>
      </c>
      <c r="F185" s="477"/>
      <c r="G185" s="477"/>
      <c r="H185" s="477"/>
      <c r="I185" s="477"/>
      <c r="J185" s="477"/>
      <c r="K185" s="477"/>
      <c r="L185" s="477"/>
      <c r="M185" s="477"/>
      <c r="N185" s="408"/>
      <c r="O185" s="408"/>
    </row>
    <row r="186" spans="1:15" ht="15.75" thickBot="1">
      <c r="A186" s="488">
        <v>42795</v>
      </c>
      <c r="B186" s="513">
        <v>24833.8125</v>
      </c>
      <c r="C186" s="513">
        <v>5854.8</v>
      </c>
      <c r="D186" s="513">
        <v>2018.5375000000001</v>
      </c>
      <c r="E186" s="513">
        <v>32707.149999999998</v>
      </c>
      <c r="F186" s="477"/>
      <c r="G186" s="477"/>
      <c r="H186" s="477"/>
      <c r="I186" s="477"/>
      <c r="J186" s="477"/>
      <c r="K186" s="477"/>
      <c r="L186" s="477"/>
      <c r="M186" s="477"/>
      <c r="N186" s="408"/>
      <c r="O186" s="408"/>
    </row>
    <row r="187" spans="1:15">
      <c r="A187" s="488">
        <v>42826</v>
      </c>
      <c r="B187" s="513">
        <v>24833.8125</v>
      </c>
      <c r="C187" s="513">
        <v>5854.8</v>
      </c>
      <c r="D187" s="513">
        <v>2018.5375000000001</v>
      </c>
      <c r="E187" s="513">
        <v>32707.149999999998</v>
      </c>
      <c r="F187" s="477"/>
      <c r="G187" s="477"/>
      <c r="H187" s="556" t="s">
        <v>248</v>
      </c>
      <c r="I187" s="557"/>
      <c r="J187" s="557"/>
      <c r="K187" s="558"/>
      <c r="L187" s="477"/>
      <c r="M187" s="477"/>
      <c r="N187" s="408"/>
      <c r="O187" s="408"/>
    </row>
    <row r="188" spans="1:15">
      <c r="A188" s="488">
        <v>42856</v>
      </c>
      <c r="B188" s="513">
        <v>24833.8125</v>
      </c>
      <c r="C188" s="513">
        <v>5854.8</v>
      </c>
      <c r="D188" s="513">
        <v>2018.5375000000001</v>
      </c>
      <c r="E188" s="513">
        <v>32707.149999999998</v>
      </c>
      <c r="F188" s="477"/>
      <c r="G188" s="477"/>
      <c r="H188" s="549" t="s">
        <v>249</v>
      </c>
      <c r="I188" s="550"/>
      <c r="J188" s="550"/>
      <c r="K188" s="551"/>
      <c r="L188" s="477"/>
      <c r="M188" s="477" t="s">
        <v>221</v>
      </c>
      <c r="N188" s="408"/>
      <c r="O188" s="408"/>
    </row>
    <row r="189" spans="1:15" ht="15.75" thickBot="1">
      <c r="A189" s="488">
        <v>42887</v>
      </c>
      <c r="B189" s="513">
        <v>24833.8125</v>
      </c>
      <c r="C189" s="513">
        <v>5854.8</v>
      </c>
      <c r="D189" s="513">
        <v>2018.5375000000001</v>
      </c>
      <c r="E189" s="513">
        <v>32707.149999999998</v>
      </c>
      <c r="F189" s="477"/>
      <c r="G189" s="477"/>
      <c r="H189" s="500"/>
      <c r="I189" s="501" t="s">
        <v>340</v>
      </c>
      <c r="J189" s="501"/>
      <c r="K189" s="502"/>
      <c r="L189" s="477"/>
      <c r="M189" s="477"/>
      <c r="N189" s="408"/>
      <c r="O189" s="408"/>
    </row>
    <row r="190" spans="1:15">
      <c r="A190" s="488">
        <v>42917</v>
      </c>
      <c r="B190" s="513">
        <v>24833.8125</v>
      </c>
      <c r="C190" s="513">
        <v>5854.8</v>
      </c>
      <c r="D190" s="513">
        <v>2018.5375000000001</v>
      </c>
      <c r="E190" s="513">
        <v>32707.149999999998</v>
      </c>
      <c r="F190" s="477"/>
      <c r="G190" s="477"/>
      <c r="H190" s="503" t="s">
        <v>250</v>
      </c>
      <c r="I190" s="504" t="s">
        <v>251</v>
      </c>
      <c r="J190" s="504" t="s">
        <v>252</v>
      </c>
      <c r="K190" s="505" t="s">
        <v>239</v>
      </c>
      <c r="L190" s="477"/>
      <c r="M190" s="477"/>
      <c r="N190" s="408"/>
      <c r="O190" s="408"/>
    </row>
    <row r="191" spans="1:15">
      <c r="A191" s="488">
        <v>42948</v>
      </c>
      <c r="B191" s="513">
        <v>24833.8125</v>
      </c>
      <c r="C191" s="513">
        <v>5854.8</v>
      </c>
      <c r="D191" s="513">
        <v>2018.5375000000001</v>
      </c>
      <c r="E191" s="513">
        <v>32707.149999999998</v>
      </c>
      <c r="F191" s="477"/>
      <c r="G191" s="477"/>
      <c r="H191" s="506" t="s">
        <v>287</v>
      </c>
      <c r="I191" s="489">
        <v>44163</v>
      </c>
      <c r="J191" s="490"/>
      <c r="K191" s="515">
        <v>98121.45</v>
      </c>
      <c r="L191" s="552" t="s">
        <v>292</v>
      </c>
      <c r="M191" s="553"/>
      <c r="N191" s="408"/>
      <c r="O191" s="408"/>
    </row>
    <row r="192" spans="1:15" ht="17.25">
      <c r="A192" s="488">
        <v>42979</v>
      </c>
      <c r="B192" s="513">
        <v>24833.8125</v>
      </c>
      <c r="C192" s="513">
        <v>5854.8</v>
      </c>
      <c r="D192" s="513">
        <v>2018.5375000000001</v>
      </c>
      <c r="E192" s="513">
        <v>32707.149999999998</v>
      </c>
      <c r="F192" s="477"/>
      <c r="G192" s="477"/>
      <c r="H192" s="507" t="s">
        <v>255</v>
      </c>
      <c r="I192" s="480">
        <v>44255</v>
      </c>
      <c r="J192" s="481"/>
      <c r="K192" s="515">
        <v>98121.45</v>
      </c>
      <c r="L192" s="552" t="s">
        <v>292</v>
      </c>
      <c r="M192" s="553"/>
      <c r="N192" s="408"/>
      <c r="O192" s="408"/>
    </row>
    <row r="193" spans="1:15" ht="17.25">
      <c r="A193" s="488">
        <v>43009</v>
      </c>
      <c r="B193" s="513">
        <v>24833.8125</v>
      </c>
      <c r="C193" s="513">
        <v>5854.8</v>
      </c>
      <c r="D193" s="513">
        <v>2018.5375000000001</v>
      </c>
      <c r="E193" s="513">
        <v>32707.149999999998</v>
      </c>
      <c r="F193" s="477"/>
      <c r="G193" s="477"/>
      <c r="H193" s="507" t="s">
        <v>257</v>
      </c>
      <c r="I193" s="480">
        <v>44341</v>
      </c>
      <c r="J193" s="481"/>
      <c r="K193" s="515">
        <v>98121.45</v>
      </c>
      <c r="L193" s="552" t="s">
        <v>292</v>
      </c>
      <c r="M193" s="553"/>
      <c r="N193" s="408"/>
      <c r="O193" s="408"/>
    </row>
    <row r="194" spans="1:15" ht="17.25">
      <c r="A194" s="488">
        <v>43040</v>
      </c>
      <c r="B194" s="513">
        <v>24833.8125</v>
      </c>
      <c r="C194" s="513">
        <v>5854.8</v>
      </c>
      <c r="D194" s="513">
        <v>2018.5375000000001</v>
      </c>
      <c r="E194" s="513">
        <v>32707.149999999998</v>
      </c>
      <c r="F194" s="477"/>
      <c r="G194" s="477"/>
      <c r="H194" s="507" t="s">
        <v>259</v>
      </c>
      <c r="I194" s="480">
        <v>44436</v>
      </c>
      <c r="J194" s="481"/>
      <c r="K194" s="515">
        <v>98121.45</v>
      </c>
      <c r="L194" s="552" t="s">
        <v>292</v>
      </c>
      <c r="M194" s="553"/>
      <c r="N194" s="408"/>
      <c r="O194" s="408"/>
    </row>
    <row r="195" spans="1:15">
      <c r="A195" s="482"/>
      <c r="B195" s="482"/>
      <c r="C195" s="482"/>
      <c r="D195" s="482"/>
      <c r="E195" s="482"/>
      <c r="F195" s="477"/>
      <c r="G195" s="477"/>
      <c r="H195" s="508"/>
      <c r="I195" s="509"/>
      <c r="J195" s="510"/>
      <c r="K195" s="516"/>
      <c r="L195" s="477"/>
      <c r="M195" s="477"/>
      <c r="N195" s="408"/>
      <c r="O195" s="408"/>
    </row>
    <row r="196" spans="1:15" ht="15.75" thickBot="1">
      <c r="A196" s="487" t="s">
        <v>206</v>
      </c>
      <c r="B196" s="514">
        <v>298005.75</v>
      </c>
      <c r="C196" s="514">
        <v>70257.60000000002</v>
      </c>
      <c r="D196" s="514">
        <v>24222.449999999997</v>
      </c>
      <c r="E196" s="514">
        <v>392485.80000000005</v>
      </c>
      <c r="F196" s="477"/>
      <c r="G196" s="477"/>
      <c r="H196" s="511" t="s">
        <v>206</v>
      </c>
      <c r="I196" s="512"/>
      <c r="J196" s="512"/>
      <c r="K196" s="513">
        <v>392485.8</v>
      </c>
      <c r="L196" s="477"/>
      <c r="M196" s="477"/>
      <c r="N196" s="408"/>
      <c r="O196" s="408"/>
    </row>
    <row r="197" spans="1:15">
      <c r="A197" s="408"/>
      <c r="B197" s="408"/>
      <c r="C197" s="408"/>
      <c r="D197" s="408"/>
      <c r="E197" s="408"/>
      <c r="F197" s="408"/>
      <c r="G197" s="408"/>
      <c r="H197" s="408"/>
      <c r="I197" s="408"/>
      <c r="J197" s="408"/>
      <c r="K197" s="408"/>
      <c r="L197" s="408"/>
      <c r="M197" s="408"/>
      <c r="N197" s="408"/>
      <c r="O197" s="408"/>
    </row>
    <row r="198" spans="1:15">
      <c r="A198" s="40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08"/>
    </row>
    <row r="199" spans="1:15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08"/>
    </row>
    <row r="200" spans="1:15" ht="18.75">
      <c r="A200" s="484"/>
      <c r="B200" s="485"/>
      <c r="C200" s="485"/>
      <c r="D200" s="485"/>
      <c r="E200" s="566" t="s">
        <v>345</v>
      </c>
      <c r="F200" s="566"/>
      <c r="G200" s="566"/>
      <c r="H200" s="566"/>
      <c r="I200" s="566"/>
      <c r="J200" s="566"/>
      <c r="K200" s="566"/>
      <c r="L200" s="485"/>
      <c r="M200" s="485"/>
      <c r="N200" s="408"/>
      <c r="O200" s="408"/>
    </row>
    <row r="201" spans="1:15">
      <c r="A201" s="477"/>
      <c r="B201" s="477"/>
      <c r="C201" s="477"/>
      <c r="D201" s="477"/>
      <c r="E201" s="477"/>
      <c r="F201" s="477"/>
      <c r="G201" s="477"/>
      <c r="H201" s="477"/>
      <c r="I201" s="477"/>
      <c r="J201" s="477"/>
      <c r="K201" s="477"/>
      <c r="L201" s="477"/>
      <c r="M201" s="477"/>
      <c r="N201" s="408"/>
      <c r="O201" s="408"/>
    </row>
    <row r="202" spans="1:15">
      <c r="A202" s="477"/>
      <c r="B202" s="477"/>
      <c r="C202" s="477"/>
      <c r="D202" s="477"/>
      <c r="E202" s="477"/>
      <c r="F202" s="477"/>
      <c r="G202" s="477"/>
      <c r="H202" s="477"/>
      <c r="I202" s="477"/>
      <c r="J202" s="477"/>
      <c r="K202" s="477"/>
      <c r="L202" s="477"/>
      <c r="M202" s="477"/>
      <c r="N202" s="408"/>
      <c r="O202" s="408"/>
    </row>
    <row r="203" spans="1:15">
      <c r="A203" s="477"/>
      <c r="B203" s="554" t="s">
        <v>262</v>
      </c>
      <c r="C203" s="554"/>
      <c r="D203" s="554"/>
      <c r="E203" s="486"/>
      <c r="F203" s="477"/>
      <c r="G203" s="477"/>
      <c r="H203" s="477"/>
      <c r="I203" s="477"/>
      <c r="J203" s="477"/>
      <c r="K203" s="477"/>
      <c r="L203" s="477"/>
      <c r="M203" s="477"/>
      <c r="N203" s="408"/>
      <c r="O203" s="408"/>
    </row>
    <row r="204" spans="1:15">
      <c r="A204" s="477"/>
      <c r="B204" s="554" t="s">
        <v>263</v>
      </c>
      <c r="C204" s="554"/>
      <c r="D204" s="554"/>
      <c r="E204" s="486"/>
      <c r="F204" s="477"/>
      <c r="G204" s="477"/>
      <c r="H204" s="491"/>
      <c r="I204" s="491"/>
      <c r="J204" s="492" t="s">
        <v>278</v>
      </c>
      <c r="K204" s="491" t="s">
        <v>279</v>
      </c>
      <c r="L204" s="491" t="s">
        <v>280</v>
      </c>
      <c r="M204" s="477"/>
      <c r="N204" s="408"/>
      <c r="O204" s="408"/>
    </row>
    <row r="205" spans="1:15">
      <c r="A205" s="477"/>
      <c r="B205" s="477"/>
      <c r="C205" s="477"/>
      <c r="D205" s="477"/>
      <c r="E205" s="477"/>
      <c r="F205" s="477"/>
      <c r="G205" s="477"/>
      <c r="H205" s="493" t="s">
        <v>274</v>
      </c>
      <c r="I205" s="479"/>
      <c r="J205" s="479">
        <v>166.95</v>
      </c>
      <c r="K205" s="494">
        <v>1785</v>
      </c>
      <c r="L205" s="495">
        <v>298005.75</v>
      </c>
      <c r="M205" s="477"/>
      <c r="N205" s="408"/>
      <c r="O205" s="408"/>
    </row>
    <row r="206" spans="1:15" ht="60">
      <c r="A206" s="483" t="s">
        <v>264</v>
      </c>
      <c r="B206" s="483" t="s">
        <v>274</v>
      </c>
      <c r="C206" s="487" t="s">
        <v>275</v>
      </c>
      <c r="D206" s="487" t="s">
        <v>276</v>
      </c>
      <c r="E206" s="483" t="s">
        <v>206</v>
      </c>
      <c r="F206" s="477"/>
      <c r="G206" s="477"/>
      <c r="H206" s="493" t="s">
        <v>281</v>
      </c>
      <c r="I206" s="479"/>
      <c r="J206" s="479">
        <v>40.54</v>
      </c>
      <c r="K206" s="479">
        <v>1785</v>
      </c>
      <c r="L206" s="495">
        <v>72363.899999999994</v>
      </c>
      <c r="M206" s="477"/>
      <c r="N206" s="408"/>
      <c r="O206" s="408"/>
    </row>
    <row r="207" spans="1:15">
      <c r="A207" s="488"/>
      <c r="B207" s="482"/>
      <c r="C207" s="482"/>
      <c r="D207" s="482"/>
      <c r="E207" s="482"/>
      <c r="F207" s="477"/>
      <c r="G207" s="477"/>
      <c r="H207" s="493" t="s">
        <v>291</v>
      </c>
      <c r="I207" s="479"/>
      <c r="J207" s="479">
        <v>13.98</v>
      </c>
      <c r="K207" s="479">
        <v>1785</v>
      </c>
      <c r="L207" s="495">
        <v>24954.3</v>
      </c>
      <c r="M207" s="477"/>
      <c r="N207" s="408"/>
      <c r="O207" s="408"/>
    </row>
    <row r="208" spans="1:15">
      <c r="A208" s="488">
        <v>42705</v>
      </c>
      <c r="B208" s="513">
        <v>24833.8125</v>
      </c>
      <c r="C208" s="513">
        <v>6030.3249999999998</v>
      </c>
      <c r="D208" s="513">
        <v>2079.5250000000001</v>
      </c>
      <c r="E208" s="513">
        <v>32943.662499999999</v>
      </c>
      <c r="F208" s="477"/>
      <c r="G208" s="477"/>
      <c r="H208" s="496"/>
      <c r="I208" s="497"/>
      <c r="J208" s="497"/>
      <c r="K208" s="497"/>
      <c r="L208" s="498"/>
      <c r="M208" s="477"/>
      <c r="N208" s="408"/>
      <c r="O208" s="408"/>
    </row>
    <row r="209" spans="1:15">
      <c r="A209" s="488">
        <v>42736</v>
      </c>
      <c r="B209" s="513">
        <v>24833.8125</v>
      </c>
      <c r="C209" s="513">
        <v>6030.3249999999998</v>
      </c>
      <c r="D209" s="513">
        <v>2079.5250000000001</v>
      </c>
      <c r="E209" s="513">
        <v>32943.662499999999</v>
      </c>
      <c r="F209" s="477"/>
      <c r="G209" s="477"/>
      <c r="H209" s="555" t="s">
        <v>284</v>
      </c>
      <c r="I209" s="555"/>
      <c r="J209" s="491">
        <v>221.46999999999997</v>
      </c>
      <c r="K209" s="491">
        <v>1785</v>
      </c>
      <c r="L209" s="499">
        <v>395323.95</v>
      </c>
      <c r="M209" s="477"/>
      <c r="N209" s="408"/>
      <c r="O209" s="408"/>
    </row>
    <row r="210" spans="1:15">
      <c r="A210" s="488">
        <v>42767</v>
      </c>
      <c r="B210" s="513">
        <v>24833.8125</v>
      </c>
      <c r="C210" s="513">
        <v>6030.3249999999998</v>
      </c>
      <c r="D210" s="513">
        <v>2079.5250000000001</v>
      </c>
      <c r="E210" s="513">
        <v>32943.662499999999</v>
      </c>
      <c r="F210" s="477"/>
      <c r="G210" s="477"/>
      <c r="H210" s="477"/>
      <c r="I210" s="477"/>
      <c r="J210" s="477"/>
      <c r="K210" s="477"/>
      <c r="L210" s="477"/>
      <c r="M210" s="477"/>
      <c r="N210" s="408"/>
      <c r="O210" s="408"/>
    </row>
    <row r="211" spans="1:15" ht="15.75" thickBot="1">
      <c r="A211" s="488">
        <v>42795</v>
      </c>
      <c r="B211" s="513">
        <v>24833.8125</v>
      </c>
      <c r="C211" s="513">
        <v>6030.3249999999998</v>
      </c>
      <c r="D211" s="513">
        <v>2079.5250000000001</v>
      </c>
      <c r="E211" s="513">
        <v>32943.662499999999</v>
      </c>
      <c r="F211" s="477"/>
      <c r="G211" s="477"/>
      <c r="H211" s="477"/>
      <c r="I211" s="477"/>
      <c r="J211" s="477"/>
      <c r="K211" s="477"/>
      <c r="L211" s="477"/>
      <c r="M211" s="477"/>
      <c r="N211" s="408"/>
      <c r="O211" s="408"/>
    </row>
    <row r="212" spans="1:15">
      <c r="A212" s="488">
        <v>42826</v>
      </c>
      <c r="B212" s="513">
        <v>24833.8125</v>
      </c>
      <c r="C212" s="513">
        <v>6030.3249999999998</v>
      </c>
      <c r="D212" s="513">
        <v>2079.5250000000001</v>
      </c>
      <c r="E212" s="513">
        <v>32943.662499999999</v>
      </c>
      <c r="F212" s="477"/>
      <c r="G212" s="477"/>
      <c r="H212" s="556" t="s">
        <v>248</v>
      </c>
      <c r="I212" s="557"/>
      <c r="J212" s="557"/>
      <c r="K212" s="558"/>
      <c r="L212" s="477"/>
      <c r="M212" s="477"/>
      <c r="N212" s="408"/>
      <c r="O212" s="408"/>
    </row>
    <row r="213" spans="1:15">
      <c r="A213" s="488">
        <v>42856</v>
      </c>
      <c r="B213" s="513">
        <v>24833.8125</v>
      </c>
      <c r="C213" s="513">
        <v>6030.3249999999998</v>
      </c>
      <c r="D213" s="513">
        <v>2079.5250000000001</v>
      </c>
      <c r="E213" s="513">
        <v>32943.662499999999</v>
      </c>
      <c r="F213" s="477"/>
      <c r="G213" s="477"/>
      <c r="H213" s="549" t="s">
        <v>249</v>
      </c>
      <c r="I213" s="550"/>
      <c r="J213" s="550"/>
      <c r="K213" s="551"/>
      <c r="L213" s="477"/>
      <c r="M213" s="477" t="s">
        <v>221</v>
      </c>
      <c r="N213" s="408"/>
      <c r="O213" s="408"/>
    </row>
    <row r="214" spans="1:15" ht="15.75" thickBot="1">
      <c r="A214" s="488">
        <v>42887</v>
      </c>
      <c r="B214" s="513">
        <v>24833.8125</v>
      </c>
      <c r="C214" s="513">
        <v>6030.3249999999998</v>
      </c>
      <c r="D214" s="513">
        <v>2079.5250000000001</v>
      </c>
      <c r="E214" s="513">
        <v>32943.662499999999</v>
      </c>
      <c r="F214" s="477"/>
      <c r="G214" s="477"/>
      <c r="H214" s="500"/>
      <c r="I214" s="501" t="s">
        <v>340</v>
      </c>
      <c r="J214" s="501"/>
      <c r="K214" s="502"/>
      <c r="L214" s="477"/>
      <c r="M214" s="477"/>
      <c r="N214" s="408"/>
      <c r="O214" s="408"/>
    </row>
    <row r="215" spans="1:15">
      <c r="A215" s="488">
        <v>42917</v>
      </c>
      <c r="B215" s="513">
        <v>24833.8125</v>
      </c>
      <c r="C215" s="513">
        <v>6030.3249999999998</v>
      </c>
      <c r="D215" s="513">
        <v>2079.5250000000001</v>
      </c>
      <c r="E215" s="513">
        <v>32943.662499999999</v>
      </c>
      <c r="F215" s="477"/>
      <c r="G215" s="477"/>
      <c r="H215" s="503" t="s">
        <v>250</v>
      </c>
      <c r="I215" s="504" t="s">
        <v>251</v>
      </c>
      <c r="J215" s="504" t="s">
        <v>252</v>
      </c>
      <c r="K215" s="505" t="s">
        <v>239</v>
      </c>
      <c r="L215" s="477"/>
      <c r="M215" s="477"/>
      <c r="N215" s="408"/>
      <c r="O215" s="408"/>
    </row>
    <row r="216" spans="1:15">
      <c r="A216" s="488">
        <v>42948</v>
      </c>
      <c r="B216" s="513">
        <v>24833.8125</v>
      </c>
      <c r="C216" s="513">
        <v>6030.3249999999998</v>
      </c>
      <c r="D216" s="513">
        <v>2079.5250000000001</v>
      </c>
      <c r="E216" s="513">
        <v>32943.662499999999</v>
      </c>
      <c r="F216" s="477"/>
      <c r="G216" s="477"/>
      <c r="H216" s="506" t="s">
        <v>287</v>
      </c>
      <c r="I216" s="489">
        <v>44528</v>
      </c>
      <c r="J216" s="490"/>
      <c r="K216" s="515">
        <v>98830.987500000003</v>
      </c>
      <c r="L216" s="552" t="s">
        <v>292</v>
      </c>
      <c r="M216" s="553"/>
      <c r="N216" s="408"/>
      <c r="O216" s="408"/>
    </row>
    <row r="217" spans="1:15" ht="17.25">
      <c r="A217" s="488">
        <v>42979</v>
      </c>
      <c r="B217" s="513">
        <v>24833.8125</v>
      </c>
      <c r="C217" s="513">
        <v>6030.3249999999998</v>
      </c>
      <c r="D217" s="513">
        <v>2079.5250000000001</v>
      </c>
      <c r="E217" s="513">
        <v>32943.662499999999</v>
      </c>
      <c r="F217" s="477"/>
      <c r="G217" s="477"/>
      <c r="H217" s="507" t="s">
        <v>255</v>
      </c>
      <c r="I217" s="480">
        <v>44620</v>
      </c>
      <c r="J217" s="481"/>
      <c r="K217" s="515">
        <v>98830.987500000003</v>
      </c>
      <c r="L217" s="552" t="s">
        <v>292</v>
      </c>
      <c r="M217" s="553"/>
      <c r="N217" s="408"/>
      <c r="O217" s="408"/>
    </row>
    <row r="218" spans="1:15" ht="17.25">
      <c r="A218" s="488">
        <v>43009</v>
      </c>
      <c r="B218" s="513">
        <v>24833.8125</v>
      </c>
      <c r="C218" s="513">
        <v>6030.3249999999998</v>
      </c>
      <c r="D218" s="513">
        <v>2079.5250000000001</v>
      </c>
      <c r="E218" s="513">
        <v>32943.662499999999</v>
      </c>
      <c r="F218" s="477"/>
      <c r="G218" s="477"/>
      <c r="H218" s="507" t="s">
        <v>257</v>
      </c>
      <c r="I218" s="480">
        <v>44706</v>
      </c>
      <c r="J218" s="481"/>
      <c r="K218" s="515">
        <v>98830.987500000003</v>
      </c>
      <c r="L218" s="552" t="s">
        <v>292</v>
      </c>
      <c r="M218" s="553"/>
      <c r="N218" s="408"/>
      <c r="O218" s="408"/>
    </row>
    <row r="219" spans="1:15" ht="17.25">
      <c r="A219" s="488">
        <v>43040</v>
      </c>
      <c r="B219" s="513">
        <v>24833.8125</v>
      </c>
      <c r="C219" s="513">
        <v>6030.3249999999998</v>
      </c>
      <c r="D219" s="513">
        <v>2079.5250000000001</v>
      </c>
      <c r="E219" s="513">
        <v>32943.662499999999</v>
      </c>
      <c r="F219" s="477"/>
      <c r="G219" s="477"/>
      <c r="H219" s="507" t="s">
        <v>259</v>
      </c>
      <c r="I219" s="480">
        <v>44801</v>
      </c>
      <c r="J219" s="481"/>
      <c r="K219" s="515">
        <v>98830.987500000003</v>
      </c>
      <c r="L219" s="552" t="s">
        <v>292</v>
      </c>
      <c r="M219" s="553"/>
      <c r="N219" s="408"/>
      <c r="O219" s="408"/>
    </row>
    <row r="220" spans="1:15">
      <c r="A220" s="482"/>
      <c r="B220" s="482"/>
      <c r="C220" s="482"/>
      <c r="D220" s="482"/>
      <c r="E220" s="482"/>
      <c r="F220" s="477"/>
      <c r="G220" s="477"/>
      <c r="H220" s="508"/>
      <c r="I220" s="509"/>
      <c r="J220" s="510"/>
      <c r="K220" s="516"/>
      <c r="L220" s="477"/>
      <c r="M220" s="477"/>
      <c r="N220" s="408"/>
      <c r="O220" s="408"/>
    </row>
    <row r="221" spans="1:15" ht="15.75" thickBot="1">
      <c r="A221" s="487" t="s">
        <v>206</v>
      </c>
      <c r="B221" s="514">
        <v>298005.75</v>
      </c>
      <c r="C221" s="514">
        <v>72363.89999999998</v>
      </c>
      <c r="D221" s="514">
        <v>24954.300000000007</v>
      </c>
      <c r="E221" s="514">
        <v>395323.9499999999</v>
      </c>
      <c r="F221" s="477"/>
      <c r="G221" s="477"/>
      <c r="H221" s="511" t="s">
        <v>206</v>
      </c>
      <c r="I221" s="512"/>
      <c r="J221" s="512"/>
      <c r="K221" s="513">
        <v>395323.95</v>
      </c>
      <c r="L221" s="477"/>
      <c r="M221" s="477"/>
      <c r="N221" s="408"/>
      <c r="O221" s="408"/>
    </row>
  </sheetData>
  <mergeCells count="88">
    <mergeCell ref="B29:D29"/>
    <mergeCell ref="H20:J20"/>
    <mergeCell ref="H21:J21"/>
    <mergeCell ref="B4:D4"/>
    <mergeCell ref="B5:D5"/>
    <mergeCell ref="H4:K4"/>
    <mergeCell ref="H5:K5"/>
    <mergeCell ref="H19:I19"/>
    <mergeCell ref="L66:M66"/>
    <mergeCell ref="L67:M67"/>
    <mergeCell ref="L68:M68"/>
    <mergeCell ref="L69:M69"/>
    <mergeCell ref="L44:M44"/>
    <mergeCell ref="B53:D53"/>
    <mergeCell ref="B54:D54"/>
    <mergeCell ref="H59:I59"/>
    <mergeCell ref="H63:K63"/>
    <mergeCell ref="L8:M8"/>
    <mergeCell ref="L9:M9"/>
    <mergeCell ref="L10:M10"/>
    <mergeCell ref="L11:M11"/>
    <mergeCell ref="H34:I34"/>
    <mergeCell ref="H62:K62"/>
    <mergeCell ref="H37:K37"/>
    <mergeCell ref="H38:K38"/>
    <mergeCell ref="L41:M41"/>
    <mergeCell ref="L42:M42"/>
    <mergeCell ref="L43:M43"/>
    <mergeCell ref="B28:D28"/>
    <mergeCell ref="L115:M115"/>
    <mergeCell ref="L116:M116"/>
    <mergeCell ref="L117:M117"/>
    <mergeCell ref="L118:M118"/>
    <mergeCell ref="B102:D102"/>
    <mergeCell ref="B103:D103"/>
    <mergeCell ref="H108:I108"/>
    <mergeCell ref="H111:K111"/>
    <mergeCell ref="H112:K112"/>
    <mergeCell ref="L91:M91"/>
    <mergeCell ref="L92:M92"/>
    <mergeCell ref="L93:M93"/>
    <mergeCell ref="L94:M94"/>
    <mergeCell ref="E99:K99"/>
    <mergeCell ref="B78:D78"/>
    <mergeCell ref="B79:D79"/>
    <mergeCell ref="H84:I84"/>
    <mergeCell ref="H87:K87"/>
    <mergeCell ref="H88:K88"/>
    <mergeCell ref="E125:K125"/>
    <mergeCell ref="B128:D128"/>
    <mergeCell ref="B129:D129"/>
    <mergeCell ref="H134:I134"/>
    <mergeCell ref="H137:K137"/>
    <mergeCell ref="H138:K138"/>
    <mergeCell ref="L141:M141"/>
    <mergeCell ref="L142:M142"/>
    <mergeCell ref="L143:M143"/>
    <mergeCell ref="L144:M144"/>
    <mergeCell ref="E150:K150"/>
    <mergeCell ref="B153:D153"/>
    <mergeCell ref="B154:D154"/>
    <mergeCell ref="H159:I159"/>
    <mergeCell ref="H162:K162"/>
    <mergeCell ref="H163:K163"/>
    <mergeCell ref="L166:M166"/>
    <mergeCell ref="L167:M167"/>
    <mergeCell ref="L168:M168"/>
    <mergeCell ref="L169:M169"/>
    <mergeCell ref="E175:K175"/>
    <mergeCell ref="B178:D178"/>
    <mergeCell ref="B179:D179"/>
    <mergeCell ref="H184:I184"/>
    <mergeCell ref="H187:K187"/>
    <mergeCell ref="H188:K188"/>
    <mergeCell ref="L191:M191"/>
    <mergeCell ref="L192:M192"/>
    <mergeCell ref="L193:M193"/>
    <mergeCell ref="L194:M194"/>
    <mergeCell ref="E200:K200"/>
    <mergeCell ref="B203:D203"/>
    <mergeCell ref="B204:D204"/>
    <mergeCell ref="H209:I209"/>
    <mergeCell ref="H212:K212"/>
    <mergeCell ref="H213:K213"/>
    <mergeCell ref="L216:M216"/>
    <mergeCell ref="L217:M217"/>
    <mergeCell ref="L218:M218"/>
    <mergeCell ref="L219:M2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Consolidated</vt:lpstr>
      <vt:lpstr>BCC</vt:lpstr>
      <vt:lpstr>PDC Rent</vt:lpstr>
      <vt:lpstr>Sheet1</vt:lpstr>
      <vt:lpstr>Sheet4</vt:lpstr>
      <vt:lpstr>Sheet2</vt:lpstr>
      <vt:lpstr>OMAN-Suggested</vt:lpstr>
      <vt:lpstr>PDC Municiple Tax </vt:lpstr>
      <vt:lpstr>Rent Calculations</vt:lpstr>
      <vt:lpstr>Sheet3</vt:lpstr>
      <vt:lpstr>Sheet5</vt:lpstr>
      <vt:lpstr>BCC!Print_Area</vt:lpstr>
      <vt:lpstr>BCC!Print_Titles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Rajesh PC</cp:lastModifiedBy>
  <cp:lastPrinted>2016-01-25T09:43:54Z</cp:lastPrinted>
  <dcterms:created xsi:type="dcterms:W3CDTF">2010-03-10T02:36:12Z</dcterms:created>
  <dcterms:modified xsi:type="dcterms:W3CDTF">2016-12-29T13:18:20Z</dcterms:modified>
</cp:coreProperties>
</file>