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301" activeTab="2"/>
  </bookViews>
  <sheets>
    <sheet name="Consolidated" sheetId="25" r:id="rId1"/>
    <sheet name="HO" sheetId="9" r:id="rId2"/>
    <sheet name="BTC" sheetId="29" r:id="rId3"/>
    <sheet name="Gulf Mall" sheetId="19" r:id="rId4"/>
    <sheet name="Sales Discount (2)" sheetId="26" state="hidden" r:id="rId5"/>
    <sheet name="Sheet6" sheetId="22" state="hidden" r:id="rId6"/>
    <sheet name="Sheet7" sheetId="23" state="hidden" r:id="rId7"/>
    <sheet name="Sheet2" sheetId="24" state="hidden" r:id="rId8"/>
    <sheet name="Sheet1" sheetId="27" state="hidden" r:id="rId9"/>
  </sheets>
  <definedNames>
    <definedName name="_xlnm.Print_Area" localSheetId="3">'Gulf Mall'!$A$1:$AD$152</definedName>
    <definedName name="_xlnm.Print_Area" localSheetId="1">HO!$A$1:$AD$152</definedName>
    <definedName name="_xlnm.Print_Titles" localSheetId="3">'Gulf Mall'!$2:$3</definedName>
    <definedName name="_xlnm.Print_Titles" localSheetId="1">HO!$2:$3</definedName>
    <definedName name="Z_02AA01BD_C75B_4B6E_A8E6_EEB6E90D29E4_.wvu.Rows" localSheetId="0" hidden="1">Consolidated!#REF!</definedName>
    <definedName name="Z_02AA01BD_C75B_4B6E_A8E6_EEB6E90D29E4_.wvu.Rows" localSheetId="1" hidden="1">HO!#REF!</definedName>
    <definedName name="Z_209662B1_09B2_4060_A837_250CED7848ED_.wvu.Rows" localSheetId="0" hidden="1">Consolidated!#REF!</definedName>
    <definedName name="Z_209662B1_09B2_4060_A837_250CED7848ED_.wvu.Rows" localSheetId="1" hidden="1">HO!#REF!</definedName>
    <definedName name="Z_879F34B1_DA85_44D2_99EE_74A633FB2C72_.wvu.Rows" localSheetId="0" hidden="1">Consolidated!#REF!</definedName>
    <definedName name="Z_879F34B1_DA85_44D2_99EE_74A633FB2C72_.wvu.Rows" localSheetId="1" hidden="1">HO!#REF!</definedName>
    <definedName name="Z_A8167CC1_C909_4D11_B8D5_4313083C8125_.wvu.Cols" localSheetId="0" hidden="1">Consolidated!$AG:$AW</definedName>
    <definedName name="Z_A8167CC1_C909_4D11_B8D5_4313083C8125_.wvu.Cols" localSheetId="1" hidden="1">HO!$AG:$AW</definedName>
    <definedName name="Z_A8167CC1_C909_4D11_B8D5_4313083C8125_.wvu.Rows" localSheetId="0" hidden="1">Consolidated!#REF!</definedName>
    <definedName name="Z_A8167CC1_C909_4D11_B8D5_4313083C8125_.wvu.Rows" localSheetId="1" hidden="1">HO!#REF!</definedName>
    <definedName name="Z_AA4262F8_9AB3_4147_94E2_8DEF81F7E83C_.wvu.Rows" localSheetId="0" hidden="1">Consolidated!#REF!</definedName>
    <definedName name="Z_AA4262F8_9AB3_4147_94E2_8DEF81F7E83C_.wvu.Rows" localSheetId="1" hidden="1">HO!#REF!</definedName>
    <definedName name="Z_B2BB7590_1CD2_4457_858D_F8835B99F338_.wvu.Rows" localSheetId="0" hidden="1">Consolidated!#REF!</definedName>
    <definedName name="Z_B2BB7590_1CD2_4457_858D_F8835B99F338_.wvu.Rows" localSheetId="1" hidden="1">HO!#REF!</definedName>
    <definedName name="Z_BFB0E08A_7D07_48F2_93C4_BE631A8642F6_.wvu.Rows" localSheetId="0" hidden="1">Consolidated!#REF!</definedName>
    <definedName name="Z_BFB0E08A_7D07_48F2_93C4_BE631A8642F6_.wvu.Rows" localSheetId="1" hidden="1">HO!#REF!</definedName>
    <definedName name="Z_D65E0E17_9A53_4B36_ADDE_FDFBD878E6A1_.wvu.Cols" localSheetId="0" hidden="1">Consolidated!$C:$H</definedName>
    <definedName name="Z_D65E0E17_9A53_4B36_ADDE_FDFBD878E6A1_.wvu.Cols" localSheetId="1" hidden="1">HO!$C:$H</definedName>
    <definedName name="Z_E19D3675_E478_4A54_8E7A_94A199F67811_.wvu.Rows" localSheetId="0" hidden="1">Consolidated!#REF!</definedName>
    <definedName name="Z_E19D3675_E478_4A54_8E7A_94A199F67811_.wvu.Rows" localSheetId="1" hidden="1">HO!#REF!</definedName>
    <definedName name="Z_F3E5B7E7_D3C6_4CDC_BAA7_D62F15A870E4_.wvu.Cols" localSheetId="0" hidden="1">Consolidated!$C:$H</definedName>
    <definedName name="Z_F3E5B7E7_D3C6_4CDC_BAA7_D62F15A870E4_.wvu.Cols" localSheetId="1" hidden="1">HO!$C:$H</definedName>
  </definedNames>
  <calcPr calcId="125725"/>
  <customWorkbookViews>
    <customWorkbookView name="Nikhil Cheda - Personal View" guid="{E19D3675-E478-4A54-8E7A-94A199F67811}" mergeInterval="0" personalView="1" maximized="1" xWindow="1" yWindow="1" windowWidth="1356" windowHeight="525" tabRatio="844" activeSheetId="4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atalanMIS - Personal View" guid="{AA4262F8-9AB3-4147-94E2-8DEF81F7E83C}" mergeInterval="0" personalView="1" maximized="1" xWindow="1" yWindow="1" windowWidth="1276" windowHeight="803" tabRatio="844" activeSheetId="1"/>
  </customWorkbookViews>
  <fileRecoveryPr autoRecover="0"/>
</workbook>
</file>

<file path=xl/calcChain.xml><?xml version="1.0" encoding="utf-8"?>
<calcChain xmlns="http://schemas.openxmlformats.org/spreadsheetml/2006/main">
  <c r="Y46" i="19"/>
  <c r="W46"/>
  <c r="U46"/>
  <c r="S46"/>
  <c r="Q46"/>
  <c r="O46"/>
  <c r="M46"/>
  <c r="K46"/>
  <c r="I46"/>
  <c r="I46" i="25" s="1"/>
  <c r="G46" i="19"/>
  <c r="E46"/>
  <c r="C46"/>
  <c r="Y17"/>
  <c r="C17"/>
  <c r="AA77" i="9"/>
  <c r="AA78"/>
  <c r="AA79"/>
  <c r="AA80"/>
  <c r="AA81"/>
  <c r="AA82"/>
  <c r="AA83"/>
  <c r="AA84"/>
  <c r="AA85"/>
  <c r="AA86"/>
  <c r="AA87"/>
  <c r="AA88"/>
  <c r="AA89"/>
  <c r="AA90"/>
  <c r="AA91"/>
  <c r="Y27" i="19"/>
  <c r="W27"/>
  <c r="U27"/>
  <c r="S27"/>
  <c r="Q27"/>
  <c r="O27"/>
  <c r="M27"/>
  <c r="K27"/>
  <c r="I27"/>
  <c r="G27"/>
  <c r="E27"/>
  <c r="C27"/>
  <c r="G17"/>
  <c r="E17"/>
  <c r="M17"/>
  <c r="Y151" i="25"/>
  <c r="Y150"/>
  <c r="Y149"/>
  <c r="Y148"/>
  <c r="Y147"/>
  <c r="Y143"/>
  <c r="Y142"/>
  <c r="Y141"/>
  <c r="Y140"/>
  <c r="Y139"/>
  <c r="Y138"/>
  <c r="Y137"/>
  <c r="Y136"/>
  <c r="Y134"/>
  <c r="Y133"/>
  <c r="Y132"/>
  <c r="Y130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2"/>
  <c r="Y91"/>
  <c r="Y90"/>
  <c r="Y89"/>
  <c r="Y88"/>
  <c r="Y87"/>
  <c r="Y86"/>
  <c r="Y85"/>
  <c r="Y84"/>
  <c r="Y83"/>
  <c r="Y82"/>
  <c r="Y81"/>
  <c r="Y80"/>
  <c r="Y79"/>
  <c r="Y78"/>
  <c r="Y77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4"/>
  <c r="Y33"/>
  <c r="Y32"/>
  <c r="Y31"/>
  <c r="Y30"/>
  <c r="Y29"/>
  <c r="Y28"/>
  <c r="Y27"/>
  <c r="Y26"/>
  <c r="Y25"/>
  <c r="Y24"/>
  <c r="Y23"/>
  <c r="Y22"/>
  <c r="Y20"/>
  <c r="Y19"/>
  <c r="Y18"/>
  <c r="Y17"/>
  <c r="Y16"/>
  <c r="Y15"/>
  <c r="Y14"/>
  <c r="Y13"/>
  <c r="Y12"/>
  <c r="Y11"/>
  <c r="Y10"/>
  <c r="Y9"/>
  <c r="Y8"/>
  <c r="Y7"/>
  <c r="Y6"/>
  <c r="Y5"/>
  <c r="W151"/>
  <c r="W150"/>
  <c r="W149"/>
  <c r="W148"/>
  <c r="W147"/>
  <c r="W143"/>
  <c r="W142"/>
  <c r="W141"/>
  <c r="W140"/>
  <c r="W139"/>
  <c r="W138"/>
  <c r="W137"/>
  <c r="W136"/>
  <c r="W134"/>
  <c r="W133"/>
  <c r="W132"/>
  <c r="W130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2"/>
  <c r="W91"/>
  <c r="W90"/>
  <c r="W89"/>
  <c r="W88"/>
  <c r="W87"/>
  <c r="W86"/>
  <c r="W85"/>
  <c r="W84"/>
  <c r="W83"/>
  <c r="W82"/>
  <c r="W81"/>
  <c r="W80"/>
  <c r="W79"/>
  <c r="W78"/>
  <c r="W77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U151"/>
  <c r="U150"/>
  <c r="U149"/>
  <c r="U148"/>
  <c r="U147"/>
  <c r="U143"/>
  <c r="U142"/>
  <c r="U141"/>
  <c r="U140"/>
  <c r="U139"/>
  <c r="U138"/>
  <c r="U137"/>
  <c r="U136"/>
  <c r="U134"/>
  <c r="U133"/>
  <c r="U132"/>
  <c r="U130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2"/>
  <c r="U91"/>
  <c r="U90"/>
  <c r="U89"/>
  <c r="U88"/>
  <c r="U87"/>
  <c r="U86"/>
  <c r="U85"/>
  <c r="U84"/>
  <c r="U83"/>
  <c r="U82"/>
  <c r="U81"/>
  <c r="U80"/>
  <c r="U79"/>
  <c r="U78"/>
  <c r="U77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S151"/>
  <c r="S150"/>
  <c r="S149"/>
  <c r="S148"/>
  <c r="S147"/>
  <c r="S143"/>
  <c r="S142"/>
  <c r="S141"/>
  <c r="S140"/>
  <c r="S139"/>
  <c r="S138"/>
  <c r="S137"/>
  <c r="S136"/>
  <c r="S134"/>
  <c r="S133"/>
  <c r="S132"/>
  <c r="S130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2"/>
  <c r="S91"/>
  <c r="S90"/>
  <c r="S89"/>
  <c r="S88"/>
  <c r="S87"/>
  <c r="S86"/>
  <c r="S85"/>
  <c r="S84"/>
  <c r="S83"/>
  <c r="S82"/>
  <c r="S81"/>
  <c r="S80"/>
  <c r="S79"/>
  <c r="S78"/>
  <c r="S77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Q151"/>
  <c r="Q150"/>
  <c r="Q149"/>
  <c r="Q148"/>
  <c r="Q147"/>
  <c r="Q143"/>
  <c r="Q142"/>
  <c r="Q141"/>
  <c r="Q140"/>
  <c r="Q139"/>
  <c r="Q138"/>
  <c r="Q137"/>
  <c r="Q136"/>
  <c r="Q134"/>
  <c r="Q133"/>
  <c r="Q132"/>
  <c r="Q130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2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O151"/>
  <c r="O150"/>
  <c r="O149"/>
  <c r="O148"/>
  <c r="O147"/>
  <c r="O143"/>
  <c r="O142"/>
  <c r="O141"/>
  <c r="O140"/>
  <c r="O139"/>
  <c r="O138"/>
  <c r="O137"/>
  <c r="O136"/>
  <c r="O134"/>
  <c r="O133"/>
  <c r="O132"/>
  <c r="O130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2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M151"/>
  <c r="M150"/>
  <c r="M149"/>
  <c r="M148"/>
  <c r="M147"/>
  <c r="M143"/>
  <c r="M142"/>
  <c r="M141"/>
  <c r="M140"/>
  <c r="M139"/>
  <c r="M138"/>
  <c r="M137"/>
  <c r="M136"/>
  <c r="M134"/>
  <c r="M133"/>
  <c r="M132"/>
  <c r="M130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2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4"/>
  <c r="M33"/>
  <c r="M32"/>
  <c r="M31"/>
  <c r="M30"/>
  <c r="M29"/>
  <c r="M28"/>
  <c r="M27"/>
  <c r="M26"/>
  <c r="M25"/>
  <c r="M24"/>
  <c r="M23"/>
  <c r="M22"/>
  <c r="M20"/>
  <c r="M19"/>
  <c r="M18"/>
  <c r="M17"/>
  <c r="M16"/>
  <c r="M15"/>
  <c r="M14"/>
  <c r="M13"/>
  <c r="M12"/>
  <c r="M11"/>
  <c r="M10"/>
  <c r="M9"/>
  <c r="M8"/>
  <c r="M7"/>
  <c r="M6"/>
  <c r="M5"/>
  <c r="K151"/>
  <c r="K150"/>
  <c r="K149"/>
  <c r="K148"/>
  <c r="K147"/>
  <c r="K143"/>
  <c r="K142"/>
  <c r="K141"/>
  <c r="K140"/>
  <c r="K139"/>
  <c r="K138"/>
  <c r="K137"/>
  <c r="K136"/>
  <c r="K134"/>
  <c r="K133"/>
  <c r="K132"/>
  <c r="K130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I151"/>
  <c r="I150"/>
  <c r="I149"/>
  <c r="I148"/>
  <c r="I147"/>
  <c r="I143"/>
  <c r="I142"/>
  <c r="I141"/>
  <c r="I140"/>
  <c r="I139"/>
  <c r="I138"/>
  <c r="I137"/>
  <c r="I136"/>
  <c r="I134"/>
  <c r="I133"/>
  <c r="I132"/>
  <c r="I130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2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5"/>
  <c r="I44"/>
  <c r="I43"/>
  <c r="I42"/>
  <c r="I41"/>
  <c r="I40"/>
  <c r="I39"/>
  <c r="I38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G151"/>
  <c r="G150"/>
  <c r="G149"/>
  <c r="G148"/>
  <c r="G147"/>
  <c r="G143"/>
  <c r="G142"/>
  <c r="G141"/>
  <c r="G140"/>
  <c r="G139"/>
  <c r="G138"/>
  <c r="G137"/>
  <c r="G136"/>
  <c r="G134"/>
  <c r="G133"/>
  <c r="G132"/>
  <c r="G130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2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4"/>
  <c r="G33"/>
  <c r="G32"/>
  <c r="G31"/>
  <c r="G30"/>
  <c r="G29"/>
  <c r="G28"/>
  <c r="G27"/>
  <c r="G26"/>
  <c r="G25"/>
  <c r="G24"/>
  <c r="G23"/>
  <c r="G22"/>
  <c r="G20"/>
  <c r="G19"/>
  <c r="G18"/>
  <c r="G17"/>
  <c r="G16"/>
  <c r="G15"/>
  <c r="G14"/>
  <c r="G13"/>
  <c r="G12"/>
  <c r="G11"/>
  <c r="G10"/>
  <c r="G9"/>
  <c r="G8"/>
  <c r="G7"/>
  <c r="G6"/>
  <c r="G5"/>
  <c r="E151"/>
  <c r="E150"/>
  <c r="E149"/>
  <c r="E148"/>
  <c r="E147"/>
  <c r="E143"/>
  <c r="E142"/>
  <c r="E141"/>
  <c r="E140"/>
  <c r="E139"/>
  <c r="E138"/>
  <c r="E137"/>
  <c r="E136"/>
  <c r="E134"/>
  <c r="E133"/>
  <c r="E132"/>
  <c r="E130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2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4"/>
  <c r="E33"/>
  <c r="E32"/>
  <c r="E31"/>
  <c r="E30"/>
  <c r="E29"/>
  <c r="E28"/>
  <c r="E27"/>
  <c r="E26"/>
  <c r="E25"/>
  <c r="E24"/>
  <c r="E23"/>
  <c r="E22"/>
  <c r="E20"/>
  <c r="E19"/>
  <c r="E18"/>
  <c r="E17"/>
  <c r="E16"/>
  <c r="E15"/>
  <c r="E14"/>
  <c r="E13"/>
  <c r="E12"/>
  <c r="E11"/>
  <c r="E10"/>
  <c r="E9"/>
  <c r="E8"/>
  <c r="E7"/>
  <c r="E6"/>
  <c r="E5"/>
  <c r="C151"/>
  <c r="C150"/>
  <c r="C149"/>
  <c r="C148"/>
  <c r="C147"/>
  <c r="C143"/>
  <c r="C142"/>
  <c r="C141"/>
  <c r="C140"/>
  <c r="C139"/>
  <c r="C138"/>
  <c r="C137"/>
  <c r="C136"/>
  <c r="C134"/>
  <c r="C133"/>
  <c r="C132"/>
  <c r="C130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2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4"/>
  <c r="C33"/>
  <c r="C32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C10"/>
  <c r="C9"/>
  <c r="C8"/>
  <c r="C7"/>
  <c r="C6"/>
  <c r="C5"/>
  <c r="AE151" i="29" l="1"/>
  <c r="AF151" s="1"/>
  <c r="AC151"/>
  <c r="AF150"/>
  <c r="AE150"/>
  <c r="AC150"/>
  <c r="AA150"/>
  <c r="AF149"/>
  <c r="AE149"/>
  <c r="AC149"/>
  <c r="AE148"/>
  <c r="AA148"/>
  <c r="AC148" s="1"/>
  <c r="AE147"/>
  <c r="AF147" s="1"/>
  <c r="AC147"/>
  <c r="Y144"/>
  <c r="W144"/>
  <c r="U144"/>
  <c r="S144"/>
  <c r="Q144"/>
  <c r="O144"/>
  <c r="M144"/>
  <c r="K144"/>
  <c r="I144"/>
  <c r="G144"/>
  <c r="E144"/>
  <c r="C144"/>
  <c r="AE144" s="1"/>
  <c r="AE143"/>
  <c r="AA143"/>
  <c r="AF143" s="1"/>
  <c r="AE142"/>
  <c r="AA142"/>
  <c r="AC142" s="1"/>
  <c r="AE141"/>
  <c r="AF141" s="1"/>
  <c r="AC141"/>
  <c r="AE140"/>
  <c r="AA140"/>
  <c r="AF140" s="1"/>
  <c r="AF139"/>
  <c r="AE139"/>
  <c r="AC139"/>
  <c r="AA139"/>
  <c r="AF138"/>
  <c r="AE138"/>
  <c r="AA138"/>
  <c r="AC138" s="1"/>
  <c r="AF137"/>
  <c r="AE137"/>
  <c r="AC137"/>
  <c r="AA137"/>
  <c r="AF136"/>
  <c r="AE136"/>
  <c r="AA136"/>
  <c r="AA144" s="1"/>
  <c r="AF134"/>
  <c r="AE134"/>
  <c r="AC134"/>
  <c r="AE133"/>
  <c r="AA133"/>
  <c r="AC133" s="1"/>
  <c r="AE132"/>
  <c r="AF132" s="1"/>
  <c r="AC132"/>
  <c r="AF130"/>
  <c r="AE130"/>
  <c r="AC130"/>
  <c r="Y129"/>
  <c r="W129"/>
  <c r="U129"/>
  <c r="S129"/>
  <c r="Q129"/>
  <c r="O129"/>
  <c r="M129"/>
  <c r="K129"/>
  <c r="I129"/>
  <c r="G129"/>
  <c r="E129"/>
  <c r="C129"/>
  <c r="AE128"/>
  <c r="AA128"/>
  <c r="AC128" s="1"/>
  <c r="AE127"/>
  <c r="AC127"/>
  <c r="AA127"/>
  <c r="AF127" s="1"/>
  <c r="AE126"/>
  <c r="AA126"/>
  <c r="AC126" s="1"/>
  <c r="AE125"/>
  <c r="AC125"/>
  <c r="AA125"/>
  <c r="AF125" s="1"/>
  <c r="AE124"/>
  <c r="AA124"/>
  <c r="AC124" s="1"/>
  <c r="AE123"/>
  <c r="AC123"/>
  <c r="AA123"/>
  <c r="AF123" s="1"/>
  <c r="AE122"/>
  <c r="AA122"/>
  <c r="AC122" s="1"/>
  <c r="AE121"/>
  <c r="AC121"/>
  <c r="AA121"/>
  <c r="AF121" s="1"/>
  <c r="AE120"/>
  <c r="AA120"/>
  <c r="AC120" s="1"/>
  <c r="AE119"/>
  <c r="AC119"/>
  <c r="AA119"/>
  <c r="AF119" s="1"/>
  <c r="AE117"/>
  <c r="AA117"/>
  <c r="AC117" s="1"/>
  <c r="AE116"/>
  <c r="AA116"/>
  <c r="Y115"/>
  <c r="W115"/>
  <c r="U115"/>
  <c r="S115"/>
  <c r="Q115"/>
  <c r="O115"/>
  <c r="M115"/>
  <c r="K115"/>
  <c r="I115"/>
  <c r="G115"/>
  <c r="E115"/>
  <c r="C115"/>
  <c r="AE115" s="1"/>
  <c r="AC114"/>
  <c r="AA114"/>
  <c r="AC113"/>
  <c r="AA113"/>
  <c r="AC112"/>
  <c r="AA112"/>
  <c r="AA111"/>
  <c r="AC111" s="1"/>
  <c r="AA110"/>
  <c r="AC110" s="1"/>
  <c r="AA109"/>
  <c r="AC109" s="1"/>
  <c r="AA108"/>
  <c r="AC108" s="1"/>
  <c r="AE107"/>
  <c r="AC107"/>
  <c r="AA107"/>
  <c r="AC106"/>
  <c r="AA106"/>
  <c r="AE105"/>
  <c r="AA105"/>
  <c r="AC105" s="1"/>
  <c r="AE104"/>
  <c r="AC104"/>
  <c r="AA104"/>
  <c r="AE103"/>
  <c r="AA103"/>
  <c r="AC103" s="1"/>
  <c r="AE102"/>
  <c r="AC102"/>
  <c r="AA102"/>
  <c r="AE101"/>
  <c r="AA101"/>
  <c r="AC101" s="1"/>
  <c r="AA100"/>
  <c r="AC100" s="1"/>
  <c r="AE99"/>
  <c r="AC99"/>
  <c r="AA99"/>
  <c r="AE98"/>
  <c r="AA98"/>
  <c r="AC98" s="1"/>
  <c r="AE97"/>
  <c r="AA97"/>
  <c r="AC97" s="1"/>
  <c r="AE96"/>
  <c r="AC96"/>
  <c r="AA96"/>
  <c r="AE95"/>
  <c r="AA95"/>
  <c r="AC95" s="1"/>
  <c r="AE94"/>
  <c r="AC94"/>
  <c r="AA94"/>
  <c r="AG93"/>
  <c r="Y93"/>
  <c r="W93"/>
  <c r="U93"/>
  <c r="S93"/>
  <c r="Q93"/>
  <c r="O93"/>
  <c r="M93"/>
  <c r="K93"/>
  <c r="I93"/>
  <c r="G93"/>
  <c r="E93"/>
  <c r="C93"/>
  <c r="AE92"/>
  <c r="AA92"/>
  <c r="AC92" s="1"/>
  <c r="AF91"/>
  <c r="AE91"/>
  <c r="AC91"/>
  <c r="AA91"/>
  <c r="AF90"/>
  <c r="AE90"/>
  <c r="AC90"/>
  <c r="AA90"/>
  <c r="AE89"/>
  <c r="AA89"/>
  <c r="AC89" s="1"/>
  <c r="AF88"/>
  <c r="AE88"/>
  <c r="AC88"/>
  <c r="AA88"/>
  <c r="AE87"/>
  <c r="AA87"/>
  <c r="AC87" s="1"/>
  <c r="AF86"/>
  <c r="AE86"/>
  <c r="AC86"/>
  <c r="AA86"/>
  <c r="AE85"/>
  <c r="AC85"/>
  <c r="AA85"/>
  <c r="AF85" s="1"/>
  <c r="AE84"/>
  <c r="AA84"/>
  <c r="AC84" s="1"/>
  <c r="AE83"/>
  <c r="AC83"/>
  <c r="AA83"/>
  <c r="AF83" s="1"/>
  <c r="AE82"/>
  <c r="AA82"/>
  <c r="AC82" s="1"/>
  <c r="AE81"/>
  <c r="AC81"/>
  <c r="AA81"/>
  <c r="AF81" s="1"/>
  <c r="AE80"/>
  <c r="AA80"/>
  <c r="AC80" s="1"/>
  <c r="AE79"/>
  <c r="AC79"/>
  <c r="AA79"/>
  <c r="AF79" s="1"/>
  <c r="AE78"/>
  <c r="AA78"/>
  <c r="AC78" s="1"/>
  <c r="AE77"/>
  <c r="AC77"/>
  <c r="AA77"/>
  <c r="AF77" s="1"/>
  <c r="U76"/>
  <c r="S76"/>
  <c r="Q76"/>
  <c r="O76"/>
  <c r="M76"/>
  <c r="K76"/>
  <c r="I76"/>
  <c r="G76"/>
  <c r="E76"/>
  <c r="C76"/>
  <c r="AA75"/>
  <c r="AC75" s="1"/>
  <c r="AA74"/>
  <c r="AC74" s="1"/>
  <c r="AA73"/>
  <c r="AC73" s="1"/>
  <c r="Y72"/>
  <c r="W72"/>
  <c r="AA72" s="1"/>
  <c r="AC71"/>
  <c r="AA71"/>
  <c r="Y70"/>
  <c r="Y76" s="1"/>
  <c r="W70"/>
  <c r="AA70" s="1"/>
  <c r="AE69"/>
  <c r="AC69"/>
  <c r="AA69"/>
  <c r="AF69" s="1"/>
  <c r="AE68"/>
  <c r="AA68"/>
  <c r="AC68" s="1"/>
  <c r="AE67"/>
  <c r="AC67"/>
  <c r="AA67"/>
  <c r="AF67" s="1"/>
  <c r="AE66"/>
  <c r="AA66"/>
  <c r="AC66" s="1"/>
  <c r="AE65"/>
  <c r="AC65"/>
  <c r="AA65"/>
  <c r="AE64"/>
  <c r="AA64"/>
  <c r="AE63"/>
  <c r="AA63"/>
  <c r="AE62"/>
  <c r="AC62"/>
  <c r="AA62"/>
  <c r="AE61"/>
  <c r="AA61"/>
  <c r="AC61" s="1"/>
  <c r="AE60"/>
  <c r="AA60"/>
  <c r="AC60" s="1"/>
  <c r="AE59"/>
  <c r="AC59"/>
  <c r="AA59"/>
  <c r="AE58"/>
  <c r="AC58"/>
  <c r="AA58"/>
  <c r="AE57"/>
  <c r="AA57"/>
  <c r="AC57" s="1"/>
  <c r="AE56"/>
  <c r="AA56"/>
  <c r="AC56" s="1"/>
  <c r="AE55"/>
  <c r="AC55"/>
  <c r="AA55"/>
  <c r="AE54"/>
  <c r="AA54"/>
  <c r="AE53"/>
  <c r="AA53"/>
  <c r="AF52"/>
  <c r="AE52"/>
  <c r="AC52"/>
  <c r="AA52"/>
  <c r="AE51"/>
  <c r="AA51"/>
  <c r="AC51" s="1"/>
  <c r="AE50"/>
  <c r="AA50"/>
  <c r="AC50" s="1"/>
  <c r="AE49"/>
  <c r="AC49"/>
  <c r="AA49"/>
  <c r="AE48"/>
  <c r="AC48"/>
  <c r="AA48"/>
  <c r="AE47"/>
  <c r="AA47"/>
  <c r="AC47" s="1"/>
  <c r="AE46"/>
  <c r="AA46"/>
  <c r="AC46" s="1"/>
  <c r="AE45"/>
  <c r="AC45"/>
  <c r="AA45"/>
  <c r="AE44"/>
  <c r="AA44"/>
  <c r="AF43"/>
  <c r="AE43"/>
  <c r="AC43"/>
  <c r="AA43"/>
  <c r="AE42"/>
  <c r="AC42"/>
  <c r="AA42"/>
  <c r="Y41"/>
  <c r="W41"/>
  <c r="U41"/>
  <c r="S41"/>
  <c r="Q41"/>
  <c r="O41"/>
  <c r="M41"/>
  <c r="K41"/>
  <c r="I41"/>
  <c r="G41"/>
  <c r="E41"/>
  <c r="C41"/>
  <c r="AE40"/>
  <c r="AA40"/>
  <c r="AA41" s="1"/>
  <c r="AF39"/>
  <c r="AE39"/>
  <c r="AC39"/>
  <c r="AA39"/>
  <c r="AF38"/>
  <c r="AE38"/>
  <c r="AC38"/>
  <c r="AA38"/>
  <c r="Y35"/>
  <c r="W35"/>
  <c r="U35"/>
  <c r="S35"/>
  <c r="Q35"/>
  <c r="O35"/>
  <c r="M35"/>
  <c r="K35"/>
  <c r="I35"/>
  <c r="G35"/>
  <c r="E35"/>
  <c r="C35"/>
  <c r="AE35" s="1"/>
  <c r="AF34"/>
  <c r="AE34"/>
  <c r="AC34"/>
  <c r="AA34"/>
  <c r="AE33"/>
  <c r="AA33"/>
  <c r="AC33" s="1"/>
  <c r="AF32"/>
  <c r="AE32"/>
  <c r="AC32"/>
  <c r="AA32"/>
  <c r="AE31"/>
  <c r="AA31"/>
  <c r="AC31" s="1"/>
  <c r="AF30"/>
  <c r="AE30"/>
  <c r="AC30"/>
  <c r="AA30"/>
  <c r="AE29"/>
  <c r="AA29"/>
  <c r="AC29" s="1"/>
  <c r="AF28"/>
  <c r="AE28"/>
  <c r="AC28"/>
  <c r="AA28"/>
  <c r="AE27"/>
  <c r="AA27"/>
  <c r="AC27" s="1"/>
  <c r="AF26"/>
  <c r="AE26"/>
  <c r="AC26"/>
  <c r="AA26"/>
  <c r="AE25"/>
  <c r="AA25"/>
  <c r="AC25" s="1"/>
  <c r="AF24"/>
  <c r="AE24"/>
  <c r="AC24"/>
  <c r="AA24"/>
  <c r="AE23"/>
  <c r="AA23"/>
  <c r="AC23" s="1"/>
  <c r="AF22"/>
  <c r="AE22"/>
  <c r="AC22"/>
  <c r="AA22"/>
  <c r="Y21"/>
  <c r="Y36" s="1"/>
  <c r="W21"/>
  <c r="W36" s="1"/>
  <c r="U21"/>
  <c r="U36" s="1"/>
  <c r="S21"/>
  <c r="S36" s="1"/>
  <c r="Q21"/>
  <c r="Q36" s="1"/>
  <c r="O21"/>
  <c r="O36" s="1"/>
  <c r="M21"/>
  <c r="M36" s="1"/>
  <c r="K21"/>
  <c r="K36" s="1"/>
  <c r="I21"/>
  <c r="I36" s="1"/>
  <c r="G21"/>
  <c r="G36" s="1"/>
  <c r="E21"/>
  <c r="E36" s="1"/>
  <c r="C21"/>
  <c r="C36" s="1"/>
  <c r="AF20"/>
  <c r="AE20"/>
  <c r="AA20"/>
  <c r="AC20" s="1"/>
  <c r="AF19"/>
  <c r="AE19"/>
  <c r="AA19"/>
  <c r="AC19" s="1"/>
  <c r="AF18"/>
  <c r="AE18"/>
  <c r="AA18"/>
  <c r="AC18" s="1"/>
  <c r="AF17"/>
  <c r="AE17"/>
  <c r="AA17"/>
  <c r="AA21" s="1"/>
  <c r="Y15"/>
  <c r="W15"/>
  <c r="U15"/>
  <c r="S15"/>
  <c r="Q15"/>
  <c r="O15"/>
  <c r="M15"/>
  <c r="K15"/>
  <c r="I15"/>
  <c r="G15"/>
  <c r="E15"/>
  <c r="C15"/>
  <c r="AE15" s="1"/>
  <c r="AF14"/>
  <c r="AE14"/>
  <c r="AA14"/>
  <c r="AA15" s="1"/>
  <c r="AF13"/>
  <c r="AE13"/>
  <c r="AC13"/>
  <c r="AA13"/>
  <c r="Y12"/>
  <c r="Y16" s="1"/>
  <c r="W12"/>
  <c r="U12"/>
  <c r="U16" s="1"/>
  <c r="S12"/>
  <c r="Q12"/>
  <c r="Q16" s="1"/>
  <c r="O12"/>
  <c r="M12"/>
  <c r="M16" s="1"/>
  <c r="K12"/>
  <c r="I12"/>
  <c r="I16" s="1"/>
  <c r="G12"/>
  <c r="E12"/>
  <c r="E16" s="1"/>
  <c r="C12"/>
  <c r="AF11"/>
  <c r="AE11"/>
  <c r="AA11"/>
  <c r="AC11" s="1"/>
  <c r="AF10"/>
  <c r="AE10"/>
  <c r="AA10"/>
  <c r="AC10" s="1"/>
  <c r="AF9"/>
  <c r="AE9"/>
  <c r="AA9"/>
  <c r="AC9" s="1"/>
  <c r="AF8"/>
  <c r="AE8"/>
  <c r="AA8"/>
  <c r="AC8" s="1"/>
  <c r="AF7"/>
  <c r="AE7"/>
  <c r="AA7"/>
  <c r="AC7" s="1"/>
  <c r="AF6"/>
  <c r="AE6"/>
  <c r="AA6"/>
  <c r="AC6" s="1"/>
  <c r="AF5"/>
  <c r="AE5"/>
  <c r="AA5"/>
  <c r="AA12" s="1"/>
  <c r="AA141" i="9"/>
  <c r="AC141" s="1"/>
  <c r="X114" i="19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X112"/>
  <c r="V112"/>
  <c r="T112"/>
  <c r="R112"/>
  <c r="P112"/>
  <c r="N112"/>
  <c r="L112"/>
  <c r="J112"/>
  <c r="H112"/>
  <c r="F112"/>
  <c r="D112"/>
  <c r="X111"/>
  <c r="V111"/>
  <c r="T111"/>
  <c r="R111"/>
  <c r="P111"/>
  <c r="N111"/>
  <c r="L111"/>
  <c r="J111"/>
  <c r="H111"/>
  <c r="F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X106"/>
  <c r="V106"/>
  <c r="T106"/>
  <c r="R106"/>
  <c r="P106"/>
  <c r="N106"/>
  <c r="L106"/>
  <c r="J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X102"/>
  <c r="V102"/>
  <c r="T102"/>
  <c r="R102"/>
  <c r="P102"/>
  <c r="N102"/>
  <c r="L102"/>
  <c r="J102"/>
  <c r="H102"/>
  <c r="F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AA170" i="9"/>
  <c r="AA72"/>
  <c r="AA48"/>
  <c r="D85" i="19"/>
  <c r="U126"/>
  <c r="S126"/>
  <c r="Q126"/>
  <c r="O126"/>
  <c r="M126"/>
  <c r="K126"/>
  <c r="I126"/>
  <c r="G126"/>
  <c r="E126"/>
  <c r="C126"/>
  <c r="AA66"/>
  <c r="AA67"/>
  <c r="AA68"/>
  <c r="AA69"/>
  <c r="AA70"/>
  <c r="AA71"/>
  <c r="AA72"/>
  <c r="AA73"/>
  <c r="AA74"/>
  <c r="AA75"/>
  <c r="Y75"/>
  <c r="W75"/>
  <c r="U75"/>
  <c r="S75"/>
  <c r="Q75"/>
  <c r="O75"/>
  <c r="M75"/>
  <c r="K75"/>
  <c r="I75"/>
  <c r="G75"/>
  <c r="E75"/>
  <c r="C75"/>
  <c r="Z51"/>
  <c r="X51"/>
  <c r="V51"/>
  <c r="T51"/>
  <c r="R51"/>
  <c r="P51"/>
  <c r="N51"/>
  <c r="L51"/>
  <c r="J51"/>
  <c r="H51"/>
  <c r="F51"/>
  <c r="D51"/>
  <c r="P27"/>
  <c r="S138" i="9"/>
  <c r="Q138"/>
  <c r="O138"/>
  <c r="M138"/>
  <c r="K138"/>
  <c r="I138"/>
  <c r="G138"/>
  <c r="E138"/>
  <c r="C138"/>
  <c r="Y138"/>
  <c r="W138"/>
  <c r="U138"/>
  <c r="AA68"/>
  <c r="AA65"/>
  <c r="AA50"/>
  <c r="L5" i="19"/>
  <c r="Z5"/>
  <c r="X5"/>
  <c r="V5"/>
  <c r="T5"/>
  <c r="R5"/>
  <c r="P5"/>
  <c r="N5"/>
  <c r="J5"/>
  <c r="D5"/>
  <c r="F5"/>
  <c r="AA118" i="25"/>
  <c r="AC118" s="1"/>
  <c r="AD118" i="19"/>
  <c r="AC118"/>
  <c r="AB118"/>
  <c r="AA118"/>
  <c r="P103" i="9"/>
  <c r="Y15" i="27"/>
  <c r="Y3"/>
  <c r="Y2"/>
  <c r="W3"/>
  <c r="W2"/>
  <c r="U3"/>
  <c r="U2"/>
  <c r="S3"/>
  <c r="S2"/>
  <c r="Q3"/>
  <c r="Q2"/>
  <c r="O3"/>
  <c r="O2"/>
  <c r="M3"/>
  <c r="M2"/>
  <c r="K3"/>
  <c r="K2"/>
  <c r="I3"/>
  <c r="I2"/>
  <c r="G3"/>
  <c r="G2"/>
  <c r="E3"/>
  <c r="E2"/>
  <c r="C3"/>
  <c r="AA3" s="1"/>
  <c r="C2"/>
  <c r="AA2"/>
  <c r="I93" i="19"/>
  <c r="I15" i="27"/>
  <c r="C129" i="19"/>
  <c r="C93"/>
  <c r="C15" i="27"/>
  <c r="Y93" i="19"/>
  <c r="W93"/>
  <c r="W15" i="27"/>
  <c r="U93" i="19"/>
  <c r="U15" i="27"/>
  <c r="S93" i="19"/>
  <c r="S15" i="27"/>
  <c r="Q93" i="19"/>
  <c r="Q15" i="27"/>
  <c r="O93" i="19"/>
  <c r="O15" i="27"/>
  <c r="M93" i="19"/>
  <c r="M15" i="27"/>
  <c r="K93" i="19"/>
  <c r="K15" i="27"/>
  <c r="G93" i="19"/>
  <c r="G15" i="27"/>
  <c r="E93" i="19"/>
  <c r="E15" i="27"/>
  <c r="AA15"/>
  <c r="AC77" i="9"/>
  <c r="AC80"/>
  <c r="AC81"/>
  <c r="AC84"/>
  <c r="AC88"/>
  <c r="Y115" i="19"/>
  <c r="W115"/>
  <c r="U115"/>
  <c r="S115"/>
  <c r="Q115"/>
  <c r="O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C97"/>
  <c r="AA96"/>
  <c r="AA95"/>
  <c r="AC95"/>
  <c r="AA94"/>
  <c r="Y115" i="9"/>
  <c r="Z115"/>
  <c r="X115"/>
  <c r="W115"/>
  <c r="U115"/>
  <c r="V115"/>
  <c r="T115"/>
  <c r="S115"/>
  <c r="Q115"/>
  <c r="R115"/>
  <c r="O115"/>
  <c r="P115"/>
  <c r="M115"/>
  <c r="N115"/>
  <c r="K115"/>
  <c r="L115"/>
  <c r="I115"/>
  <c r="J115"/>
  <c r="H115"/>
  <c r="G115"/>
  <c r="E115"/>
  <c r="F115"/>
  <c r="D115"/>
  <c r="C115"/>
  <c r="AC114"/>
  <c r="AD114"/>
  <c r="AB114"/>
  <c r="AA114"/>
  <c r="Z114"/>
  <c r="X114"/>
  <c r="V114"/>
  <c r="T114"/>
  <c r="R114"/>
  <c r="P114"/>
  <c r="N114"/>
  <c r="L114"/>
  <c r="J114"/>
  <c r="H114"/>
  <c r="F114"/>
  <c r="D114"/>
  <c r="AC113"/>
  <c r="AD113"/>
  <c r="AB113"/>
  <c r="AA113"/>
  <c r="Z113"/>
  <c r="X113"/>
  <c r="V113"/>
  <c r="T113"/>
  <c r="R113"/>
  <c r="P113"/>
  <c r="N113"/>
  <c r="L113"/>
  <c r="J113"/>
  <c r="H113"/>
  <c r="F113"/>
  <c r="D113"/>
  <c r="AC112"/>
  <c r="AD112"/>
  <c r="AB112"/>
  <c r="AA112"/>
  <c r="Z112"/>
  <c r="X112"/>
  <c r="V112"/>
  <c r="T112"/>
  <c r="R112"/>
  <c r="P112"/>
  <c r="N112"/>
  <c r="L112"/>
  <c r="J112"/>
  <c r="H112"/>
  <c r="F112"/>
  <c r="D112"/>
  <c r="AC111"/>
  <c r="AD111"/>
  <c r="AB111"/>
  <c r="AA111"/>
  <c r="Z111"/>
  <c r="X111"/>
  <c r="V111"/>
  <c r="T111"/>
  <c r="R111"/>
  <c r="P111"/>
  <c r="N111"/>
  <c r="L111"/>
  <c r="J111"/>
  <c r="H111"/>
  <c r="F111"/>
  <c r="D111"/>
  <c r="AC110"/>
  <c r="AD110"/>
  <c r="AB110"/>
  <c r="AA110"/>
  <c r="Z110"/>
  <c r="X110"/>
  <c r="V110"/>
  <c r="T110"/>
  <c r="R110"/>
  <c r="P110"/>
  <c r="N110"/>
  <c r="L110"/>
  <c r="J110"/>
  <c r="H110"/>
  <c r="F110"/>
  <c r="D110"/>
  <c r="AC109"/>
  <c r="AD109"/>
  <c r="AB109"/>
  <c r="AA109"/>
  <c r="Z109"/>
  <c r="X109"/>
  <c r="V109"/>
  <c r="T109"/>
  <c r="R109"/>
  <c r="P109"/>
  <c r="N109"/>
  <c r="L109"/>
  <c r="J109"/>
  <c r="H109"/>
  <c r="F109"/>
  <c r="D109"/>
  <c r="AC108"/>
  <c r="AD108"/>
  <c r="AB108"/>
  <c r="AA108"/>
  <c r="Z108"/>
  <c r="X108"/>
  <c r="V108"/>
  <c r="T108"/>
  <c r="R108"/>
  <c r="P108"/>
  <c r="N108"/>
  <c r="L108"/>
  <c r="J108"/>
  <c r="H108"/>
  <c r="F108"/>
  <c r="D108"/>
  <c r="AC107"/>
  <c r="AD107"/>
  <c r="AB107"/>
  <c r="AA107"/>
  <c r="Z107"/>
  <c r="X107"/>
  <c r="V107"/>
  <c r="T107"/>
  <c r="R107"/>
  <c r="P107"/>
  <c r="N107"/>
  <c r="L107"/>
  <c r="J107"/>
  <c r="H107"/>
  <c r="F107"/>
  <c r="D107"/>
  <c r="AB106"/>
  <c r="AA106"/>
  <c r="AC106"/>
  <c r="AD106"/>
  <c r="Z106"/>
  <c r="X106"/>
  <c r="V106"/>
  <c r="T106"/>
  <c r="R106"/>
  <c r="P106"/>
  <c r="N106"/>
  <c r="L106"/>
  <c r="J106"/>
  <c r="H106"/>
  <c r="F106"/>
  <c r="D106"/>
  <c r="AA105"/>
  <c r="AB105"/>
  <c r="Z105"/>
  <c r="X105"/>
  <c r="V105"/>
  <c r="T105"/>
  <c r="R105"/>
  <c r="P105"/>
  <c r="N105"/>
  <c r="L105"/>
  <c r="J105"/>
  <c r="H105"/>
  <c r="F105"/>
  <c r="D105"/>
  <c r="AA104"/>
  <c r="AB104"/>
  <c r="Z104"/>
  <c r="X104"/>
  <c r="V104"/>
  <c r="T104"/>
  <c r="R104"/>
  <c r="P104"/>
  <c r="N104"/>
  <c r="L104"/>
  <c r="J104"/>
  <c r="H104"/>
  <c r="F104"/>
  <c r="D104"/>
  <c r="AA103"/>
  <c r="AB103"/>
  <c r="Z103"/>
  <c r="X103"/>
  <c r="V103"/>
  <c r="T103"/>
  <c r="R103"/>
  <c r="N103"/>
  <c r="L103"/>
  <c r="J103"/>
  <c r="H103"/>
  <c r="F103"/>
  <c r="D103"/>
  <c r="AA102"/>
  <c r="AB102"/>
  <c r="Z102"/>
  <c r="X102"/>
  <c r="V102"/>
  <c r="T102"/>
  <c r="R102"/>
  <c r="P102"/>
  <c r="N102"/>
  <c r="L102"/>
  <c r="J102"/>
  <c r="H102"/>
  <c r="F102"/>
  <c r="D102"/>
  <c r="AA101"/>
  <c r="AB101"/>
  <c r="Z101"/>
  <c r="X101"/>
  <c r="V101"/>
  <c r="T101"/>
  <c r="R101"/>
  <c r="P101"/>
  <c r="N101"/>
  <c r="L101"/>
  <c r="J101"/>
  <c r="H101"/>
  <c r="F101"/>
  <c r="D101"/>
  <c r="AA100"/>
  <c r="AB100"/>
  <c r="Z100"/>
  <c r="X100"/>
  <c r="V100"/>
  <c r="T100"/>
  <c r="R100"/>
  <c r="P100"/>
  <c r="N100"/>
  <c r="L100"/>
  <c r="J100"/>
  <c r="H100"/>
  <c r="F100"/>
  <c r="D100"/>
  <c r="AA99"/>
  <c r="AB99"/>
  <c r="Z99"/>
  <c r="X99"/>
  <c r="V99"/>
  <c r="T99"/>
  <c r="R99"/>
  <c r="P99"/>
  <c r="N99"/>
  <c r="L99"/>
  <c r="J99"/>
  <c r="H99"/>
  <c r="F99"/>
  <c r="D99"/>
  <c r="AA98"/>
  <c r="AB98"/>
  <c r="Z98"/>
  <c r="X98"/>
  <c r="V98"/>
  <c r="T98"/>
  <c r="F98"/>
  <c r="D98"/>
  <c r="AA97"/>
  <c r="AC97"/>
  <c r="AD97"/>
  <c r="Z97"/>
  <c r="X97"/>
  <c r="V97"/>
  <c r="T97"/>
  <c r="R97"/>
  <c r="P97"/>
  <c r="N97"/>
  <c r="L97"/>
  <c r="J97"/>
  <c r="H97"/>
  <c r="F97"/>
  <c r="D97"/>
  <c r="AA96"/>
  <c r="AC96"/>
  <c r="AD96"/>
  <c r="Z96"/>
  <c r="X96"/>
  <c r="V96"/>
  <c r="T96"/>
  <c r="R96"/>
  <c r="P96"/>
  <c r="N96"/>
  <c r="L96"/>
  <c r="J96"/>
  <c r="H96"/>
  <c r="F96"/>
  <c r="D96"/>
  <c r="AA95"/>
  <c r="AC95"/>
  <c r="AD95"/>
  <c r="Z95"/>
  <c r="X95"/>
  <c r="V95"/>
  <c r="T95"/>
  <c r="R95"/>
  <c r="P95"/>
  <c r="N95"/>
  <c r="L95"/>
  <c r="J95"/>
  <c r="H95"/>
  <c r="F95"/>
  <c r="D95"/>
  <c r="AA94"/>
  <c r="Z94"/>
  <c r="X94"/>
  <c r="V94"/>
  <c r="T94"/>
  <c r="R94"/>
  <c r="P94"/>
  <c r="N94"/>
  <c r="L94"/>
  <c r="J94"/>
  <c r="H94"/>
  <c r="F94"/>
  <c r="D94"/>
  <c r="AA142"/>
  <c r="AC104"/>
  <c r="AD104"/>
  <c r="AC105"/>
  <c r="AD105"/>
  <c r="AA115"/>
  <c r="AC115"/>
  <c r="AD115"/>
  <c r="AC103"/>
  <c r="AD103"/>
  <c r="AA115" i="19"/>
  <c r="M115"/>
  <c r="AC94"/>
  <c r="AC96"/>
  <c r="AC115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B115" i="9"/>
  <c r="AC94"/>
  <c r="AD94"/>
  <c r="AB94"/>
  <c r="AB95"/>
  <c r="AB96"/>
  <c r="AB97"/>
  <c r="AC98"/>
  <c r="AD98"/>
  <c r="AC99"/>
  <c r="AD99"/>
  <c r="AC100"/>
  <c r="AD100"/>
  <c r="AC101"/>
  <c r="AD101"/>
  <c r="AC102"/>
  <c r="AD102"/>
  <c r="AA116" i="25"/>
  <c r="AC116" s="1"/>
  <c r="AA136"/>
  <c r="AA150"/>
  <c r="AA148"/>
  <c r="AC148" s="1"/>
  <c r="AA94"/>
  <c r="AC94" s="1"/>
  <c r="AA77"/>
  <c r="AA143"/>
  <c r="AA140"/>
  <c r="AC140" s="1"/>
  <c r="AA139"/>
  <c r="AC139" s="1"/>
  <c r="AA138"/>
  <c r="AA137"/>
  <c r="AC137" s="1"/>
  <c r="AA128"/>
  <c r="AA127"/>
  <c r="AC127" s="1"/>
  <c r="AA125"/>
  <c r="AA124"/>
  <c r="AA123"/>
  <c r="AA122"/>
  <c r="AA121"/>
  <c r="AA120"/>
  <c r="AC120" s="1"/>
  <c r="AA119"/>
  <c r="AA117"/>
  <c r="AA114"/>
  <c r="AA113"/>
  <c r="AC113" s="1"/>
  <c r="AA112"/>
  <c r="AA111"/>
  <c r="AA110"/>
  <c r="AA109"/>
  <c r="AA108"/>
  <c r="AC108" s="1"/>
  <c r="AA107"/>
  <c r="AA106"/>
  <c r="AA105"/>
  <c r="AC105" s="1"/>
  <c r="AA104"/>
  <c r="AC104" s="1"/>
  <c r="AA103"/>
  <c r="AC103" s="1"/>
  <c r="AA102"/>
  <c r="AA101"/>
  <c r="AC101" s="1"/>
  <c r="AA100"/>
  <c r="AA99"/>
  <c r="AA98"/>
  <c r="AA97"/>
  <c r="AA96"/>
  <c r="AC96" s="1"/>
  <c r="AA95"/>
  <c r="AA92"/>
  <c r="AA91"/>
  <c r="AC91" s="1"/>
  <c r="AA90"/>
  <c r="AC90" s="1"/>
  <c r="AA89"/>
  <c r="AC89" s="1"/>
  <c r="AA88"/>
  <c r="AA87"/>
  <c r="AC87" s="1"/>
  <c r="AA86"/>
  <c r="AC86" s="1"/>
  <c r="AA85"/>
  <c r="AA84"/>
  <c r="AA83"/>
  <c r="AC83" s="1"/>
  <c r="AA82"/>
  <c r="AC82" s="1"/>
  <c r="AA81"/>
  <c r="AA80"/>
  <c r="AA79"/>
  <c r="AC79" s="1"/>
  <c r="AA78"/>
  <c r="AC78" s="1"/>
  <c r="AC136"/>
  <c r="AA74"/>
  <c r="AA72"/>
  <c r="AA71"/>
  <c r="AA70"/>
  <c r="AC70" s="1"/>
  <c r="AA69"/>
  <c r="AA68"/>
  <c r="AC68" s="1"/>
  <c r="AA67"/>
  <c r="AC67" s="1"/>
  <c r="AA66"/>
  <c r="AA65"/>
  <c r="AA64"/>
  <c r="AC64" s="1"/>
  <c r="AA63"/>
  <c r="AC63" s="1"/>
  <c r="AA62"/>
  <c r="AA61"/>
  <c r="AA60"/>
  <c r="AC60" s="1"/>
  <c r="AA59"/>
  <c r="AC59" s="1"/>
  <c r="AA58"/>
  <c r="AA57"/>
  <c r="AA56"/>
  <c r="AA55"/>
  <c r="AA54"/>
  <c r="AC54" s="1"/>
  <c r="AA53"/>
  <c r="AA52"/>
  <c r="AC52" s="1"/>
  <c r="AA51"/>
  <c r="AC51" s="1"/>
  <c r="AA50"/>
  <c r="AA49"/>
  <c r="AA48"/>
  <c r="AC48" s="1"/>
  <c r="AA47"/>
  <c r="AC47" s="1"/>
  <c r="AA45"/>
  <c r="AA44"/>
  <c r="AA43"/>
  <c r="AC43" s="1"/>
  <c r="AA75"/>
  <c r="AA73"/>
  <c r="AC138"/>
  <c r="AC119"/>
  <c r="AC123"/>
  <c r="AC117"/>
  <c r="AC122"/>
  <c r="AC121"/>
  <c r="AC125"/>
  <c r="AC124"/>
  <c r="AC128"/>
  <c r="AC109"/>
  <c r="AC112"/>
  <c r="AC95"/>
  <c r="AC99"/>
  <c r="AC107"/>
  <c r="AC111"/>
  <c r="AC98"/>
  <c r="AC102"/>
  <c r="AC106"/>
  <c r="AC110"/>
  <c r="AC114"/>
  <c r="AC100"/>
  <c r="AC81"/>
  <c r="AC85"/>
  <c r="AC80"/>
  <c r="AC84"/>
  <c r="AC88"/>
  <c r="AC92"/>
  <c r="AC44"/>
  <c r="AC56"/>
  <c r="AC72"/>
  <c r="AC55"/>
  <c r="AC71"/>
  <c r="AC75"/>
  <c r="AC50"/>
  <c r="AC58"/>
  <c r="AC62"/>
  <c r="AC66"/>
  <c r="AC73"/>
  <c r="AC45"/>
  <c r="AC49"/>
  <c r="AC53"/>
  <c r="AC57"/>
  <c r="AC61"/>
  <c r="AC65"/>
  <c r="AC69"/>
  <c r="AC74"/>
  <c r="AC75" i="19"/>
  <c r="AC69" i="9"/>
  <c r="AC71"/>
  <c r="AA70"/>
  <c r="AC70"/>
  <c r="AA71"/>
  <c r="AC72"/>
  <c r="AA73"/>
  <c r="AC73"/>
  <c r="AA74"/>
  <c r="AC74"/>
  <c r="AA75"/>
  <c r="AC75"/>
  <c r="Y75"/>
  <c r="Y74"/>
  <c r="Y70"/>
  <c r="W75"/>
  <c r="W74"/>
  <c r="W76"/>
  <c r="W70"/>
  <c r="U75"/>
  <c r="U76"/>
  <c r="O76"/>
  <c r="M76"/>
  <c r="G76"/>
  <c r="E76"/>
  <c r="Y76"/>
  <c r="S76"/>
  <c r="Q76"/>
  <c r="K76"/>
  <c r="I76"/>
  <c r="AE100" i="19"/>
  <c r="AF100"/>
  <c r="AC151"/>
  <c r="AC149"/>
  <c r="AC147"/>
  <c r="AC134"/>
  <c r="AC132"/>
  <c r="AC130"/>
  <c r="AC73"/>
  <c r="AC72"/>
  <c r="AC71"/>
  <c r="AC70"/>
  <c r="C76" i="9"/>
  <c r="C52" i="19"/>
  <c r="AA117" i="9"/>
  <c r="AA119"/>
  <c r="AA120"/>
  <c r="AA121"/>
  <c r="AA122"/>
  <c r="AA123"/>
  <c r="AA124"/>
  <c r="AA125"/>
  <c r="AA126"/>
  <c r="AA127"/>
  <c r="AA67"/>
  <c r="S52" i="19"/>
  <c r="O52"/>
  <c r="H5"/>
  <c r="E52"/>
  <c r="G52"/>
  <c r="I52"/>
  <c r="J9"/>
  <c r="H9"/>
  <c r="F9"/>
  <c r="L9"/>
  <c r="AA51" i="9"/>
  <c r="AA49"/>
  <c r="AE151" i="19"/>
  <c r="AF151"/>
  <c r="AE150"/>
  <c r="AA150"/>
  <c r="AC150"/>
  <c r="AE149"/>
  <c r="AF149"/>
  <c r="AE148"/>
  <c r="AA148"/>
  <c r="AC148"/>
  <c r="AE147"/>
  <c r="AF147"/>
  <c r="Y144"/>
  <c r="W144"/>
  <c r="U144"/>
  <c r="S144"/>
  <c r="Q144"/>
  <c r="O144"/>
  <c r="M144"/>
  <c r="K144"/>
  <c r="I144"/>
  <c r="G144"/>
  <c r="E144"/>
  <c r="C144"/>
  <c r="AE143"/>
  <c r="AA143"/>
  <c r="AC143"/>
  <c r="AE142"/>
  <c r="AA142"/>
  <c r="AC142" s="1"/>
  <c r="AD142" s="1"/>
  <c r="AE141"/>
  <c r="AA141"/>
  <c r="AC141"/>
  <c r="AE140"/>
  <c r="AA140"/>
  <c r="AC140"/>
  <c r="AE139"/>
  <c r="AA139"/>
  <c r="AC139"/>
  <c r="AE138"/>
  <c r="AA138"/>
  <c r="AC138"/>
  <c r="AE137"/>
  <c r="AA137"/>
  <c r="AC137"/>
  <c r="AE136"/>
  <c r="AA136"/>
  <c r="AC136"/>
  <c r="AE134"/>
  <c r="AF134"/>
  <c r="AE133"/>
  <c r="AA133"/>
  <c r="AC133"/>
  <c r="AE132"/>
  <c r="AF132"/>
  <c r="AE130"/>
  <c r="AF130"/>
  <c r="AE128"/>
  <c r="AA128"/>
  <c r="AC128"/>
  <c r="AE127"/>
  <c r="AA127"/>
  <c r="AC127"/>
  <c r="AE125"/>
  <c r="AA125"/>
  <c r="AC125"/>
  <c r="AE124"/>
  <c r="AA124"/>
  <c r="AC124"/>
  <c r="AE123"/>
  <c r="AA123"/>
  <c r="AC123"/>
  <c r="AE122"/>
  <c r="AA122"/>
  <c r="AC122"/>
  <c r="AE121"/>
  <c r="AA121"/>
  <c r="AC121"/>
  <c r="AE120"/>
  <c r="AA120"/>
  <c r="AC120"/>
  <c r="AE119"/>
  <c r="AA119"/>
  <c r="AC119"/>
  <c r="AE117"/>
  <c r="AA117"/>
  <c r="AC117" s="1"/>
  <c r="AD117" s="1"/>
  <c r="AE116"/>
  <c r="AA116"/>
  <c r="AC116"/>
  <c r="AE105"/>
  <c r="AE103"/>
  <c r="AE101"/>
  <c r="AE99"/>
  <c r="AE98"/>
  <c r="AE97"/>
  <c r="AE96"/>
  <c r="AE95"/>
  <c r="AE94"/>
  <c r="AE92"/>
  <c r="AA92"/>
  <c r="AC92"/>
  <c r="AE91"/>
  <c r="AA91"/>
  <c r="AC91"/>
  <c r="AE90"/>
  <c r="AA90"/>
  <c r="AC90"/>
  <c r="AE89"/>
  <c r="AA89"/>
  <c r="AC89"/>
  <c r="AE88"/>
  <c r="AA88"/>
  <c r="AC88"/>
  <c r="AE87"/>
  <c r="AA87"/>
  <c r="AC87"/>
  <c r="AE86"/>
  <c r="AA86"/>
  <c r="AC86"/>
  <c r="AE85"/>
  <c r="AA85"/>
  <c r="AC85"/>
  <c r="AE84"/>
  <c r="AA84"/>
  <c r="AC84"/>
  <c r="AE83"/>
  <c r="AA83"/>
  <c r="AC83"/>
  <c r="AE82"/>
  <c r="AA82"/>
  <c r="AC82"/>
  <c r="AE81"/>
  <c r="AA81"/>
  <c r="AC81"/>
  <c r="AE80"/>
  <c r="AA80"/>
  <c r="AC80"/>
  <c r="AE79"/>
  <c r="AA79"/>
  <c r="AC79"/>
  <c r="AE78"/>
  <c r="AA78"/>
  <c r="AC78"/>
  <c r="AE77"/>
  <c r="AA77"/>
  <c r="AC77"/>
  <c r="AE69"/>
  <c r="AC69"/>
  <c r="AE68"/>
  <c r="AC68"/>
  <c r="AE67"/>
  <c r="AC67"/>
  <c r="AE66"/>
  <c r="AE65"/>
  <c r="AA65"/>
  <c r="AC65"/>
  <c r="AE64"/>
  <c r="AA64"/>
  <c r="AC64"/>
  <c r="AE63"/>
  <c r="AA63"/>
  <c r="AC63"/>
  <c r="AE62"/>
  <c r="AA62"/>
  <c r="AC62"/>
  <c r="AE61"/>
  <c r="AA61"/>
  <c r="AC61"/>
  <c r="AE60"/>
  <c r="AA60"/>
  <c r="AC60"/>
  <c r="AE59"/>
  <c r="AA59"/>
  <c r="AC59"/>
  <c r="AE58"/>
  <c r="AA58"/>
  <c r="AC58"/>
  <c r="AE57"/>
  <c r="AA57"/>
  <c r="AC57"/>
  <c r="AE56"/>
  <c r="AA56"/>
  <c r="AC56"/>
  <c r="AE55"/>
  <c r="AA55"/>
  <c r="AC55"/>
  <c r="AE54"/>
  <c r="AA54"/>
  <c r="AC54"/>
  <c r="AE53"/>
  <c r="AA53"/>
  <c r="AC53"/>
  <c r="Y52"/>
  <c r="W52"/>
  <c r="U52"/>
  <c r="Q52"/>
  <c r="M52"/>
  <c r="AE51"/>
  <c r="AA51"/>
  <c r="AC51"/>
  <c r="AE50"/>
  <c r="AA50"/>
  <c r="AC50"/>
  <c r="AE49"/>
  <c r="AA49"/>
  <c r="AC49"/>
  <c r="AE48"/>
  <c r="AA48"/>
  <c r="AC48"/>
  <c r="AE47"/>
  <c r="AA47"/>
  <c r="AC47"/>
  <c r="AE44"/>
  <c r="AA44"/>
  <c r="AC44"/>
  <c r="AE43"/>
  <c r="AA43"/>
  <c r="AC43" s="1"/>
  <c r="AE42"/>
  <c r="AA42"/>
  <c r="AC42"/>
  <c r="Y41"/>
  <c r="W41"/>
  <c r="U41"/>
  <c r="M41"/>
  <c r="K41"/>
  <c r="I41"/>
  <c r="G41"/>
  <c r="E41"/>
  <c r="C41"/>
  <c r="AE40"/>
  <c r="AA40"/>
  <c r="AC40"/>
  <c r="AE39"/>
  <c r="AA39"/>
  <c r="AC39"/>
  <c r="AE38"/>
  <c r="AA38"/>
  <c r="AC38"/>
  <c r="AE34"/>
  <c r="AA34"/>
  <c r="AC34"/>
  <c r="AE33"/>
  <c r="AA33"/>
  <c r="AC33"/>
  <c r="AE32"/>
  <c r="AA32"/>
  <c r="AC32"/>
  <c r="AE31"/>
  <c r="AA31"/>
  <c r="AC31"/>
  <c r="AE30"/>
  <c r="AA30"/>
  <c r="AC30"/>
  <c r="AE29"/>
  <c r="AA29"/>
  <c r="AC29"/>
  <c r="AE28"/>
  <c r="AA28"/>
  <c r="AC28"/>
  <c r="AE26"/>
  <c r="AA26"/>
  <c r="AC26"/>
  <c r="AE25"/>
  <c r="AA25"/>
  <c r="AC25" s="1"/>
  <c r="AD25" s="1"/>
  <c r="AE24"/>
  <c r="AA24"/>
  <c r="AC24"/>
  <c r="AE23"/>
  <c r="AA23"/>
  <c r="AC23"/>
  <c r="AE22"/>
  <c r="AA22"/>
  <c r="AC22"/>
  <c r="AE20"/>
  <c r="AA20"/>
  <c r="AC20"/>
  <c r="AE19"/>
  <c r="AA19"/>
  <c r="AC19"/>
  <c r="AE18"/>
  <c r="AA18"/>
  <c r="AC18"/>
  <c r="Y15"/>
  <c r="W15"/>
  <c r="U15"/>
  <c r="M15"/>
  <c r="K15"/>
  <c r="I15"/>
  <c r="G15"/>
  <c r="E15"/>
  <c r="C15"/>
  <c r="AE14"/>
  <c r="AA14"/>
  <c r="AC14"/>
  <c r="AE13"/>
  <c r="AA13"/>
  <c r="AC13"/>
  <c r="E12"/>
  <c r="C12"/>
  <c r="AE11"/>
  <c r="AA11"/>
  <c r="AC11"/>
  <c r="F11"/>
  <c r="D11"/>
  <c r="AE10"/>
  <c r="AA10"/>
  <c r="AC10"/>
  <c r="F10"/>
  <c r="D10"/>
  <c r="AE9"/>
  <c r="D9"/>
  <c r="AE8"/>
  <c r="AA8"/>
  <c r="AC8"/>
  <c r="F8"/>
  <c r="D8"/>
  <c r="AE7"/>
  <c r="AA7"/>
  <c r="AC7"/>
  <c r="F7"/>
  <c r="D7"/>
  <c r="AE6"/>
  <c r="AA6"/>
  <c r="AC6"/>
  <c r="F118"/>
  <c r="D118"/>
  <c r="D119"/>
  <c r="D17"/>
  <c r="E35"/>
  <c r="E35" i="25" s="1"/>
  <c r="F115" i="19"/>
  <c r="D115"/>
  <c r="AE115"/>
  <c r="AF14"/>
  <c r="AE107"/>
  <c r="AC66"/>
  <c r="AF51"/>
  <c r="F73"/>
  <c r="F71"/>
  <c r="F69"/>
  <c r="F75"/>
  <c r="F72"/>
  <c r="F70"/>
  <c r="D73"/>
  <c r="D71"/>
  <c r="D69"/>
  <c r="D75"/>
  <c r="D72"/>
  <c r="D70"/>
  <c r="AE52"/>
  <c r="AF20"/>
  <c r="AF11"/>
  <c r="AF13"/>
  <c r="AF40"/>
  <c r="AF150"/>
  <c r="AF148"/>
  <c r="AF18"/>
  <c r="AF23"/>
  <c r="AA41"/>
  <c r="AC41"/>
  <c r="AA15"/>
  <c r="AC15"/>
  <c r="AF39"/>
  <c r="AE15"/>
  <c r="C16"/>
  <c r="C10" i="27"/>
  <c r="D29" i="19"/>
  <c r="D31"/>
  <c r="D33"/>
  <c r="D47"/>
  <c r="D19"/>
  <c r="D28"/>
  <c r="D30"/>
  <c r="D32"/>
  <c r="D34"/>
  <c r="D49"/>
  <c r="F34"/>
  <c r="E21"/>
  <c r="E21" i="25" s="1"/>
  <c r="AF10" i="19"/>
  <c r="AF116"/>
  <c r="AF79"/>
  <c r="AF136"/>
  <c r="AF92"/>
  <c r="AF138"/>
  <c r="AF133"/>
  <c r="AF69"/>
  <c r="AF128"/>
  <c r="AF141"/>
  <c r="AF62"/>
  <c r="AF48"/>
  <c r="F19"/>
  <c r="E16"/>
  <c r="E10" i="27"/>
  <c r="X9" i="19"/>
  <c r="V8"/>
  <c r="V6"/>
  <c r="V11"/>
  <c r="P9"/>
  <c r="N11"/>
  <c r="N6"/>
  <c r="N8"/>
  <c r="AE144"/>
  <c r="AA144"/>
  <c r="AC144" s="1"/>
  <c r="AD144" s="1"/>
  <c r="AF137"/>
  <c r="AF140"/>
  <c r="AF139"/>
  <c r="AF143"/>
  <c r="AF119"/>
  <c r="AF120"/>
  <c r="AF124"/>
  <c r="AF123"/>
  <c r="AF121"/>
  <c r="AF127"/>
  <c r="AF125"/>
  <c r="AF91"/>
  <c r="AF85"/>
  <c r="AF81"/>
  <c r="AF87"/>
  <c r="AF89"/>
  <c r="AF88"/>
  <c r="AF77"/>
  <c r="AF86"/>
  <c r="AF90"/>
  <c r="AE93"/>
  <c r="AF80"/>
  <c r="AF83"/>
  <c r="AF78"/>
  <c r="AF53"/>
  <c r="AF55"/>
  <c r="AF58"/>
  <c r="AF50"/>
  <c r="AF42"/>
  <c r="AF54"/>
  <c r="AF61"/>
  <c r="AF63"/>
  <c r="AF57"/>
  <c r="AF59"/>
  <c r="AF44"/>
  <c r="AF60"/>
  <c r="AF64"/>
  <c r="AF68"/>
  <c r="AF56"/>
  <c r="AF67"/>
  <c r="AF24"/>
  <c r="AF7"/>
  <c r="AF6"/>
  <c r="AF8"/>
  <c r="AE102"/>
  <c r="AE104"/>
  <c r="AF101"/>
  <c r="AF94"/>
  <c r="AF99"/>
  <c r="AF103"/>
  <c r="AF98"/>
  <c r="AF96"/>
  <c r="AF65"/>
  <c r="AF66"/>
  <c r="T8"/>
  <c r="T6"/>
  <c r="T9"/>
  <c r="S12"/>
  <c r="T10"/>
  <c r="T7"/>
  <c r="T11"/>
  <c r="L8"/>
  <c r="L6"/>
  <c r="K12"/>
  <c r="L10"/>
  <c r="L7"/>
  <c r="L11"/>
  <c r="AF15"/>
  <c r="AF19"/>
  <c r="AF49"/>
  <c r="D148"/>
  <c r="D144"/>
  <c r="D127"/>
  <c r="D122"/>
  <c r="D143"/>
  <c r="D141"/>
  <c r="D139"/>
  <c r="D137"/>
  <c r="D120"/>
  <c r="D92"/>
  <c r="D90"/>
  <c r="D88"/>
  <c r="D128"/>
  <c r="D125"/>
  <c r="D142"/>
  <c r="D140"/>
  <c r="D138"/>
  <c r="D136"/>
  <c r="D121"/>
  <c r="D116"/>
  <c r="D91"/>
  <c r="D89"/>
  <c r="D87"/>
  <c r="D82"/>
  <c r="D93"/>
  <c r="D86"/>
  <c r="D83"/>
  <c r="D80"/>
  <c r="D78"/>
  <c r="D66"/>
  <c r="D64"/>
  <c r="D62"/>
  <c r="D60"/>
  <c r="D58"/>
  <c r="D56"/>
  <c r="D54"/>
  <c r="D40"/>
  <c r="D39"/>
  <c r="D38"/>
  <c r="D84"/>
  <c r="D81"/>
  <c r="D79"/>
  <c r="D77"/>
  <c r="D65"/>
  <c r="D63"/>
  <c r="D61"/>
  <c r="D59"/>
  <c r="D57"/>
  <c r="D55"/>
  <c r="D53"/>
  <c r="D52"/>
  <c r="D50"/>
  <c r="D48"/>
  <c r="D44"/>
  <c r="D42"/>
  <c r="J7"/>
  <c r="R7"/>
  <c r="R10"/>
  <c r="Y12"/>
  <c r="P7"/>
  <c r="AA9"/>
  <c r="AC9"/>
  <c r="P10"/>
  <c r="X10"/>
  <c r="G12"/>
  <c r="J6"/>
  <c r="Z6"/>
  <c r="N7"/>
  <c r="V7"/>
  <c r="J8"/>
  <c r="R8"/>
  <c r="Z8"/>
  <c r="N9"/>
  <c r="V9"/>
  <c r="N10"/>
  <c r="V10"/>
  <c r="J11"/>
  <c r="R11"/>
  <c r="Z11"/>
  <c r="M12"/>
  <c r="U12"/>
  <c r="C21"/>
  <c r="C21" i="25" s="1"/>
  <c r="F41" i="19"/>
  <c r="AA5"/>
  <c r="AC5"/>
  <c r="H6"/>
  <c r="P6"/>
  <c r="X6"/>
  <c r="H8"/>
  <c r="P8"/>
  <c r="X8"/>
  <c r="H11"/>
  <c r="P11"/>
  <c r="X11"/>
  <c r="D22"/>
  <c r="D23"/>
  <c r="D24"/>
  <c r="D25"/>
  <c r="D26"/>
  <c r="D27"/>
  <c r="F28"/>
  <c r="F29"/>
  <c r="F30"/>
  <c r="F31"/>
  <c r="F32"/>
  <c r="F33"/>
  <c r="AF38"/>
  <c r="AE41"/>
  <c r="AF41"/>
  <c r="D43"/>
  <c r="D45"/>
  <c r="D46"/>
  <c r="AF28"/>
  <c r="AF29"/>
  <c r="AF30"/>
  <c r="AF31"/>
  <c r="AF32"/>
  <c r="AF33"/>
  <c r="AF34"/>
  <c r="Z10"/>
  <c r="Q12"/>
  <c r="AF22"/>
  <c r="AF25"/>
  <c r="AF26"/>
  <c r="J10"/>
  <c r="H7"/>
  <c r="H10"/>
  <c r="O12"/>
  <c r="W12"/>
  <c r="F142"/>
  <c r="F140"/>
  <c r="F138"/>
  <c r="F136"/>
  <c r="F121"/>
  <c r="F119"/>
  <c r="F116"/>
  <c r="F148"/>
  <c r="F127"/>
  <c r="F122"/>
  <c r="F143"/>
  <c r="F141"/>
  <c r="F139"/>
  <c r="F137"/>
  <c r="F120"/>
  <c r="F93"/>
  <c r="F92"/>
  <c r="F90"/>
  <c r="F88"/>
  <c r="F86"/>
  <c r="F84"/>
  <c r="F82"/>
  <c r="F128"/>
  <c r="F125"/>
  <c r="F89"/>
  <c r="F81"/>
  <c r="F79"/>
  <c r="F77"/>
  <c r="F65"/>
  <c r="F63"/>
  <c r="F61"/>
  <c r="F59"/>
  <c r="F57"/>
  <c r="F55"/>
  <c r="F53"/>
  <c r="F52"/>
  <c r="F50"/>
  <c r="F48"/>
  <c r="F44"/>
  <c r="F42"/>
  <c r="F85"/>
  <c r="F91"/>
  <c r="F87"/>
  <c r="F83"/>
  <c r="F80"/>
  <c r="F78"/>
  <c r="F66"/>
  <c r="F64"/>
  <c r="F62"/>
  <c r="F60"/>
  <c r="F58"/>
  <c r="F56"/>
  <c r="F54"/>
  <c r="F49"/>
  <c r="F47"/>
  <c r="F45"/>
  <c r="F43"/>
  <c r="F40"/>
  <c r="F39"/>
  <c r="F38"/>
  <c r="F26"/>
  <c r="F25"/>
  <c r="F24"/>
  <c r="F23"/>
  <c r="F22"/>
  <c r="AF47"/>
  <c r="Z7"/>
  <c r="I12"/>
  <c r="AE5"/>
  <c r="X7"/>
  <c r="R6"/>
  <c r="R9"/>
  <c r="Z9"/>
  <c r="AF95"/>
  <c r="D41"/>
  <c r="AA45"/>
  <c r="AC45"/>
  <c r="AE45"/>
  <c r="AA93"/>
  <c r="AC93"/>
  <c r="AF82"/>
  <c r="AA52"/>
  <c r="AC52"/>
  <c r="AF84"/>
  <c r="F144"/>
  <c r="AF122"/>
  <c r="Z17"/>
  <c r="Z118"/>
  <c r="Z112"/>
  <c r="Z108"/>
  <c r="Z104"/>
  <c r="Z100"/>
  <c r="Z96"/>
  <c r="Z113"/>
  <c r="Z109"/>
  <c r="Z105"/>
  <c r="Z101"/>
  <c r="Z97"/>
  <c r="Z114"/>
  <c r="Z110"/>
  <c r="Z106"/>
  <c r="Z102"/>
  <c r="Z98"/>
  <c r="Z94"/>
  <c r="Z111"/>
  <c r="Z107"/>
  <c r="Z103"/>
  <c r="Z99"/>
  <c r="Z95"/>
  <c r="Z115"/>
  <c r="X118"/>
  <c r="W17"/>
  <c r="X17"/>
  <c r="X115"/>
  <c r="V118"/>
  <c r="U17"/>
  <c r="V17"/>
  <c r="V115"/>
  <c r="T118"/>
  <c r="S17"/>
  <c r="T17"/>
  <c r="R118"/>
  <c r="Q17"/>
  <c r="O17"/>
  <c r="P118"/>
  <c r="N118"/>
  <c r="N17"/>
  <c r="L118"/>
  <c r="K17"/>
  <c r="L17"/>
  <c r="J118"/>
  <c r="I17"/>
  <c r="J17"/>
  <c r="H118"/>
  <c r="F17"/>
  <c r="T115"/>
  <c r="R17"/>
  <c r="R115"/>
  <c r="P17"/>
  <c r="P115"/>
  <c r="N115"/>
  <c r="L115"/>
  <c r="J115"/>
  <c r="H17"/>
  <c r="H115"/>
  <c r="F46"/>
  <c r="E76"/>
  <c r="E76" i="25" s="1"/>
  <c r="C76" i="19"/>
  <c r="C76" i="25" s="1"/>
  <c r="Z45" i="19"/>
  <c r="R27"/>
  <c r="L27"/>
  <c r="F16"/>
  <c r="D16"/>
  <c r="C35"/>
  <c r="C35" i="25" s="1"/>
  <c r="D35" i="19"/>
  <c r="Z75"/>
  <c r="Z72"/>
  <c r="Z70"/>
  <c r="Z73"/>
  <c r="Z71"/>
  <c r="Z69"/>
  <c r="X73"/>
  <c r="X71"/>
  <c r="X69"/>
  <c r="X75"/>
  <c r="X72"/>
  <c r="X70"/>
  <c r="V73"/>
  <c r="V71"/>
  <c r="V69"/>
  <c r="V75"/>
  <c r="V72"/>
  <c r="V70"/>
  <c r="T73"/>
  <c r="T71"/>
  <c r="T69"/>
  <c r="T75"/>
  <c r="T72"/>
  <c r="T70"/>
  <c r="R73"/>
  <c r="R71"/>
  <c r="R69"/>
  <c r="R75"/>
  <c r="R72"/>
  <c r="R70"/>
  <c r="P73"/>
  <c r="P71"/>
  <c r="P69"/>
  <c r="P75"/>
  <c r="P72"/>
  <c r="P70"/>
  <c r="N73"/>
  <c r="N71"/>
  <c r="N69"/>
  <c r="N75"/>
  <c r="N72"/>
  <c r="N70"/>
  <c r="L73"/>
  <c r="L71"/>
  <c r="L69"/>
  <c r="L75"/>
  <c r="L72"/>
  <c r="L70"/>
  <c r="J73"/>
  <c r="J71"/>
  <c r="J69"/>
  <c r="J75"/>
  <c r="J72"/>
  <c r="J70"/>
  <c r="H73"/>
  <c r="H71"/>
  <c r="H69"/>
  <c r="H75"/>
  <c r="H72"/>
  <c r="H70"/>
  <c r="N144"/>
  <c r="N47"/>
  <c r="F27"/>
  <c r="AF104"/>
  <c r="J144"/>
  <c r="H52"/>
  <c r="X41"/>
  <c r="X52"/>
  <c r="V45"/>
  <c r="T52"/>
  <c r="R45"/>
  <c r="AF144"/>
  <c r="H41"/>
  <c r="P144"/>
  <c r="P128"/>
  <c r="P125"/>
  <c r="P142"/>
  <c r="P140"/>
  <c r="P138"/>
  <c r="P136"/>
  <c r="P121"/>
  <c r="P119"/>
  <c r="P116"/>
  <c r="P91"/>
  <c r="P89"/>
  <c r="P87"/>
  <c r="P148"/>
  <c r="P127"/>
  <c r="P122"/>
  <c r="P143"/>
  <c r="P141"/>
  <c r="P139"/>
  <c r="P137"/>
  <c r="P120"/>
  <c r="P92"/>
  <c r="P90"/>
  <c r="P88"/>
  <c r="P86"/>
  <c r="P82"/>
  <c r="P45"/>
  <c r="P85"/>
  <c r="P81"/>
  <c r="P79"/>
  <c r="P77"/>
  <c r="P65"/>
  <c r="P63"/>
  <c r="P61"/>
  <c r="P59"/>
  <c r="P57"/>
  <c r="P55"/>
  <c r="P53"/>
  <c r="P50"/>
  <c r="P93"/>
  <c r="P83"/>
  <c r="P84"/>
  <c r="P80"/>
  <c r="P78"/>
  <c r="P66"/>
  <c r="P64"/>
  <c r="P62"/>
  <c r="P60"/>
  <c r="P58"/>
  <c r="P56"/>
  <c r="P54"/>
  <c r="P49"/>
  <c r="P47"/>
  <c r="P43"/>
  <c r="P44"/>
  <c r="P42"/>
  <c r="O35"/>
  <c r="O35" i="25" s="1"/>
  <c r="P48" i="19"/>
  <c r="O16"/>
  <c r="O21"/>
  <c r="AF105"/>
  <c r="AF97"/>
  <c r="AF93"/>
  <c r="AB10"/>
  <c r="AB6"/>
  <c r="AF5"/>
  <c r="AA12"/>
  <c r="AB7"/>
  <c r="AB11"/>
  <c r="AB8"/>
  <c r="V142"/>
  <c r="V140"/>
  <c r="V138"/>
  <c r="V136"/>
  <c r="V121"/>
  <c r="V119"/>
  <c r="V116"/>
  <c r="V148"/>
  <c r="V127"/>
  <c r="V122"/>
  <c r="V144"/>
  <c r="V143"/>
  <c r="V141"/>
  <c r="V139"/>
  <c r="V137"/>
  <c r="V120"/>
  <c r="V93"/>
  <c r="V92"/>
  <c r="V90"/>
  <c r="V88"/>
  <c r="V86"/>
  <c r="V84"/>
  <c r="V82"/>
  <c r="V128"/>
  <c r="V125"/>
  <c r="V91"/>
  <c r="V87"/>
  <c r="V83"/>
  <c r="V81"/>
  <c r="V79"/>
  <c r="V77"/>
  <c r="V65"/>
  <c r="V63"/>
  <c r="V61"/>
  <c r="V59"/>
  <c r="V57"/>
  <c r="V55"/>
  <c r="V53"/>
  <c r="V52"/>
  <c r="V50"/>
  <c r="V48"/>
  <c r="V44"/>
  <c r="V42"/>
  <c r="V41"/>
  <c r="V89"/>
  <c r="V85"/>
  <c r="V80"/>
  <c r="V78"/>
  <c r="V66"/>
  <c r="V64"/>
  <c r="V62"/>
  <c r="V60"/>
  <c r="V58"/>
  <c r="V56"/>
  <c r="V54"/>
  <c r="V49"/>
  <c r="V47"/>
  <c r="V43"/>
  <c r="V34"/>
  <c r="V33"/>
  <c r="V32"/>
  <c r="V31"/>
  <c r="V30"/>
  <c r="V29"/>
  <c r="V28"/>
  <c r="V19"/>
  <c r="V24"/>
  <c r="V23"/>
  <c r="V22"/>
  <c r="V40"/>
  <c r="U16"/>
  <c r="V39"/>
  <c r="V38"/>
  <c r="V26"/>
  <c r="V25"/>
  <c r="AF9"/>
  <c r="AB9"/>
  <c r="K21"/>
  <c r="S21"/>
  <c r="P52"/>
  <c r="J45"/>
  <c r="AF107"/>
  <c r="J143"/>
  <c r="J141"/>
  <c r="J139"/>
  <c r="J137"/>
  <c r="J120"/>
  <c r="J128"/>
  <c r="J125"/>
  <c r="J142"/>
  <c r="J140"/>
  <c r="J138"/>
  <c r="J136"/>
  <c r="J121"/>
  <c r="J119"/>
  <c r="J116"/>
  <c r="J93"/>
  <c r="J91"/>
  <c r="J89"/>
  <c r="J87"/>
  <c r="J85"/>
  <c r="J83"/>
  <c r="J148"/>
  <c r="J127"/>
  <c r="J122"/>
  <c r="J90"/>
  <c r="J80"/>
  <c r="J78"/>
  <c r="J66"/>
  <c r="J64"/>
  <c r="J62"/>
  <c r="J60"/>
  <c r="J58"/>
  <c r="J56"/>
  <c r="J54"/>
  <c r="J52"/>
  <c r="J49"/>
  <c r="J47"/>
  <c r="J43"/>
  <c r="J84"/>
  <c r="J92"/>
  <c r="J88"/>
  <c r="J86"/>
  <c r="J82"/>
  <c r="J81"/>
  <c r="J79"/>
  <c r="J77"/>
  <c r="J65"/>
  <c r="J63"/>
  <c r="J61"/>
  <c r="J59"/>
  <c r="J57"/>
  <c r="J55"/>
  <c r="J53"/>
  <c r="J50"/>
  <c r="J48"/>
  <c r="J44"/>
  <c r="J42"/>
  <c r="J34"/>
  <c r="J33"/>
  <c r="J32"/>
  <c r="J31"/>
  <c r="J30"/>
  <c r="J29"/>
  <c r="J28"/>
  <c r="J19"/>
  <c r="J40"/>
  <c r="J39"/>
  <c r="J38"/>
  <c r="J26"/>
  <c r="J25"/>
  <c r="J24"/>
  <c r="J23"/>
  <c r="J22"/>
  <c r="I16"/>
  <c r="I10" i="27"/>
  <c r="J41" i="19"/>
  <c r="Y21"/>
  <c r="Y21" i="25" s="1"/>
  <c r="I21" i="19"/>
  <c r="L148"/>
  <c r="L144"/>
  <c r="L127"/>
  <c r="L122"/>
  <c r="L143"/>
  <c r="L141"/>
  <c r="L139"/>
  <c r="L137"/>
  <c r="L120"/>
  <c r="L92"/>
  <c r="L90"/>
  <c r="L88"/>
  <c r="L128"/>
  <c r="L125"/>
  <c r="L142"/>
  <c r="L140"/>
  <c r="L138"/>
  <c r="L136"/>
  <c r="L121"/>
  <c r="L119"/>
  <c r="L116"/>
  <c r="L91"/>
  <c r="L89"/>
  <c r="L87"/>
  <c r="L83"/>
  <c r="L45"/>
  <c r="L80"/>
  <c r="L78"/>
  <c r="L66"/>
  <c r="L64"/>
  <c r="L62"/>
  <c r="L60"/>
  <c r="L58"/>
  <c r="L56"/>
  <c r="L54"/>
  <c r="L84"/>
  <c r="L40"/>
  <c r="L39"/>
  <c r="L38"/>
  <c r="L93"/>
  <c r="L86"/>
  <c r="L85"/>
  <c r="L82"/>
  <c r="L81"/>
  <c r="L79"/>
  <c r="L77"/>
  <c r="L65"/>
  <c r="L63"/>
  <c r="L61"/>
  <c r="L59"/>
  <c r="L57"/>
  <c r="L55"/>
  <c r="L53"/>
  <c r="L50"/>
  <c r="L48"/>
  <c r="L44"/>
  <c r="L42"/>
  <c r="L19"/>
  <c r="K16"/>
  <c r="K10" i="27"/>
  <c r="L34" i="19"/>
  <c r="L33"/>
  <c r="L32"/>
  <c r="L31"/>
  <c r="L30"/>
  <c r="L29"/>
  <c r="L28"/>
  <c r="L49"/>
  <c r="L47"/>
  <c r="L26"/>
  <c r="L25"/>
  <c r="L24"/>
  <c r="L23"/>
  <c r="L22"/>
  <c r="L43"/>
  <c r="T148"/>
  <c r="T144"/>
  <c r="T127"/>
  <c r="T122"/>
  <c r="T143"/>
  <c r="T141"/>
  <c r="T139"/>
  <c r="T137"/>
  <c r="T120"/>
  <c r="T92"/>
  <c r="T90"/>
  <c r="T88"/>
  <c r="T128"/>
  <c r="T125"/>
  <c r="T142"/>
  <c r="T140"/>
  <c r="T138"/>
  <c r="T136"/>
  <c r="T121"/>
  <c r="T119"/>
  <c r="T116"/>
  <c r="T91"/>
  <c r="T89"/>
  <c r="T87"/>
  <c r="T85"/>
  <c r="T45"/>
  <c r="T40"/>
  <c r="T93"/>
  <c r="T86"/>
  <c r="T84"/>
  <c r="T80"/>
  <c r="T78"/>
  <c r="T66"/>
  <c r="T64"/>
  <c r="T62"/>
  <c r="T60"/>
  <c r="T58"/>
  <c r="T56"/>
  <c r="T54"/>
  <c r="T82"/>
  <c r="T41"/>
  <c r="T83"/>
  <c r="T81"/>
  <c r="T79"/>
  <c r="T77"/>
  <c r="T65"/>
  <c r="T63"/>
  <c r="T61"/>
  <c r="T59"/>
  <c r="T57"/>
  <c r="T55"/>
  <c r="T53"/>
  <c r="T50"/>
  <c r="T48"/>
  <c r="T44"/>
  <c r="T42"/>
  <c r="T43"/>
  <c r="T39"/>
  <c r="T38"/>
  <c r="T19"/>
  <c r="T49"/>
  <c r="T47"/>
  <c r="T34"/>
  <c r="T33"/>
  <c r="T32"/>
  <c r="T31"/>
  <c r="T30"/>
  <c r="T29"/>
  <c r="T28"/>
  <c r="T26"/>
  <c r="T25"/>
  <c r="T24"/>
  <c r="T23"/>
  <c r="T22"/>
  <c r="S16"/>
  <c r="AF102"/>
  <c r="AF52"/>
  <c r="AF45"/>
  <c r="X144"/>
  <c r="X128"/>
  <c r="X125"/>
  <c r="X142"/>
  <c r="X140"/>
  <c r="X138"/>
  <c r="X136"/>
  <c r="X119"/>
  <c r="X116"/>
  <c r="X91"/>
  <c r="X89"/>
  <c r="X87"/>
  <c r="X148"/>
  <c r="X127"/>
  <c r="X122"/>
  <c r="X143"/>
  <c r="X141"/>
  <c r="X139"/>
  <c r="X137"/>
  <c r="X120"/>
  <c r="X92"/>
  <c r="X90"/>
  <c r="X88"/>
  <c r="X86"/>
  <c r="X93"/>
  <c r="X45"/>
  <c r="X83"/>
  <c r="X81"/>
  <c r="X79"/>
  <c r="X77"/>
  <c r="X65"/>
  <c r="X63"/>
  <c r="X61"/>
  <c r="X59"/>
  <c r="X57"/>
  <c r="X55"/>
  <c r="X53"/>
  <c r="X50"/>
  <c r="X84"/>
  <c r="X40"/>
  <c r="X39"/>
  <c r="X38"/>
  <c r="X85"/>
  <c r="X82"/>
  <c r="X80"/>
  <c r="X78"/>
  <c r="X66"/>
  <c r="X64"/>
  <c r="X62"/>
  <c r="X60"/>
  <c r="X58"/>
  <c r="X56"/>
  <c r="X54"/>
  <c r="X49"/>
  <c r="X47"/>
  <c r="X43"/>
  <c r="X48"/>
  <c r="X34"/>
  <c r="X33"/>
  <c r="X32"/>
  <c r="X28"/>
  <c r="W16"/>
  <c r="X26"/>
  <c r="X25"/>
  <c r="X24"/>
  <c r="X23"/>
  <c r="X44"/>
  <c r="X42"/>
  <c r="X19"/>
  <c r="X31"/>
  <c r="X30"/>
  <c r="X29"/>
  <c r="X22"/>
  <c r="W21"/>
  <c r="R143"/>
  <c r="R141"/>
  <c r="R139"/>
  <c r="R137"/>
  <c r="R120"/>
  <c r="R128"/>
  <c r="R125"/>
  <c r="R144"/>
  <c r="R142"/>
  <c r="R140"/>
  <c r="R138"/>
  <c r="R136"/>
  <c r="R121"/>
  <c r="R119"/>
  <c r="R116"/>
  <c r="R93"/>
  <c r="R91"/>
  <c r="R89"/>
  <c r="R87"/>
  <c r="R85"/>
  <c r="R83"/>
  <c r="R148"/>
  <c r="R127"/>
  <c r="R122"/>
  <c r="R86"/>
  <c r="R84"/>
  <c r="R80"/>
  <c r="R78"/>
  <c r="R66"/>
  <c r="R64"/>
  <c r="R62"/>
  <c r="R60"/>
  <c r="R58"/>
  <c r="R56"/>
  <c r="R54"/>
  <c r="R52"/>
  <c r="R49"/>
  <c r="R47"/>
  <c r="R43"/>
  <c r="R90"/>
  <c r="R82"/>
  <c r="R81"/>
  <c r="R79"/>
  <c r="R77"/>
  <c r="R65"/>
  <c r="R63"/>
  <c r="R61"/>
  <c r="R59"/>
  <c r="R57"/>
  <c r="R55"/>
  <c r="R53"/>
  <c r="R50"/>
  <c r="R48"/>
  <c r="R44"/>
  <c r="R42"/>
  <c r="R92"/>
  <c r="R88"/>
  <c r="Q16"/>
  <c r="Q35"/>
  <c r="Q35" i="25" s="1"/>
  <c r="C36" i="19"/>
  <c r="C36" i="25" s="1"/>
  <c r="D21" i="19"/>
  <c r="M21"/>
  <c r="M21" i="25" s="1"/>
  <c r="Z143" i="19"/>
  <c r="Z141"/>
  <c r="Z139"/>
  <c r="Z137"/>
  <c r="Z120"/>
  <c r="Z128"/>
  <c r="Z125"/>
  <c r="Z121"/>
  <c r="Z144"/>
  <c r="Z142"/>
  <c r="Z140"/>
  <c r="Z138"/>
  <c r="Z136"/>
  <c r="Z119"/>
  <c r="Z116"/>
  <c r="Z93"/>
  <c r="Z91"/>
  <c r="Z89"/>
  <c r="Z87"/>
  <c r="Z85"/>
  <c r="Z83"/>
  <c r="Z148"/>
  <c r="Z127"/>
  <c r="Z122"/>
  <c r="Z92"/>
  <c r="Z88"/>
  <c r="Z82"/>
  <c r="Z80"/>
  <c r="Z78"/>
  <c r="Z66"/>
  <c r="Z64"/>
  <c r="Z62"/>
  <c r="Z60"/>
  <c r="Z58"/>
  <c r="Z56"/>
  <c r="Z54"/>
  <c r="Z52"/>
  <c r="Z49"/>
  <c r="Z47"/>
  <c r="Z43"/>
  <c r="Z41"/>
  <c r="Z90"/>
  <c r="Z86"/>
  <c r="Z81"/>
  <c r="Z79"/>
  <c r="Z77"/>
  <c r="Z65"/>
  <c r="Z63"/>
  <c r="Z61"/>
  <c r="Z59"/>
  <c r="Z57"/>
  <c r="Z55"/>
  <c r="Z53"/>
  <c r="Z50"/>
  <c r="Z48"/>
  <c r="Z44"/>
  <c r="Z42"/>
  <c r="Z84"/>
  <c r="Z40"/>
  <c r="Z39"/>
  <c r="Z38"/>
  <c r="Z26"/>
  <c r="Z25"/>
  <c r="Z24"/>
  <c r="Z23"/>
  <c r="Z22"/>
  <c r="Z19"/>
  <c r="Z34"/>
  <c r="Z33"/>
  <c r="Z32"/>
  <c r="Z31"/>
  <c r="Z30"/>
  <c r="Z29"/>
  <c r="Z28"/>
  <c r="Y16"/>
  <c r="Q21"/>
  <c r="N142"/>
  <c r="N140"/>
  <c r="N138"/>
  <c r="N136"/>
  <c r="N121"/>
  <c r="N119"/>
  <c r="N116"/>
  <c r="N148"/>
  <c r="N127"/>
  <c r="N122"/>
  <c r="N143"/>
  <c r="N141"/>
  <c r="N139"/>
  <c r="N137"/>
  <c r="N120"/>
  <c r="N93"/>
  <c r="N92"/>
  <c r="N90"/>
  <c r="N88"/>
  <c r="N86"/>
  <c r="N84"/>
  <c r="N82"/>
  <c r="N128"/>
  <c r="N125"/>
  <c r="N85"/>
  <c r="N81"/>
  <c r="N79"/>
  <c r="N77"/>
  <c r="N65"/>
  <c r="N63"/>
  <c r="N61"/>
  <c r="N59"/>
  <c r="N57"/>
  <c r="N55"/>
  <c r="N53"/>
  <c r="N52"/>
  <c r="N50"/>
  <c r="N48"/>
  <c r="N44"/>
  <c r="N42"/>
  <c r="N89"/>
  <c r="N83"/>
  <c r="N80"/>
  <c r="N78"/>
  <c r="N66"/>
  <c r="N64"/>
  <c r="N62"/>
  <c r="N60"/>
  <c r="N58"/>
  <c r="N56"/>
  <c r="N54"/>
  <c r="N49"/>
  <c r="N43"/>
  <c r="N91"/>
  <c r="N87"/>
  <c r="N40"/>
  <c r="N39"/>
  <c r="N38"/>
  <c r="N26"/>
  <c r="N25"/>
  <c r="N24"/>
  <c r="N23"/>
  <c r="N22"/>
  <c r="N19"/>
  <c r="N41"/>
  <c r="N34"/>
  <c r="N33"/>
  <c r="N32"/>
  <c r="N31"/>
  <c r="N30"/>
  <c r="N29"/>
  <c r="N28"/>
  <c r="M16"/>
  <c r="M10" i="27"/>
  <c r="H144" i="19"/>
  <c r="H128"/>
  <c r="H125"/>
  <c r="H142"/>
  <c r="H140"/>
  <c r="H138"/>
  <c r="H136"/>
  <c r="H121"/>
  <c r="H119"/>
  <c r="H116"/>
  <c r="H91"/>
  <c r="H89"/>
  <c r="H87"/>
  <c r="H148"/>
  <c r="H127"/>
  <c r="H122"/>
  <c r="H143"/>
  <c r="H141"/>
  <c r="H139"/>
  <c r="H137"/>
  <c r="H120"/>
  <c r="H92"/>
  <c r="H90"/>
  <c r="H88"/>
  <c r="H86"/>
  <c r="H93"/>
  <c r="H84"/>
  <c r="H45"/>
  <c r="H40"/>
  <c r="H82"/>
  <c r="H81"/>
  <c r="H79"/>
  <c r="H77"/>
  <c r="H65"/>
  <c r="H63"/>
  <c r="H61"/>
  <c r="H59"/>
  <c r="H57"/>
  <c r="H55"/>
  <c r="H53"/>
  <c r="H85"/>
  <c r="H83"/>
  <c r="H80"/>
  <c r="H78"/>
  <c r="H66"/>
  <c r="H64"/>
  <c r="H62"/>
  <c r="H60"/>
  <c r="H58"/>
  <c r="H56"/>
  <c r="H54"/>
  <c r="H49"/>
  <c r="H47"/>
  <c r="H43"/>
  <c r="H42"/>
  <c r="H29"/>
  <c r="AE12"/>
  <c r="H50"/>
  <c r="H48"/>
  <c r="H19"/>
  <c r="H44"/>
  <c r="H39"/>
  <c r="H38"/>
  <c r="H34"/>
  <c r="H33"/>
  <c r="H32"/>
  <c r="H31"/>
  <c r="H30"/>
  <c r="H28"/>
  <c r="H26"/>
  <c r="H25"/>
  <c r="H24"/>
  <c r="H23"/>
  <c r="H22"/>
  <c r="G16"/>
  <c r="G10" i="27"/>
  <c r="L52" i="19"/>
  <c r="L41"/>
  <c r="N45"/>
  <c r="Y126"/>
  <c r="Y10" i="27"/>
  <c r="W126" i="19"/>
  <c r="W10" i="27"/>
  <c r="U10"/>
  <c r="AE126" i="19"/>
  <c r="S10" i="27"/>
  <c r="Q10"/>
  <c r="O10"/>
  <c r="AB96" i="19"/>
  <c r="AB99"/>
  <c r="AB103"/>
  <c r="AB107"/>
  <c r="AB111"/>
  <c r="AB97"/>
  <c r="AB100"/>
  <c r="AB104"/>
  <c r="AB108"/>
  <c r="AB112"/>
  <c r="AB95"/>
  <c r="AB101"/>
  <c r="AB105"/>
  <c r="AB109"/>
  <c r="AB113"/>
  <c r="AB98"/>
  <c r="AB102"/>
  <c r="AB106"/>
  <c r="AB110"/>
  <c r="AB114"/>
  <c r="AB115"/>
  <c r="AB94"/>
  <c r="Z126"/>
  <c r="L126"/>
  <c r="V126"/>
  <c r="S129"/>
  <c r="T129" s="1"/>
  <c r="R126"/>
  <c r="J126"/>
  <c r="H126"/>
  <c r="E129"/>
  <c r="F126"/>
  <c r="AC12"/>
  <c r="AA126"/>
  <c r="AB126"/>
  <c r="D126"/>
  <c r="U21"/>
  <c r="V21"/>
  <c r="AA17"/>
  <c r="AC17" s="1"/>
  <c r="AD17" s="1"/>
  <c r="AE17"/>
  <c r="AB45"/>
  <c r="AB52"/>
  <c r="AD9"/>
  <c r="G21"/>
  <c r="G21" i="25" s="1"/>
  <c r="G35" i="19"/>
  <c r="G35" i="25" s="1"/>
  <c r="AE27" i="19"/>
  <c r="H27"/>
  <c r="J21"/>
  <c r="V16"/>
  <c r="P16"/>
  <c r="H16"/>
  <c r="AE16"/>
  <c r="AF115"/>
  <c r="Z16"/>
  <c r="X16"/>
  <c r="L16"/>
  <c r="Z21"/>
  <c r="J27"/>
  <c r="I35"/>
  <c r="I35" i="25" s="1"/>
  <c r="T21" i="19"/>
  <c r="U35"/>
  <c r="U35" i="25" s="1"/>
  <c r="V27" i="19"/>
  <c r="AD10"/>
  <c r="AD7"/>
  <c r="AD11"/>
  <c r="AD6"/>
  <c r="AD8"/>
  <c r="R21"/>
  <c r="Q36"/>
  <c r="Q36" i="25" s="1"/>
  <c r="T27" i="19"/>
  <c r="S35"/>
  <c r="S35" i="25" s="1"/>
  <c r="L21" i="19"/>
  <c r="N16"/>
  <c r="N21"/>
  <c r="T16"/>
  <c r="AB142"/>
  <c r="AB140"/>
  <c r="AB138"/>
  <c r="AB136"/>
  <c r="AB119"/>
  <c r="AB116"/>
  <c r="AB120"/>
  <c r="AB117"/>
  <c r="AB89"/>
  <c r="AB81"/>
  <c r="AB79"/>
  <c r="AB77"/>
  <c r="AB68"/>
  <c r="AB65"/>
  <c r="AB63"/>
  <c r="AB61"/>
  <c r="AB59"/>
  <c r="AB57"/>
  <c r="AB55"/>
  <c r="AB53"/>
  <c r="AB50"/>
  <c r="AB48"/>
  <c r="AB44"/>
  <c r="AB42"/>
  <c r="AB85"/>
  <c r="AB91"/>
  <c r="AB87"/>
  <c r="AB39"/>
  <c r="AB38"/>
  <c r="AF12"/>
  <c r="AB40"/>
  <c r="AA16"/>
  <c r="AC16"/>
  <c r="AB23"/>
  <c r="AB25"/>
  <c r="AB28"/>
  <c r="AB30"/>
  <c r="AB32"/>
  <c r="AB34"/>
  <c r="AB83"/>
  <c r="AB51"/>
  <c r="AB80"/>
  <c r="AB121"/>
  <c r="AB128"/>
  <c r="AB144"/>
  <c r="AB54"/>
  <c r="AB88"/>
  <c r="AB49"/>
  <c r="AB41"/>
  <c r="AB47"/>
  <c r="AB56"/>
  <c r="AB64"/>
  <c r="AB78"/>
  <c r="AB125"/>
  <c r="AB90"/>
  <c r="AB141"/>
  <c r="AB22"/>
  <c r="AB26"/>
  <c r="AB29"/>
  <c r="AB33"/>
  <c r="AB43"/>
  <c r="AB62"/>
  <c r="AB139"/>
  <c r="AB148"/>
  <c r="AB19"/>
  <c r="AB60"/>
  <c r="AB84"/>
  <c r="AB86"/>
  <c r="AB137"/>
  <c r="AB58"/>
  <c r="AB66"/>
  <c r="AB82"/>
  <c r="AB92"/>
  <c r="AB143"/>
  <c r="AB127"/>
  <c r="AB24"/>
  <c r="AB31"/>
  <c r="AB122"/>
  <c r="O36"/>
  <c r="O36" i="25" s="1"/>
  <c r="P21" i="19"/>
  <c r="N27"/>
  <c r="M35"/>
  <c r="M35" i="25" s="1"/>
  <c r="Y35" i="19"/>
  <c r="Y35" i="25" s="1"/>
  <c r="Z27" i="19"/>
  <c r="R16"/>
  <c r="X21"/>
  <c r="J16"/>
  <c r="D36"/>
  <c r="C37"/>
  <c r="C37" i="25" s="1"/>
  <c r="W35" i="19"/>
  <c r="W35" i="25" s="1"/>
  <c r="K35" i="19"/>
  <c r="K35" i="25" s="1"/>
  <c r="AB93" i="19"/>
  <c r="Y76"/>
  <c r="Y76" i="25" s="1"/>
  <c r="Z46" i="19"/>
  <c r="Y129"/>
  <c r="AE129" s="1"/>
  <c r="Z129"/>
  <c r="W129"/>
  <c r="X129"/>
  <c r="X126"/>
  <c r="X46"/>
  <c r="W76"/>
  <c r="W76" i="25" s="1"/>
  <c r="U129" i="19"/>
  <c r="V129" s="1"/>
  <c r="V46"/>
  <c r="U76"/>
  <c r="U76" i="25" s="1"/>
  <c r="AA10" i="27"/>
  <c r="T46" i="19"/>
  <c r="S76"/>
  <c r="S76" i="25" s="1"/>
  <c r="T126" i="19"/>
  <c r="Q11" i="27"/>
  <c r="R46" i="19"/>
  <c r="Q76"/>
  <c r="Q76" i="25" s="1"/>
  <c r="Q129" i="19"/>
  <c r="R129" s="1"/>
  <c r="O11" i="27"/>
  <c r="P46" i="19"/>
  <c r="O76"/>
  <c r="O76" i="25" s="1"/>
  <c r="O129" i="19"/>
  <c r="P126"/>
  <c r="M129"/>
  <c r="N129" s="1"/>
  <c r="N46"/>
  <c r="M76"/>
  <c r="M76" i="25" s="1"/>
  <c r="N126" i="19"/>
  <c r="L46"/>
  <c r="K76"/>
  <c r="K76" i="25" s="1"/>
  <c r="K129" i="19"/>
  <c r="L129" s="1"/>
  <c r="I129"/>
  <c r="J129" s="1"/>
  <c r="J46"/>
  <c r="I76"/>
  <c r="I76" i="25" s="1"/>
  <c r="G129" i="19"/>
  <c r="H46"/>
  <c r="G76"/>
  <c r="G76" i="25" s="1"/>
  <c r="AA46" i="19"/>
  <c r="AB46" s="1"/>
  <c r="AE46"/>
  <c r="AD52"/>
  <c r="AD97"/>
  <c r="AD95"/>
  <c r="AD111"/>
  <c r="AD107"/>
  <c r="AD103"/>
  <c r="AD99"/>
  <c r="AD114"/>
  <c r="AD110"/>
  <c r="AD106"/>
  <c r="AD102"/>
  <c r="AD98"/>
  <c r="AD96"/>
  <c r="AD113"/>
  <c r="AD109"/>
  <c r="AD105"/>
  <c r="AD101"/>
  <c r="AD94"/>
  <c r="AD112"/>
  <c r="AD108"/>
  <c r="AD104"/>
  <c r="AD100"/>
  <c r="AD115"/>
  <c r="AA27"/>
  <c r="AC27" s="1"/>
  <c r="AD27" s="1"/>
  <c r="X27"/>
  <c r="E145"/>
  <c r="F68" s="1"/>
  <c r="F129"/>
  <c r="D129"/>
  <c r="C145"/>
  <c r="D68" s="1"/>
  <c r="AC126"/>
  <c r="AD126"/>
  <c r="AF126"/>
  <c r="AE21"/>
  <c r="AA21"/>
  <c r="AB21" s="1"/>
  <c r="AD93"/>
  <c r="AD45"/>
  <c r="H21"/>
  <c r="H35"/>
  <c r="M36"/>
  <c r="M36" i="25" s="1"/>
  <c r="S36" i="19"/>
  <c r="S36" i="25" s="1"/>
  <c r="C131" i="19"/>
  <c r="W36"/>
  <c r="W36" i="25" s="1"/>
  <c r="U36" i="19"/>
  <c r="U36" i="25" s="1"/>
  <c r="U11" i="27"/>
  <c r="I36" i="19"/>
  <c r="I36" i="25" s="1"/>
  <c r="AA158" i="19"/>
  <c r="AF16"/>
  <c r="AD16"/>
  <c r="AB16"/>
  <c r="AD119"/>
  <c r="AD116"/>
  <c r="AD31"/>
  <c r="AD19"/>
  <c r="AD48"/>
  <c r="AD77"/>
  <c r="AD38"/>
  <c r="AD61"/>
  <c r="AD138"/>
  <c r="AD81"/>
  <c r="AD128"/>
  <c r="AD91"/>
  <c r="AD140"/>
  <c r="AD33"/>
  <c r="AD26"/>
  <c r="AD63"/>
  <c r="AD68"/>
  <c r="AD57"/>
  <c r="AD29"/>
  <c r="AD34"/>
  <c r="AD32"/>
  <c r="AD44"/>
  <c r="AD79"/>
  <c r="AD59"/>
  <c r="AD82"/>
  <c r="AD125"/>
  <c r="AD121"/>
  <c r="AD30"/>
  <c r="AD28"/>
  <c r="AD42"/>
  <c r="AD40"/>
  <c r="AD55"/>
  <c r="AD84"/>
  <c r="AD50"/>
  <c r="AD65"/>
  <c r="AD87"/>
  <c r="AD85"/>
  <c r="AD120"/>
  <c r="AD89"/>
  <c r="AD83"/>
  <c r="AD136"/>
  <c r="AD39"/>
  <c r="AD53"/>
  <c r="AD58"/>
  <c r="AD24"/>
  <c r="AD56"/>
  <c r="AD143"/>
  <c r="AD41"/>
  <c r="AD137"/>
  <c r="AD51"/>
  <c r="AD127"/>
  <c r="AD92"/>
  <c r="AD139"/>
  <c r="AD141"/>
  <c r="AD64"/>
  <c r="AD88"/>
  <c r="AD148"/>
  <c r="AD86"/>
  <c r="AD60"/>
  <c r="AD23"/>
  <c r="AD78"/>
  <c r="AD122"/>
  <c r="AD90"/>
  <c r="AD62"/>
  <c r="AD47"/>
  <c r="AD49"/>
  <c r="AD66"/>
  <c r="AD54"/>
  <c r="AD80"/>
  <c r="AD22"/>
  <c r="K36"/>
  <c r="K36" i="25" s="1"/>
  <c r="K11" i="27"/>
  <c r="O37" i="19"/>
  <c r="O37" i="25" s="1"/>
  <c r="C12" i="27"/>
  <c r="Z76" i="19"/>
  <c r="T76"/>
  <c r="O145"/>
  <c r="O156" s="1"/>
  <c r="P129"/>
  <c r="K145"/>
  <c r="L68" s="1"/>
  <c r="AA46" i="25"/>
  <c r="AA126"/>
  <c r="AC126" s="1"/>
  <c r="G145" i="19"/>
  <c r="H68" s="1"/>
  <c r="H129"/>
  <c r="AA35"/>
  <c r="AC35" s="1"/>
  <c r="AD35" s="1"/>
  <c r="D145"/>
  <c r="X36"/>
  <c r="P37"/>
  <c r="J36"/>
  <c r="I37"/>
  <c r="I37" i="25" s="1"/>
  <c r="V36" i="19"/>
  <c r="U37"/>
  <c r="U37" i="25" s="1"/>
  <c r="N36" i="19"/>
  <c r="M37"/>
  <c r="M37" i="25" s="1"/>
  <c r="L36" i="19"/>
  <c r="N37"/>
  <c r="U131"/>
  <c r="U135" s="1"/>
  <c r="J37"/>
  <c r="AA137" i="9"/>
  <c r="AA138"/>
  <c r="AE136" i="26"/>
  <c r="AF136"/>
  <c r="AC136"/>
  <c r="AE135"/>
  <c r="AA135"/>
  <c r="AC135"/>
  <c r="AE134"/>
  <c r="AF134"/>
  <c r="AC134"/>
  <c r="AE133"/>
  <c r="AC133"/>
  <c r="AA133"/>
  <c r="AF133"/>
  <c r="AE132"/>
  <c r="AF132"/>
  <c r="AC132"/>
  <c r="Y129"/>
  <c r="W129"/>
  <c r="U129"/>
  <c r="S129"/>
  <c r="Q129"/>
  <c r="O129"/>
  <c r="M129"/>
  <c r="N129"/>
  <c r="K129"/>
  <c r="I129"/>
  <c r="J129"/>
  <c r="G129"/>
  <c r="E129"/>
  <c r="C129"/>
  <c r="AE128"/>
  <c r="AA128"/>
  <c r="AF128"/>
  <c r="AE127"/>
  <c r="AA127"/>
  <c r="AE126"/>
  <c r="AA126"/>
  <c r="AF126"/>
  <c r="AE125"/>
  <c r="AA125"/>
  <c r="AE124"/>
  <c r="AA124"/>
  <c r="AC124"/>
  <c r="AE123"/>
  <c r="AA123"/>
  <c r="AF122"/>
  <c r="AE122"/>
  <c r="AC122"/>
  <c r="AA122"/>
  <c r="AE121"/>
  <c r="AA121"/>
  <c r="AE119"/>
  <c r="AF119"/>
  <c r="AC119"/>
  <c r="AE118"/>
  <c r="AA118"/>
  <c r="AF117"/>
  <c r="AE117"/>
  <c r="AC117"/>
  <c r="AE115"/>
  <c r="AF115"/>
  <c r="AC115"/>
  <c r="K114"/>
  <c r="I114"/>
  <c r="J114"/>
  <c r="G114"/>
  <c r="E114"/>
  <c r="C114"/>
  <c r="AE113"/>
  <c r="AF113"/>
  <c r="AA113"/>
  <c r="AC113"/>
  <c r="AE112"/>
  <c r="AA112"/>
  <c r="AC112"/>
  <c r="Y111"/>
  <c r="Y114"/>
  <c r="W111"/>
  <c r="W114"/>
  <c r="U111"/>
  <c r="U114"/>
  <c r="S111"/>
  <c r="Q111"/>
  <c r="Q114"/>
  <c r="R114"/>
  <c r="O111"/>
  <c r="O114"/>
  <c r="M111"/>
  <c r="M114"/>
  <c r="AE110"/>
  <c r="AA110"/>
  <c r="AC110"/>
  <c r="AE109"/>
  <c r="AA109"/>
  <c r="AF109"/>
  <c r="AE108"/>
  <c r="AC108"/>
  <c r="AA108"/>
  <c r="AE107"/>
  <c r="AA107"/>
  <c r="AE106"/>
  <c r="AA106"/>
  <c r="AC106"/>
  <c r="AE105"/>
  <c r="AA105"/>
  <c r="AF105"/>
  <c r="AE104"/>
  <c r="AF104"/>
  <c r="AA104"/>
  <c r="AC104"/>
  <c r="AE103"/>
  <c r="AC103"/>
  <c r="AA103"/>
  <c r="AF103"/>
  <c r="AE102"/>
  <c r="AA102"/>
  <c r="AF102"/>
  <c r="Y101"/>
  <c r="W101"/>
  <c r="U101"/>
  <c r="S101"/>
  <c r="Q101"/>
  <c r="O101"/>
  <c r="M101"/>
  <c r="K101"/>
  <c r="I101"/>
  <c r="G101"/>
  <c r="E101"/>
  <c r="C101"/>
  <c r="AE100"/>
  <c r="AA100"/>
  <c r="AA99"/>
  <c r="AC99"/>
  <c r="AE98"/>
  <c r="AA98"/>
  <c r="AF98"/>
  <c r="AE97"/>
  <c r="AA97"/>
  <c r="AE96"/>
  <c r="AA96"/>
  <c r="AF96"/>
  <c r="AE95"/>
  <c r="AA95"/>
  <c r="AE94"/>
  <c r="AC94"/>
  <c r="AA94"/>
  <c r="AE93"/>
  <c r="AA93"/>
  <c r="AE92"/>
  <c r="AA92"/>
  <c r="AF92"/>
  <c r="AE91"/>
  <c r="AA91"/>
  <c r="AE90"/>
  <c r="AA90"/>
  <c r="AF90"/>
  <c r="AE89"/>
  <c r="AA89"/>
  <c r="AE88"/>
  <c r="AA88"/>
  <c r="AC88"/>
  <c r="W87"/>
  <c r="U87"/>
  <c r="Q87"/>
  <c r="O87"/>
  <c r="M87"/>
  <c r="K87"/>
  <c r="I87"/>
  <c r="E87"/>
  <c r="C87"/>
  <c r="AE86"/>
  <c r="AA86"/>
  <c r="AC86"/>
  <c r="AF85"/>
  <c r="AE85"/>
  <c r="AA85"/>
  <c r="Y84"/>
  <c r="Y87"/>
  <c r="S84"/>
  <c r="S87"/>
  <c r="O84"/>
  <c r="G84"/>
  <c r="AE83"/>
  <c r="AA83"/>
  <c r="AE82"/>
  <c r="AA82"/>
  <c r="AC82"/>
  <c r="AE81"/>
  <c r="AA81"/>
  <c r="AC81"/>
  <c r="AE80"/>
  <c r="AC80"/>
  <c r="AA80"/>
  <c r="AE79"/>
  <c r="AA79"/>
  <c r="AE78"/>
  <c r="AA78"/>
  <c r="AE77"/>
  <c r="AC77"/>
  <c r="AA77"/>
  <c r="AE76"/>
  <c r="AA76"/>
  <c r="AE75"/>
  <c r="AC75"/>
  <c r="AA75"/>
  <c r="AF75"/>
  <c r="AE74"/>
  <c r="AA74"/>
  <c r="AC74"/>
  <c r="AE73"/>
  <c r="AA73"/>
  <c r="AE72"/>
  <c r="AA72"/>
  <c r="AF72"/>
  <c r="AE71"/>
  <c r="AA71"/>
  <c r="M70"/>
  <c r="K70"/>
  <c r="I70"/>
  <c r="G70"/>
  <c r="E70"/>
  <c r="C70"/>
  <c r="AE69"/>
  <c r="AF69"/>
  <c r="AA69"/>
  <c r="AC69"/>
  <c r="AE68"/>
  <c r="AA68"/>
  <c r="AC68"/>
  <c r="AE67"/>
  <c r="AA67"/>
  <c r="AE66"/>
  <c r="AC66"/>
  <c r="AA66"/>
  <c r="AE65"/>
  <c r="AA65"/>
  <c r="AC65"/>
  <c r="AE64"/>
  <c r="AA64"/>
  <c r="AE63"/>
  <c r="AA63"/>
  <c r="AC63"/>
  <c r="AE62"/>
  <c r="AC62"/>
  <c r="AA62"/>
  <c r="AF62"/>
  <c r="AE61"/>
  <c r="AA61"/>
  <c r="AC61"/>
  <c r="AE60"/>
  <c r="AA60"/>
  <c r="AF60"/>
  <c r="AE59"/>
  <c r="AA59"/>
  <c r="AC59"/>
  <c r="AE58"/>
  <c r="AC58"/>
  <c r="AA58"/>
  <c r="AE57"/>
  <c r="AA57"/>
  <c r="AC57"/>
  <c r="AE56"/>
  <c r="AA56"/>
  <c r="AE55"/>
  <c r="AA55"/>
  <c r="AC55"/>
  <c r="AE54"/>
  <c r="AC54"/>
  <c r="AA54"/>
  <c r="AF54"/>
  <c r="AE53"/>
  <c r="AA53"/>
  <c r="AC53"/>
  <c r="Y52"/>
  <c r="Y70"/>
  <c r="Y130"/>
  <c r="Z130"/>
  <c r="W52"/>
  <c r="W70"/>
  <c r="U52"/>
  <c r="U70"/>
  <c r="V70"/>
  <c r="S52"/>
  <c r="S70"/>
  <c r="Q52"/>
  <c r="Q70"/>
  <c r="O52"/>
  <c r="O70"/>
  <c r="AE51"/>
  <c r="AC51"/>
  <c r="AA51"/>
  <c r="AF51"/>
  <c r="AE50"/>
  <c r="AA50"/>
  <c r="AE49"/>
  <c r="AA49"/>
  <c r="AF49"/>
  <c r="AF48"/>
  <c r="AE48"/>
  <c r="AA48"/>
  <c r="AC48"/>
  <c r="AE47"/>
  <c r="AA47"/>
  <c r="AE46"/>
  <c r="AA46"/>
  <c r="AC46"/>
  <c r="AE45"/>
  <c r="AA45"/>
  <c r="AF44"/>
  <c r="AE44"/>
  <c r="AC44"/>
  <c r="AA44"/>
  <c r="AE43"/>
  <c r="AA43"/>
  <c r="AF42"/>
  <c r="AE42"/>
  <c r="AC42"/>
  <c r="AA42"/>
  <c r="Y41"/>
  <c r="Z41"/>
  <c r="W41"/>
  <c r="U41"/>
  <c r="M41"/>
  <c r="K41"/>
  <c r="I41"/>
  <c r="I130"/>
  <c r="G41"/>
  <c r="E41"/>
  <c r="C41"/>
  <c r="AE40"/>
  <c r="AA40"/>
  <c r="AC40"/>
  <c r="AE39"/>
  <c r="AA39"/>
  <c r="AE38"/>
  <c r="AA38"/>
  <c r="AC38"/>
  <c r="E35"/>
  <c r="C35"/>
  <c r="AE34"/>
  <c r="AA34"/>
  <c r="AE33"/>
  <c r="AA33"/>
  <c r="AE32"/>
  <c r="AA32"/>
  <c r="AE31"/>
  <c r="AA31"/>
  <c r="AE30"/>
  <c r="AA30"/>
  <c r="AE29"/>
  <c r="AA29"/>
  <c r="AE28"/>
  <c r="AA28"/>
  <c r="AE26"/>
  <c r="AA26"/>
  <c r="AF26"/>
  <c r="L26"/>
  <c r="AE25"/>
  <c r="AA25"/>
  <c r="AF25"/>
  <c r="L25"/>
  <c r="AE24"/>
  <c r="AA24"/>
  <c r="AF24"/>
  <c r="T24"/>
  <c r="L24"/>
  <c r="AE23"/>
  <c r="AA23"/>
  <c r="AF23"/>
  <c r="T23"/>
  <c r="L23"/>
  <c r="AE22"/>
  <c r="AA22"/>
  <c r="AF22"/>
  <c r="T22"/>
  <c r="L22"/>
  <c r="E21"/>
  <c r="AE20"/>
  <c r="AC20"/>
  <c r="AA20"/>
  <c r="AE19"/>
  <c r="AA19"/>
  <c r="AC19"/>
  <c r="L19"/>
  <c r="AE18"/>
  <c r="AA18"/>
  <c r="Y17"/>
  <c r="Y21"/>
  <c r="W17"/>
  <c r="U17"/>
  <c r="U21"/>
  <c r="V21"/>
  <c r="S17"/>
  <c r="T17"/>
  <c r="Q17"/>
  <c r="O17"/>
  <c r="M17"/>
  <c r="M21"/>
  <c r="N21"/>
  <c r="K17"/>
  <c r="I17"/>
  <c r="I21"/>
  <c r="G17"/>
  <c r="E17"/>
  <c r="C17"/>
  <c r="D17"/>
  <c r="K16"/>
  <c r="L16"/>
  <c r="C16"/>
  <c r="D16"/>
  <c r="AA15"/>
  <c r="Y15"/>
  <c r="W15"/>
  <c r="U15"/>
  <c r="M15"/>
  <c r="K15"/>
  <c r="I15"/>
  <c r="G15"/>
  <c r="E15"/>
  <c r="AE15"/>
  <c r="C15"/>
  <c r="AE14"/>
  <c r="AF14"/>
  <c r="AC14"/>
  <c r="AA14"/>
  <c r="AE13"/>
  <c r="AF13"/>
  <c r="AC13"/>
  <c r="AA13"/>
  <c r="Y12"/>
  <c r="Z92"/>
  <c r="W12"/>
  <c r="X86"/>
  <c r="U12"/>
  <c r="V126"/>
  <c r="S12"/>
  <c r="T125"/>
  <c r="Q12"/>
  <c r="Q27"/>
  <c r="Q35"/>
  <c r="R35"/>
  <c r="O12"/>
  <c r="P128"/>
  <c r="M12"/>
  <c r="N95"/>
  <c r="K12"/>
  <c r="L99"/>
  <c r="I12"/>
  <c r="J96"/>
  <c r="G12"/>
  <c r="H98"/>
  <c r="E12"/>
  <c r="F19"/>
  <c r="C12"/>
  <c r="D121"/>
  <c r="AE11"/>
  <c r="AA11"/>
  <c r="AC11"/>
  <c r="Z11"/>
  <c r="X11"/>
  <c r="V11"/>
  <c r="T11"/>
  <c r="R11"/>
  <c r="P11"/>
  <c r="N11"/>
  <c r="L11"/>
  <c r="J11"/>
  <c r="H11"/>
  <c r="F11"/>
  <c r="D11"/>
  <c r="AE10"/>
  <c r="AC10"/>
  <c r="AD10"/>
  <c r="AA10"/>
  <c r="AF10"/>
  <c r="Z10"/>
  <c r="X10"/>
  <c r="V10"/>
  <c r="T10"/>
  <c r="R10"/>
  <c r="P10"/>
  <c r="N10"/>
  <c r="L10"/>
  <c r="J10"/>
  <c r="H10"/>
  <c r="F10"/>
  <c r="D10"/>
  <c r="AE9"/>
  <c r="AF9"/>
  <c r="AA9"/>
  <c r="AE8"/>
  <c r="AA8"/>
  <c r="AB8"/>
  <c r="Z8"/>
  <c r="X8"/>
  <c r="V8"/>
  <c r="T8"/>
  <c r="R8"/>
  <c r="P8"/>
  <c r="N8"/>
  <c r="L8"/>
  <c r="J8"/>
  <c r="H8"/>
  <c r="F8"/>
  <c r="D8"/>
  <c r="AE7"/>
  <c r="AA7"/>
  <c r="AC7"/>
  <c r="AD7"/>
  <c r="Z7"/>
  <c r="X7"/>
  <c r="V7"/>
  <c r="T7"/>
  <c r="R7"/>
  <c r="P7"/>
  <c r="N7"/>
  <c r="L7"/>
  <c r="J7"/>
  <c r="H7"/>
  <c r="F7"/>
  <c r="D7"/>
  <c r="AE6"/>
  <c r="AB6"/>
  <c r="AA6"/>
  <c r="AC6"/>
  <c r="Z6"/>
  <c r="X6"/>
  <c r="V6"/>
  <c r="T6"/>
  <c r="R6"/>
  <c r="P6"/>
  <c r="N6"/>
  <c r="L6"/>
  <c r="J6"/>
  <c r="H6"/>
  <c r="AE5"/>
  <c r="AF5"/>
  <c r="AC5"/>
  <c r="AA5"/>
  <c r="AF8"/>
  <c r="O16"/>
  <c r="P17"/>
  <c r="V17"/>
  <c r="N19"/>
  <c r="F21"/>
  <c r="V22"/>
  <c r="V23"/>
  <c r="V24"/>
  <c r="V25"/>
  <c r="V26"/>
  <c r="U27"/>
  <c r="N28"/>
  <c r="D29"/>
  <c r="N30"/>
  <c r="D31"/>
  <c r="N32"/>
  <c r="D33"/>
  <c r="N34"/>
  <c r="T38"/>
  <c r="H39"/>
  <c r="V39"/>
  <c r="L40"/>
  <c r="D41"/>
  <c r="J130"/>
  <c r="U130"/>
  <c r="V130"/>
  <c r="F42"/>
  <c r="J43"/>
  <c r="V44"/>
  <c r="T45"/>
  <c r="F46"/>
  <c r="H47"/>
  <c r="AF47"/>
  <c r="F48"/>
  <c r="L49"/>
  <c r="AC49"/>
  <c r="L50"/>
  <c r="L52"/>
  <c r="T53"/>
  <c r="J54"/>
  <c r="N55"/>
  <c r="H56"/>
  <c r="AF56"/>
  <c r="L57"/>
  <c r="Z58"/>
  <c r="D59"/>
  <c r="X60"/>
  <c r="T61"/>
  <c r="J62"/>
  <c r="N63"/>
  <c r="H64"/>
  <c r="AF64"/>
  <c r="L65"/>
  <c r="Z66"/>
  <c r="AF67"/>
  <c r="L68"/>
  <c r="T71"/>
  <c r="H72"/>
  <c r="T73"/>
  <c r="H74"/>
  <c r="L75"/>
  <c r="R76"/>
  <c r="L77"/>
  <c r="X79"/>
  <c r="T80"/>
  <c r="F81"/>
  <c r="AF83"/>
  <c r="T86"/>
  <c r="J87"/>
  <c r="P87"/>
  <c r="H88"/>
  <c r="X92"/>
  <c r="X94"/>
  <c r="L95"/>
  <c r="H96"/>
  <c r="N101"/>
  <c r="V101"/>
  <c r="T102"/>
  <c r="V104"/>
  <c r="P105"/>
  <c r="D107"/>
  <c r="L111"/>
  <c r="T123"/>
  <c r="D125"/>
  <c r="P126"/>
  <c r="AC128"/>
  <c r="AB11"/>
  <c r="Y16"/>
  <c r="N17"/>
  <c r="T25"/>
  <c r="T26"/>
  <c r="K27"/>
  <c r="S27"/>
  <c r="L28"/>
  <c r="T29"/>
  <c r="L30"/>
  <c r="T31"/>
  <c r="L32"/>
  <c r="T33"/>
  <c r="L34"/>
  <c r="L38"/>
  <c r="D39"/>
  <c r="T39"/>
  <c r="D40"/>
  <c r="T41"/>
  <c r="D43"/>
  <c r="Z43"/>
  <c r="P44"/>
  <c r="L45"/>
  <c r="D47"/>
  <c r="T47"/>
  <c r="D48"/>
  <c r="V48"/>
  <c r="D49"/>
  <c r="F50"/>
  <c r="F52"/>
  <c r="R52"/>
  <c r="X70"/>
  <c r="N53"/>
  <c r="H54"/>
  <c r="L55"/>
  <c r="Z56"/>
  <c r="D57"/>
  <c r="X58"/>
  <c r="T59"/>
  <c r="J60"/>
  <c r="AC60"/>
  <c r="N61"/>
  <c r="H62"/>
  <c r="L63"/>
  <c r="Z64"/>
  <c r="D65"/>
  <c r="X66"/>
  <c r="D68"/>
  <c r="H70"/>
  <c r="L71"/>
  <c r="AC72"/>
  <c r="L73"/>
  <c r="P76"/>
  <c r="D77"/>
  <c r="T78"/>
  <c r="F79"/>
  <c r="L80"/>
  <c r="T83"/>
  <c r="D84"/>
  <c r="T84"/>
  <c r="P85"/>
  <c r="L86"/>
  <c r="X87"/>
  <c r="AC90"/>
  <c r="AC92"/>
  <c r="AC96"/>
  <c r="AC98"/>
  <c r="L100"/>
  <c r="T101"/>
  <c r="D102"/>
  <c r="T104"/>
  <c r="AC105"/>
  <c r="T106"/>
  <c r="AF106"/>
  <c r="X110"/>
  <c r="AF110"/>
  <c r="X111"/>
  <c r="D123"/>
  <c r="F124"/>
  <c r="AF124"/>
  <c r="AC126"/>
  <c r="T127"/>
  <c r="P129"/>
  <c r="AF6"/>
  <c r="AC8"/>
  <c r="AD8"/>
  <c r="M16"/>
  <c r="F17"/>
  <c r="I27"/>
  <c r="O27"/>
  <c r="O35"/>
  <c r="P35"/>
  <c r="D28"/>
  <c r="N29"/>
  <c r="D30"/>
  <c r="N31"/>
  <c r="D32"/>
  <c r="N33"/>
  <c r="D34"/>
  <c r="D38"/>
  <c r="L39"/>
  <c r="F41"/>
  <c r="V42"/>
  <c r="T43"/>
  <c r="F44"/>
  <c r="J45"/>
  <c r="L47"/>
  <c r="T48"/>
  <c r="X49"/>
  <c r="D50"/>
  <c r="V50"/>
  <c r="X51"/>
  <c r="D52"/>
  <c r="V52"/>
  <c r="L53"/>
  <c r="Z54"/>
  <c r="D55"/>
  <c r="X56"/>
  <c r="T57"/>
  <c r="J58"/>
  <c r="N59"/>
  <c r="H60"/>
  <c r="L61"/>
  <c r="Z62"/>
  <c r="D63"/>
  <c r="X64"/>
  <c r="T65"/>
  <c r="J66"/>
  <c r="T68"/>
  <c r="F70"/>
  <c r="N70"/>
  <c r="F71"/>
  <c r="F73"/>
  <c r="V75"/>
  <c r="D76"/>
  <c r="X77"/>
  <c r="H78"/>
  <c r="D79"/>
  <c r="T81"/>
  <c r="L82"/>
  <c r="L83"/>
  <c r="T87"/>
  <c r="N85"/>
  <c r="D87"/>
  <c r="V87"/>
  <c r="N89"/>
  <c r="N97"/>
  <c r="R103"/>
  <c r="D104"/>
  <c r="D106"/>
  <c r="Z107"/>
  <c r="AF112"/>
  <c r="T113"/>
  <c r="F114"/>
  <c r="T121"/>
  <c r="V122"/>
  <c r="D127"/>
  <c r="F128"/>
  <c r="AD6"/>
  <c r="AD11"/>
  <c r="AB7"/>
  <c r="AB10"/>
  <c r="I16"/>
  <c r="S16"/>
  <c r="T16"/>
  <c r="L17"/>
  <c r="D19"/>
  <c r="T19"/>
  <c r="AF20"/>
  <c r="D22"/>
  <c r="X22"/>
  <c r="D23"/>
  <c r="X23"/>
  <c r="D24"/>
  <c r="X24"/>
  <c r="D25"/>
  <c r="X25"/>
  <c r="D26"/>
  <c r="X26"/>
  <c r="D27"/>
  <c r="M27"/>
  <c r="T28"/>
  <c r="L29"/>
  <c r="T30"/>
  <c r="L31"/>
  <c r="T32"/>
  <c r="L33"/>
  <c r="T34"/>
  <c r="F35"/>
  <c r="J39"/>
  <c r="T40"/>
  <c r="L41"/>
  <c r="P42"/>
  <c r="L43"/>
  <c r="D45"/>
  <c r="Z45"/>
  <c r="J47"/>
  <c r="AC47"/>
  <c r="L48"/>
  <c r="T49"/>
  <c r="T50"/>
  <c r="H51"/>
  <c r="D53"/>
  <c r="X54"/>
  <c r="T55"/>
  <c r="J56"/>
  <c r="AC56"/>
  <c r="N57"/>
  <c r="H58"/>
  <c r="AF58"/>
  <c r="L59"/>
  <c r="Z60"/>
  <c r="D61"/>
  <c r="X62"/>
  <c r="T63"/>
  <c r="J64"/>
  <c r="AC64"/>
  <c r="N65"/>
  <c r="H66"/>
  <c r="AF66"/>
  <c r="AC67"/>
  <c r="N68"/>
  <c r="L70"/>
  <c r="D71"/>
  <c r="V71"/>
  <c r="X72"/>
  <c r="D73"/>
  <c r="V73"/>
  <c r="X74"/>
  <c r="T75"/>
  <c r="V77"/>
  <c r="H81"/>
  <c r="D82"/>
  <c r="H83"/>
  <c r="AC83"/>
  <c r="D85"/>
  <c r="L87"/>
  <c r="J88"/>
  <c r="L89"/>
  <c r="H90"/>
  <c r="L91"/>
  <c r="L93"/>
  <c r="AF94"/>
  <c r="L97"/>
  <c r="J101"/>
  <c r="V102"/>
  <c r="P103"/>
  <c r="R105"/>
  <c r="T107"/>
  <c r="AF108"/>
  <c r="AC109"/>
  <c r="P112"/>
  <c r="D113"/>
  <c r="P122"/>
  <c r="T129"/>
  <c r="Z16"/>
  <c r="AF31"/>
  <c r="AC31"/>
  <c r="AF33"/>
  <c r="AC33"/>
  <c r="D35"/>
  <c r="AC50"/>
  <c r="AF50"/>
  <c r="AF78"/>
  <c r="AC78"/>
  <c r="AF118"/>
  <c r="AC118"/>
  <c r="AF15"/>
  <c r="AC15"/>
  <c r="Q21"/>
  <c r="R17"/>
  <c r="AC95"/>
  <c r="AF95"/>
  <c r="J16"/>
  <c r="AF18"/>
  <c r="AC18"/>
  <c r="AF28"/>
  <c r="AC28"/>
  <c r="AF30"/>
  <c r="AC30"/>
  <c r="AF32"/>
  <c r="AC32"/>
  <c r="AF34"/>
  <c r="AC34"/>
  <c r="AC73"/>
  <c r="AF73"/>
  <c r="G87"/>
  <c r="H87"/>
  <c r="H84"/>
  <c r="AE84"/>
  <c r="AA84"/>
  <c r="AE17"/>
  <c r="AF29"/>
  <c r="AC29"/>
  <c r="Q130"/>
  <c r="R130"/>
  <c r="R70"/>
  <c r="N16"/>
  <c r="AC9"/>
  <c r="AD9"/>
  <c r="AB9"/>
  <c r="P16"/>
  <c r="AC22"/>
  <c r="AC23"/>
  <c r="AC24"/>
  <c r="AC25"/>
  <c r="AC26"/>
  <c r="J27"/>
  <c r="I35"/>
  <c r="J35"/>
  <c r="AC39"/>
  <c r="AF39"/>
  <c r="AC71"/>
  <c r="AF71"/>
  <c r="AA87"/>
  <c r="AC79"/>
  <c r="AF79"/>
  <c r="S114"/>
  <c r="T114"/>
  <c r="T111"/>
  <c r="AE111"/>
  <c r="D129"/>
  <c r="AE129"/>
  <c r="I36"/>
  <c r="J36"/>
  <c r="AA17"/>
  <c r="K21"/>
  <c r="E36"/>
  <c r="F36"/>
  <c r="J128"/>
  <c r="J126"/>
  <c r="J124"/>
  <c r="J122"/>
  <c r="J110"/>
  <c r="J113"/>
  <c r="J106"/>
  <c r="J104"/>
  <c r="J102"/>
  <c r="J100"/>
  <c r="J99"/>
  <c r="J97"/>
  <c r="J95"/>
  <c r="J93"/>
  <c r="J91"/>
  <c r="J89"/>
  <c r="J85"/>
  <c r="J83"/>
  <c r="J81"/>
  <c r="J79"/>
  <c r="J77"/>
  <c r="J75"/>
  <c r="J76"/>
  <c r="J46"/>
  <c r="J44"/>
  <c r="J42"/>
  <c r="J133"/>
  <c r="J111"/>
  <c r="J105"/>
  <c r="J103"/>
  <c r="J84"/>
  <c r="J82"/>
  <c r="J73"/>
  <c r="J71"/>
  <c r="J68"/>
  <c r="J65"/>
  <c r="J63"/>
  <c r="J61"/>
  <c r="J59"/>
  <c r="J57"/>
  <c r="J55"/>
  <c r="J53"/>
  <c r="J52"/>
  <c r="J50"/>
  <c r="J48"/>
  <c r="J34"/>
  <c r="J33"/>
  <c r="J32"/>
  <c r="J31"/>
  <c r="J30"/>
  <c r="J29"/>
  <c r="J28"/>
  <c r="J19"/>
  <c r="Z128"/>
  <c r="Z126"/>
  <c r="Z124"/>
  <c r="Z122"/>
  <c r="Z110"/>
  <c r="Z106"/>
  <c r="Z113"/>
  <c r="Z104"/>
  <c r="Z102"/>
  <c r="Z100"/>
  <c r="Z99"/>
  <c r="Z97"/>
  <c r="Z95"/>
  <c r="Z93"/>
  <c r="Z91"/>
  <c r="Z89"/>
  <c r="Z85"/>
  <c r="Z83"/>
  <c r="Z81"/>
  <c r="Z79"/>
  <c r="Z77"/>
  <c r="Z75"/>
  <c r="Z86"/>
  <c r="Z80"/>
  <c r="Z44"/>
  <c r="Z42"/>
  <c r="Z133"/>
  <c r="Z105"/>
  <c r="Z103"/>
  <c r="Z78"/>
  <c r="Z73"/>
  <c r="Z71"/>
  <c r="Z68"/>
  <c r="Z65"/>
  <c r="Z63"/>
  <c r="Z61"/>
  <c r="Z59"/>
  <c r="Z57"/>
  <c r="Z55"/>
  <c r="Z53"/>
  <c r="Z50"/>
  <c r="Z48"/>
  <c r="Z40"/>
  <c r="Z39"/>
  <c r="Z38"/>
  <c r="Z26"/>
  <c r="Z25"/>
  <c r="Z24"/>
  <c r="Z23"/>
  <c r="Z22"/>
  <c r="AC93"/>
  <c r="AF93"/>
  <c r="H113"/>
  <c r="H106"/>
  <c r="H104"/>
  <c r="H102"/>
  <c r="H100"/>
  <c r="H99"/>
  <c r="H97"/>
  <c r="H95"/>
  <c r="H93"/>
  <c r="H91"/>
  <c r="H89"/>
  <c r="H127"/>
  <c r="H125"/>
  <c r="H123"/>
  <c r="H121"/>
  <c r="H114"/>
  <c r="H111"/>
  <c r="H107"/>
  <c r="H133"/>
  <c r="H128"/>
  <c r="H126"/>
  <c r="H124"/>
  <c r="H122"/>
  <c r="H105"/>
  <c r="H103"/>
  <c r="H85"/>
  <c r="H82"/>
  <c r="H79"/>
  <c r="H73"/>
  <c r="H71"/>
  <c r="H68"/>
  <c r="H65"/>
  <c r="H63"/>
  <c r="H61"/>
  <c r="H59"/>
  <c r="H57"/>
  <c r="H55"/>
  <c r="H53"/>
  <c r="H52"/>
  <c r="H50"/>
  <c r="H48"/>
  <c r="H112"/>
  <c r="H86"/>
  <c r="H80"/>
  <c r="H77"/>
  <c r="H45"/>
  <c r="H43"/>
  <c r="X113"/>
  <c r="X104"/>
  <c r="X102"/>
  <c r="X100"/>
  <c r="X99"/>
  <c r="X97"/>
  <c r="X95"/>
  <c r="X93"/>
  <c r="X91"/>
  <c r="X89"/>
  <c r="X127"/>
  <c r="X125"/>
  <c r="X123"/>
  <c r="X121"/>
  <c r="X107"/>
  <c r="X84"/>
  <c r="X133"/>
  <c r="X128"/>
  <c r="X126"/>
  <c r="X124"/>
  <c r="X122"/>
  <c r="X105"/>
  <c r="X103"/>
  <c r="X83"/>
  <c r="X78"/>
  <c r="X75"/>
  <c r="X73"/>
  <c r="X71"/>
  <c r="X68"/>
  <c r="X65"/>
  <c r="X63"/>
  <c r="X61"/>
  <c r="X59"/>
  <c r="X57"/>
  <c r="X55"/>
  <c r="X53"/>
  <c r="X50"/>
  <c r="X48"/>
  <c r="X40"/>
  <c r="X39"/>
  <c r="X38"/>
  <c r="X112"/>
  <c r="X81"/>
  <c r="X76"/>
  <c r="X45"/>
  <c r="X43"/>
  <c r="F127"/>
  <c r="F125"/>
  <c r="F123"/>
  <c r="F121"/>
  <c r="F111"/>
  <c r="F107"/>
  <c r="F133"/>
  <c r="F112"/>
  <c r="F105"/>
  <c r="F103"/>
  <c r="F98"/>
  <c r="F96"/>
  <c r="F94"/>
  <c r="F92"/>
  <c r="F90"/>
  <c r="F88"/>
  <c r="F86"/>
  <c r="F84"/>
  <c r="F82"/>
  <c r="F80"/>
  <c r="F78"/>
  <c r="F76"/>
  <c r="F129"/>
  <c r="F113"/>
  <c r="F106"/>
  <c r="F77"/>
  <c r="F45"/>
  <c r="F43"/>
  <c r="F110"/>
  <c r="F100"/>
  <c r="F99"/>
  <c r="F97"/>
  <c r="F95"/>
  <c r="F93"/>
  <c r="F91"/>
  <c r="F89"/>
  <c r="F83"/>
  <c r="F75"/>
  <c r="F74"/>
  <c r="F72"/>
  <c r="F66"/>
  <c r="F64"/>
  <c r="F62"/>
  <c r="F60"/>
  <c r="F58"/>
  <c r="F56"/>
  <c r="F54"/>
  <c r="F51"/>
  <c r="F49"/>
  <c r="F47"/>
  <c r="F40"/>
  <c r="F39"/>
  <c r="F38"/>
  <c r="F27"/>
  <c r="F26"/>
  <c r="F25"/>
  <c r="F24"/>
  <c r="F23"/>
  <c r="F22"/>
  <c r="N127"/>
  <c r="N125"/>
  <c r="N123"/>
  <c r="N121"/>
  <c r="N107"/>
  <c r="N133"/>
  <c r="N112"/>
  <c r="N105"/>
  <c r="N103"/>
  <c r="N98"/>
  <c r="N96"/>
  <c r="N94"/>
  <c r="N92"/>
  <c r="N90"/>
  <c r="N88"/>
  <c r="N86"/>
  <c r="N82"/>
  <c r="N80"/>
  <c r="N78"/>
  <c r="N76"/>
  <c r="N83"/>
  <c r="N75"/>
  <c r="N45"/>
  <c r="N43"/>
  <c r="N128"/>
  <c r="N126"/>
  <c r="N124"/>
  <c r="N122"/>
  <c r="N104"/>
  <c r="N102"/>
  <c r="N81"/>
  <c r="N74"/>
  <c r="N72"/>
  <c r="N66"/>
  <c r="N64"/>
  <c r="N62"/>
  <c r="N60"/>
  <c r="N58"/>
  <c r="N56"/>
  <c r="N54"/>
  <c r="N51"/>
  <c r="N49"/>
  <c r="N47"/>
  <c r="N40"/>
  <c r="N39"/>
  <c r="N38"/>
  <c r="N26"/>
  <c r="N25"/>
  <c r="N24"/>
  <c r="N23"/>
  <c r="N22"/>
  <c r="V127"/>
  <c r="V125"/>
  <c r="V123"/>
  <c r="V121"/>
  <c r="V107"/>
  <c r="V133"/>
  <c r="V112"/>
  <c r="V105"/>
  <c r="V103"/>
  <c r="V98"/>
  <c r="V96"/>
  <c r="V94"/>
  <c r="V92"/>
  <c r="V90"/>
  <c r="V88"/>
  <c r="V86"/>
  <c r="V82"/>
  <c r="V80"/>
  <c r="V78"/>
  <c r="V76"/>
  <c r="V129"/>
  <c r="V113"/>
  <c r="V106"/>
  <c r="V81"/>
  <c r="V45"/>
  <c r="V43"/>
  <c r="V110"/>
  <c r="V100"/>
  <c r="V99"/>
  <c r="V97"/>
  <c r="V95"/>
  <c r="V93"/>
  <c r="V91"/>
  <c r="V89"/>
  <c r="V85"/>
  <c r="V79"/>
  <c r="V74"/>
  <c r="V72"/>
  <c r="V66"/>
  <c r="V64"/>
  <c r="V62"/>
  <c r="V60"/>
  <c r="V58"/>
  <c r="V56"/>
  <c r="V54"/>
  <c r="V51"/>
  <c r="V49"/>
  <c r="V47"/>
  <c r="V34"/>
  <c r="V33"/>
  <c r="V32"/>
  <c r="V31"/>
  <c r="V30"/>
  <c r="V29"/>
  <c r="V28"/>
  <c r="V19"/>
  <c r="AF43"/>
  <c r="AC43"/>
  <c r="AF45"/>
  <c r="AC45"/>
  <c r="T70"/>
  <c r="AC89"/>
  <c r="AF89"/>
  <c r="AC97"/>
  <c r="AF97"/>
  <c r="J17"/>
  <c r="O21"/>
  <c r="J23"/>
  <c r="J24"/>
  <c r="Z29"/>
  <c r="Z30"/>
  <c r="Z33"/>
  <c r="J41"/>
  <c r="J49"/>
  <c r="R51"/>
  <c r="R72"/>
  <c r="Z98"/>
  <c r="Z101"/>
  <c r="Z125"/>
  <c r="J127"/>
  <c r="R133"/>
  <c r="Q16"/>
  <c r="W16"/>
  <c r="Z19"/>
  <c r="C21"/>
  <c r="H22"/>
  <c r="H23"/>
  <c r="H24"/>
  <c r="H26"/>
  <c r="H28"/>
  <c r="AA12"/>
  <c r="AF7"/>
  <c r="AE12"/>
  <c r="E16"/>
  <c r="U16"/>
  <c r="H17"/>
  <c r="X17"/>
  <c r="H19"/>
  <c r="X19"/>
  <c r="G21"/>
  <c r="W21"/>
  <c r="W27"/>
  <c r="F28"/>
  <c r="F29"/>
  <c r="F30"/>
  <c r="F31"/>
  <c r="F32"/>
  <c r="F33"/>
  <c r="F34"/>
  <c r="H38"/>
  <c r="V38"/>
  <c r="AF38"/>
  <c r="H40"/>
  <c r="V40"/>
  <c r="AF40"/>
  <c r="H41"/>
  <c r="M130"/>
  <c r="N130"/>
  <c r="V41"/>
  <c r="AA41"/>
  <c r="H42"/>
  <c r="X42"/>
  <c r="H44"/>
  <c r="X44"/>
  <c r="H46"/>
  <c r="AF46"/>
  <c r="X47"/>
  <c r="P49"/>
  <c r="Z49"/>
  <c r="N50"/>
  <c r="J51"/>
  <c r="Z51"/>
  <c r="N52"/>
  <c r="P54"/>
  <c r="P56"/>
  <c r="P58"/>
  <c r="P60"/>
  <c r="P62"/>
  <c r="P64"/>
  <c r="P66"/>
  <c r="F68"/>
  <c r="V68"/>
  <c r="AF68"/>
  <c r="AE70"/>
  <c r="N71"/>
  <c r="J72"/>
  <c r="Z72"/>
  <c r="N73"/>
  <c r="J74"/>
  <c r="Z74"/>
  <c r="H75"/>
  <c r="Z76"/>
  <c r="AF77"/>
  <c r="J78"/>
  <c r="N79"/>
  <c r="P81"/>
  <c r="P82"/>
  <c r="N84"/>
  <c r="V84"/>
  <c r="X85"/>
  <c r="J86"/>
  <c r="X88"/>
  <c r="J90"/>
  <c r="N91"/>
  <c r="H92"/>
  <c r="Z94"/>
  <c r="X96"/>
  <c r="J98"/>
  <c r="N99"/>
  <c r="N100"/>
  <c r="AE101"/>
  <c r="P101"/>
  <c r="F102"/>
  <c r="F104"/>
  <c r="H110"/>
  <c r="N111"/>
  <c r="Z112"/>
  <c r="V114"/>
  <c r="J121"/>
  <c r="Z123"/>
  <c r="P124"/>
  <c r="J125"/>
  <c r="Z127"/>
  <c r="R128"/>
  <c r="R126"/>
  <c r="R124"/>
  <c r="R122"/>
  <c r="R110"/>
  <c r="R113"/>
  <c r="R106"/>
  <c r="R104"/>
  <c r="R102"/>
  <c r="R100"/>
  <c r="R99"/>
  <c r="R97"/>
  <c r="R95"/>
  <c r="R93"/>
  <c r="R91"/>
  <c r="R89"/>
  <c r="R85"/>
  <c r="R84"/>
  <c r="R83"/>
  <c r="R81"/>
  <c r="R79"/>
  <c r="R77"/>
  <c r="R75"/>
  <c r="R112"/>
  <c r="R82"/>
  <c r="R44"/>
  <c r="R42"/>
  <c r="R129"/>
  <c r="R127"/>
  <c r="R125"/>
  <c r="R123"/>
  <c r="R121"/>
  <c r="R107"/>
  <c r="R98"/>
  <c r="R96"/>
  <c r="R94"/>
  <c r="R92"/>
  <c r="R90"/>
  <c r="R88"/>
  <c r="R86"/>
  <c r="R80"/>
  <c r="R73"/>
  <c r="R71"/>
  <c r="R68"/>
  <c r="R65"/>
  <c r="R63"/>
  <c r="R61"/>
  <c r="R59"/>
  <c r="R57"/>
  <c r="R55"/>
  <c r="R53"/>
  <c r="R50"/>
  <c r="R48"/>
  <c r="AF19"/>
  <c r="F87"/>
  <c r="P113"/>
  <c r="P106"/>
  <c r="P104"/>
  <c r="P102"/>
  <c r="P100"/>
  <c r="P99"/>
  <c r="P97"/>
  <c r="P95"/>
  <c r="P93"/>
  <c r="P91"/>
  <c r="P89"/>
  <c r="P127"/>
  <c r="P125"/>
  <c r="P123"/>
  <c r="P121"/>
  <c r="P107"/>
  <c r="P110"/>
  <c r="P98"/>
  <c r="P96"/>
  <c r="P94"/>
  <c r="P92"/>
  <c r="P90"/>
  <c r="P88"/>
  <c r="P86"/>
  <c r="P80"/>
  <c r="P77"/>
  <c r="P73"/>
  <c r="P71"/>
  <c r="P68"/>
  <c r="P65"/>
  <c r="P63"/>
  <c r="P61"/>
  <c r="P59"/>
  <c r="P57"/>
  <c r="P55"/>
  <c r="P53"/>
  <c r="P50"/>
  <c r="P48"/>
  <c r="P83"/>
  <c r="P78"/>
  <c r="P75"/>
  <c r="P45"/>
  <c r="P43"/>
  <c r="W130"/>
  <c r="X130"/>
  <c r="X41"/>
  <c r="O130"/>
  <c r="P130"/>
  <c r="P70"/>
  <c r="AF76"/>
  <c r="AC76"/>
  <c r="AB85"/>
  <c r="AC85"/>
  <c r="AC91"/>
  <c r="AF91"/>
  <c r="AC100"/>
  <c r="AF100"/>
  <c r="AF11"/>
  <c r="Z17"/>
  <c r="J21"/>
  <c r="Z21"/>
  <c r="J22"/>
  <c r="J25"/>
  <c r="J26"/>
  <c r="Z28"/>
  <c r="Z31"/>
  <c r="Z32"/>
  <c r="Z34"/>
  <c r="E130"/>
  <c r="F130"/>
  <c r="AE41"/>
  <c r="R47"/>
  <c r="Z70"/>
  <c r="R74"/>
  <c r="J80"/>
  <c r="Z82"/>
  <c r="Z90"/>
  <c r="J94"/>
  <c r="R111"/>
  <c r="J112"/>
  <c r="Z114"/>
  <c r="Z121"/>
  <c r="J123"/>
  <c r="G16"/>
  <c r="S21"/>
  <c r="H25"/>
  <c r="G27"/>
  <c r="Y27"/>
  <c r="X28"/>
  <c r="H29"/>
  <c r="X29"/>
  <c r="H30"/>
  <c r="X30"/>
  <c r="H31"/>
  <c r="X31"/>
  <c r="H32"/>
  <c r="X32"/>
  <c r="H33"/>
  <c r="X33"/>
  <c r="H34"/>
  <c r="X34"/>
  <c r="J38"/>
  <c r="J40"/>
  <c r="N41"/>
  <c r="N42"/>
  <c r="R43"/>
  <c r="N44"/>
  <c r="R45"/>
  <c r="P47"/>
  <c r="Z47"/>
  <c r="N48"/>
  <c r="H49"/>
  <c r="R49"/>
  <c r="P51"/>
  <c r="Z52"/>
  <c r="F53"/>
  <c r="V53"/>
  <c r="AF53"/>
  <c r="R54"/>
  <c r="F55"/>
  <c r="V55"/>
  <c r="AF55"/>
  <c r="R56"/>
  <c r="F57"/>
  <c r="V57"/>
  <c r="AF57"/>
  <c r="R58"/>
  <c r="F59"/>
  <c r="V59"/>
  <c r="AF59"/>
  <c r="R60"/>
  <c r="F61"/>
  <c r="V61"/>
  <c r="AF61"/>
  <c r="R62"/>
  <c r="F63"/>
  <c r="V63"/>
  <c r="AF63"/>
  <c r="R64"/>
  <c r="F65"/>
  <c r="V65"/>
  <c r="AF65"/>
  <c r="R66"/>
  <c r="J70"/>
  <c r="P72"/>
  <c r="P74"/>
  <c r="H76"/>
  <c r="N77"/>
  <c r="R78"/>
  <c r="P79"/>
  <c r="X80"/>
  <c r="AF81"/>
  <c r="X82"/>
  <c r="V83"/>
  <c r="P84"/>
  <c r="F85"/>
  <c r="Z88"/>
  <c r="X90"/>
  <c r="J92"/>
  <c r="N93"/>
  <c r="H94"/>
  <c r="Z96"/>
  <c r="X98"/>
  <c r="F101"/>
  <c r="R101"/>
  <c r="N106"/>
  <c r="J107"/>
  <c r="N110"/>
  <c r="X114"/>
  <c r="N113"/>
  <c r="N114"/>
  <c r="F122"/>
  <c r="V124"/>
  <c r="F126"/>
  <c r="V128"/>
  <c r="Z129"/>
  <c r="P133"/>
  <c r="D133"/>
  <c r="D112"/>
  <c r="D105"/>
  <c r="D103"/>
  <c r="D98"/>
  <c r="D96"/>
  <c r="D94"/>
  <c r="D92"/>
  <c r="D90"/>
  <c r="D88"/>
  <c r="D128"/>
  <c r="D126"/>
  <c r="D124"/>
  <c r="D122"/>
  <c r="D114"/>
  <c r="D110"/>
  <c r="L133"/>
  <c r="L112"/>
  <c r="L105"/>
  <c r="L103"/>
  <c r="L98"/>
  <c r="L96"/>
  <c r="L94"/>
  <c r="L92"/>
  <c r="L90"/>
  <c r="L88"/>
  <c r="L128"/>
  <c r="L126"/>
  <c r="L124"/>
  <c r="L122"/>
  <c r="L114"/>
  <c r="L110"/>
  <c r="L84"/>
  <c r="T133"/>
  <c r="T112"/>
  <c r="T105"/>
  <c r="T103"/>
  <c r="T98"/>
  <c r="T96"/>
  <c r="T94"/>
  <c r="T92"/>
  <c r="T90"/>
  <c r="T88"/>
  <c r="T128"/>
  <c r="T126"/>
  <c r="T124"/>
  <c r="T122"/>
  <c r="T110"/>
  <c r="AF80"/>
  <c r="AF86"/>
  <c r="D42"/>
  <c r="L42"/>
  <c r="T42"/>
  <c r="D44"/>
  <c r="L44"/>
  <c r="T44"/>
  <c r="D46"/>
  <c r="L46"/>
  <c r="AB51"/>
  <c r="P52"/>
  <c r="T52"/>
  <c r="X52"/>
  <c r="AB54"/>
  <c r="AB62"/>
  <c r="D70"/>
  <c r="AB72"/>
  <c r="L76"/>
  <c r="T77"/>
  <c r="D78"/>
  <c r="L79"/>
  <c r="D81"/>
  <c r="T82"/>
  <c r="Z84"/>
  <c r="L85"/>
  <c r="N87"/>
  <c r="H101"/>
  <c r="X101"/>
  <c r="L106"/>
  <c r="P111"/>
  <c r="V111"/>
  <c r="AA111"/>
  <c r="AA114"/>
  <c r="L113"/>
  <c r="H129"/>
  <c r="X129"/>
  <c r="AF74"/>
  <c r="AF82"/>
  <c r="AC102"/>
  <c r="AF107"/>
  <c r="AC107"/>
  <c r="AF121"/>
  <c r="AC121"/>
  <c r="AF123"/>
  <c r="AC123"/>
  <c r="AF125"/>
  <c r="AB125"/>
  <c r="AC125"/>
  <c r="AF127"/>
  <c r="AC127"/>
  <c r="C130"/>
  <c r="K130"/>
  <c r="L130"/>
  <c r="D51"/>
  <c r="L51"/>
  <c r="T51"/>
  <c r="AA52"/>
  <c r="AA70"/>
  <c r="AE52"/>
  <c r="D54"/>
  <c r="L54"/>
  <c r="T54"/>
  <c r="D56"/>
  <c r="L56"/>
  <c r="T56"/>
  <c r="D58"/>
  <c r="L58"/>
  <c r="T58"/>
  <c r="D60"/>
  <c r="L60"/>
  <c r="T60"/>
  <c r="D62"/>
  <c r="L62"/>
  <c r="T62"/>
  <c r="D64"/>
  <c r="L64"/>
  <c r="T64"/>
  <c r="D66"/>
  <c r="L66"/>
  <c r="T66"/>
  <c r="D72"/>
  <c r="L72"/>
  <c r="T72"/>
  <c r="D74"/>
  <c r="L74"/>
  <c r="T74"/>
  <c r="D75"/>
  <c r="T76"/>
  <c r="L78"/>
  <c r="T79"/>
  <c r="D80"/>
  <c r="L81"/>
  <c r="D83"/>
  <c r="Z87"/>
  <c r="T85"/>
  <c r="D86"/>
  <c r="R87"/>
  <c r="AA101"/>
  <c r="D89"/>
  <c r="T89"/>
  <c r="D91"/>
  <c r="T91"/>
  <c r="D93"/>
  <c r="T93"/>
  <c r="D95"/>
  <c r="T95"/>
  <c r="D97"/>
  <c r="T97"/>
  <c r="D99"/>
  <c r="T99"/>
  <c r="D100"/>
  <c r="T100"/>
  <c r="L101"/>
  <c r="L102"/>
  <c r="L104"/>
  <c r="L107"/>
  <c r="D111"/>
  <c r="P114"/>
  <c r="Z111"/>
  <c r="L121"/>
  <c r="L123"/>
  <c r="L125"/>
  <c r="L127"/>
  <c r="L129"/>
  <c r="AA129"/>
  <c r="AF135"/>
  <c r="AF88"/>
  <c r="AB92"/>
  <c r="D101"/>
  <c r="T27"/>
  <c r="S35"/>
  <c r="T35"/>
  <c r="N27"/>
  <c r="M35"/>
  <c r="K35"/>
  <c r="L35"/>
  <c r="L27"/>
  <c r="U35"/>
  <c r="V27"/>
  <c r="AF70"/>
  <c r="AB70"/>
  <c r="AC70"/>
  <c r="AB114"/>
  <c r="AC114"/>
  <c r="AB112"/>
  <c r="AB105"/>
  <c r="AB110"/>
  <c r="AB126"/>
  <c r="AB122"/>
  <c r="AB97"/>
  <c r="AB89"/>
  <c r="AB75"/>
  <c r="AB48"/>
  <c r="AF12"/>
  <c r="AB99"/>
  <c r="AB91"/>
  <c r="AB68"/>
  <c r="AB46"/>
  <c r="AB44"/>
  <c r="AB42"/>
  <c r="AB113"/>
  <c r="AB106"/>
  <c r="AA16"/>
  <c r="AB100"/>
  <c r="AB40"/>
  <c r="AB38"/>
  <c r="AB128"/>
  <c r="AB124"/>
  <c r="AB65"/>
  <c r="AB61"/>
  <c r="AB57"/>
  <c r="AB53"/>
  <c r="AC12"/>
  <c r="AB93"/>
  <c r="AB83"/>
  <c r="AB63"/>
  <c r="AB59"/>
  <c r="AB55"/>
  <c r="AB81"/>
  <c r="X16"/>
  <c r="AF17"/>
  <c r="AB17"/>
  <c r="AC17"/>
  <c r="AD17"/>
  <c r="AA21"/>
  <c r="R21"/>
  <c r="Q36"/>
  <c r="R36"/>
  <c r="D130"/>
  <c r="H16"/>
  <c r="K36"/>
  <c r="L21"/>
  <c r="AC111"/>
  <c r="AD111"/>
  <c r="AF111"/>
  <c r="AB111"/>
  <c r="S36"/>
  <c r="T21"/>
  <c r="X21"/>
  <c r="C36"/>
  <c r="AE21"/>
  <c r="D21"/>
  <c r="O36"/>
  <c r="P21"/>
  <c r="AD100"/>
  <c r="AD93"/>
  <c r="AB71"/>
  <c r="AD25"/>
  <c r="AB23"/>
  <c r="AD29"/>
  <c r="AD34"/>
  <c r="AB32"/>
  <c r="AB95"/>
  <c r="AB94"/>
  <c r="AB123"/>
  <c r="AD102"/>
  <c r="AE114"/>
  <c r="AF114"/>
  <c r="AB104"/>
  <c r="AB56"/>
  <c r="AB86"/>
  <c r="AD85"/>
  <c r="AE87"/>
  <c r="AF87"/>
  <c r="AD89"/>
  <c r="AB79"/>
  <c r="AD71"/>
  <c r="AB25"/>
  <c r="AD23"/>
  <c r="AD73"/>
  <c r="AD32"/>
  <c r="AB30"/>
  <c r="I37"/>
  <c r="AB133"/>
  <c r="AB96"/>
  <c r="G130"/>
  <c r="H130"/>
  <c r="AD123"/>
  <c r="AB121"/>
  <c r="AB66"/>
  <c r="AB58"/>
  <c r="AB47"/>
  <c r="AD91"/>
  <c r="AB76"/>
  <c r="AD45"/>
  <c r="AB43"/>
  <c r="AD79"/>
  <c r="AD39"/>
  <c r="AB26"/>
  <c r="AB24"/>
  <c r="AB22"/>
  <c r="AB102"/>
  <c r="AB73"/>
  <c r="AD30"/>
  <c r="AB28"/>
  <c r="AD95"/>
  <c r="AB78"/>
  <c r="AD50"/>
  <c r="AB33"/>
  <c r="G35"/>
  <c r="AE27"/>
  <c r="H27"/>
  <c r="AA27"/>
  <c r="AA130"/>
  <c r="AF41"/>
  <c r="AB41"/>
  <c r="AC41"/>
  <c r="AD41"/>
  <c r="V16"/>
  <c r="Z27"/>
  <c r="Y35"/>
  <c r="G36"/>
  <c r="H36"/>
  <c r="H21"/>
  <c r="AF129"/>
  <c r="AB129"/>
  <c r="AC129"/>
  <c r="AD129"/>
  <c r="AF101"/>
  <c r="AB101"/>
  <c r="AC101"/>
  <c r="AD101"/>
  <c r="AF52"/>
  <c r="AB52"/>
  <c r="AC52"/>
  <c r="AD52"/>
  <c r="X27"/>
  <c r="W35"/>
  <c r="X35"/>
  <c r="E37"/>
  <c r="F16"/>
  <c r="AE16"/>
  <c r="R16"/>
  <c r="AC87"/>
  <c r="AD87"/>
  <c r="AB87"/>
  <c r="AF84"/>
  <c r="AB84"/>
  <c r="AC84"/>
  <c r="AD84"/>
  <c r="AD127"/>
  <c r="AD107"/>
  <c r="AD31"/>
  <c r="AB103"/>
  <c r="AB88"/>
  <c r="AD125"/>
  <c r="AB74"/>
  <c r="AB64"/>
  <c r="AB45"/>
  <c r="AB98"/>
  <c r="AB90"/>
  <c r="AB127"/>
  <c r="AD121"/>
  <c r="AB107"/>
  <c r="AB82"/>
  <c r="AB77"/>
  <c r="AB60"/>
  <c r="AB49"/>
  <c r="AB80"/>
  <c r="AD76"/>
  <c r="AB19"/>
  <c r="AD97"/>
  <c r="S130"/>
  <c r="T130"/>
  <c r="AD43"/>
  <c r="AB39"/>
  <c r="AD26"/>
  <c r="AD24"/>
  <c r="AD22"/>
  <c r="AB29"/>
  <c r="AB34"/>
  <c r="AD28"/>
  <c r="AD78"/>
  <c r="AB50"/>
  <c r="AD33"/>
  <c r="AB31"/>
  <c r="W36"/>
  <c r="X36"/>
  <c r="AD114"/>
  <c r="V35"/>
  <c r="U36"/>
  <c r="N35"/>
  <c r="M36"/>
  <c r="E116"/>
  <c r="F37"/>
  <c r="AC16"/>
  <c r="AD16"/>
  <c r="AA143"/>
  <c r="AF16"/>
  <c r="AB16"/>
  <c r="J37"/>
  <c r="I116"/>
  <c r="P36"/>
  <c r="O37"/>
  <c r="L36"/>
  <c r="K37"/>
  <c r="Z35"/>
  <c r="Y36"/>
  <c r="AF27"/>
  <c r="AB27"/>
  <c r="AC27"/>
  <c r="AD27"/>
  <c r="AA35"/>
  <c r="AA36"/>
  <c r="D36"/>
  <c r="C37"/>
  <c r="T36"/>
  <c r="S37"/>
  <c r="AB21"/>
  <c r="AC21"/>
  <c r="AD21"/>
  <c r="AF21"/>
  <c r="AD98"/>
  <c r="AD90"/>
  <c r="AD92"/>
  <c r="AD66"/>
  <c r="AD64"/>
  <c r="AD62"/>
  <c r="AD56"/>
  <c r="AD96"/>
  <c r="AD88"/>
  <c r="AD86"/>
  <c r="AD74"/>
  <c r="AD60"/>
  <c r="AD58"/>
  <c r="AD54"/>
  <c r="AD49"/>
  <c r="AD51"/>
  <c r="AD94"/>
  <c r="AD72"/>
  <c r="AD19"/>
  <c r="AD82"/>
  <c r="AD57"/>
  <c r="AD81"/>
  <c r="AD83"/>
  <c r="AD128"/>
  <c r="AD61"/>
  <c r="AD122"/>
  <c r="AD40"/>
  <c r="AD103"/>
  <c r="AD110"/>
  <c r="AD65"/>
  <c r="AD55"/>
  <c r="AD63"/>
  <c r="AD126"/>
  <c r="AD48"/>
  <c r="AD124"/>
  <c r="AD99"/>
  <c r="AD42"/>
  <c r="AD112"/>
  <c r="AD59"/>
  <c r="AD75"/>
  <c r="AD46"/>
  <c r="AD68"/>
  <c r="AD106"/>
  <c r="AD80"/>
  <c r="AD38"/>
  <c r="AD104"/>
  <c r="AD44"/>
  <c r="AD47"/>
  <c r="AD133"/>
  <c r="AD53"/>
  <c r="AD77"/>
  <c r="AD105"/>
  <c r="AD113"/>
  <c r="W37"/>
  <c r="AD70"/>
  <c r="AC130"/>
  <c r="AD130"/>
  <c r="AB130"/>
  <c r="AA139"/>
  <c r="H35"/>
  <c r="AE35"/>
  <c r="AE130"/>
  <c r="AF130"/>
  <c r="Q37"/>
  <c r="G37"/>
  <c r="N36"/>
  <c r="M37"/>
  <c r="V36"/>
  <c r="U37"/>
  <c r="AB36"/>
  <c r="AC36"/>
  <c r="AD36"/>
  <c r="AA37"/>
  <c r="W116"/>
  <c r="X37"/>
  <c r="R37"/>
  <c r="Q116"/>
  <c r="K116"/>
  <c r="L37"/>
  <c r="J116"/>
  <c r="I120"/>
  <c r="F116"/>
  <c r="E120"/>
  <c r="C116"/>
  <c r="AE37"/>
  <c r="D37"/>
  <c r="AF35"/>
  <c r="AB35"/>
  <c r="AC35"/>
  <c r="AD35"/>
  <c r="Z36"/>
  <c r="Y37"/>
  <c r="O116"/>
  <c r="P37"/>
  <c r="G116"/>
  <c r="H37"/>
  <c r="S116"/>
  <c r="T37"/>
  <c r="AE36"/>
  <c r="AF36"/>
  <c r="N37"/>
  <c r="M116"/>
  <c r="V37"/>
  <c r="U116"/>
  <c r="O120"/>
  <c r="P116"/>
  <c r="K120"/>
  <c r="L116"/>
  <c r="F120"/>
  <c r="E131"/>
  <c r="S120"/>
  <c r="T116"/>
  <c r="G120"/>
  <c r="H116"/>
  <c r="C120"/>
  <c r="D116"/>
  <c r="W120"/>
  <c r="X116"/>
  <c r="Z37"/>
  <c r="Y116"/>
  <c r="J120"/>
  <c r="I131"/>
  <c r="R116"/>
  <c r="Q120"/>
  <c r="AA116"/>
  <c r="AC37"/>
  <c r="AD37"/>
  <c r="AB37"/>
  <c r="AF37"/>
  <c r="U120"/>
  <c r="V116"/>
  <c r="N116"/>
  <c r="M120"/>
  <c r="AE116"/>
  <c r="T120"/>
  <c r="S131"/>
  <c r="I137"/>
  <c r="J137"/>
  <c r="J131"/>
  <c r="Z116"/>
  <c r="Y120"/>
  <c r="G131"/>
  <c r="H120"/>
  <c r="K131"/>
  <c r="L120"/>
  <c r="R120"/>
  <c r="Q131"/>
  <c r="AE120"/>
  <c r="D120"/>
  <c r="C131"/>
  <c r="O131"/>
  <c r="P120"/>
  <c r="AA120"/>
  <c r="AB116"/>
  <c r="AC116"/>
  <c r="AD116"/>
  <c r="AF116"/>
  <c r="W131"/>
  <c r="X120"/>
  <c r="E137"/>
  <c r="F137"/>
  <c r="F131"/>
  <c r="U131"/>
  <c r="V120"/>
  <c r="M131"/>
  <c r="N120"/>
  <c r="G137"/>
  <c r="H137"/>
  <c r="H131"/>
  <c r="W137"/>
  <c r="X137"/>
  <c r="X131"/>
  <c r="AC120"/>
  <c r="AD120"/>
  <c r="AF120"/>
  <c r="AA131"/>
  <c r="AB120"/>
  <c r="Q137"/>
  <c r="R137"/>
  <c r="R131"/>
  <c r="S137"/>
  <c r="T137"/>
  <c r="T131"/>
  <c r="C137"/>
  <c r="D131"/>
  <c r="K137"/>
  <c r="L137"/>
  <c r="L131"/>
  <c r="O137"/>
  <c r="P137"/>
  <c r="P131"/>
  <c r="Z120"/>
  <c r="Y131"/>
  <c r="AE131"/>
  <c r="U137"/>
  <c r="V137"/>
  <c r="V131"/>
  <c r="N131"/>
  <c r="M137"/>
  <c r="N137"/>
  <c r="AA137"/>
  <c r="AF131"/>
  <c r="AB131"/>
  <c r="AC131"/>
  <c r="AD131"/>
  <c r="Y137"/>
  <c r="Z137"/>
  <c r="Z131"/>
  <c r="D137"/>
  <c r="C139"/>
  <c r="E139"/>
  <c r="G139"/>
  <c r="I139"/>
  <c r="K139"/>
  <c r="M139"/>
  <c r="O139"/>
  <c r="Q139"/>
  <c r="S139"/>
  <c r="U139"/>
  <c r="W139"/>
  <c r="Y139"/>
  <c r="AF137"/>
  <c r="AB137"/>
  <c r="AC137"/>
  <c r="AD137"/>
  <c r="AE137"/>
  <c r="Q5" i="22"/>
  <c r="Q6"/>
  <c r="Q7"/>
  <c r="Q8"/>
  <c r="Q9"/>
  <c r="Q10"/>
  <c r="Q11"/>
  <c r="Q12"/>
  <c r="Q13"/>
  <c r="Q14"/>
  <c r="Q15"/>
  <c r="Q16"/>
  <c r="Q17"/>
  <c r="Q18"/>
  <c r="Q19"/>
  <c r="Q20"/>
  <c r="Q21"/>
  <c r="Q22"/>
  <c r="Q4"/>
  <c r="Q23"/>
  <c r="K23"/>
  <c r="E23"/>
  <c r="F23"/>
  <c r="G23"/>
  <c r="H23"/>
  <c r="I23"/>
  <c r="J23"/>
  <c r="L23"/>
  <c r="M23"/>
  <c r="N23"/>
  <c r="O23"/>
  <c r="P23"/>
  <c r="D23"/>
  <c r="AE91" i="25"/>
  <c r="AE66"/>
  <c r="AE62"/>
  <c r="AE58"/>
  <c r="AE54"/>
  <c r="AF54" s="1"/>
  <c r="AE50"/>
  <c r="AE46"/>
  <c r="AE42"/>
  <c r="AA32"/>
  <c r="AC32" s="1"/>
  <c r="AA28"/>
  <c r="AA24"/>
  <c r="AA163"/>
  <c r="AC163"/>
  <c r="AA162"/>
  <c r="AC162"/>
  <c r="AC161"/>
  <c r="AC160"/>
  <c r="AC159"/>
  <c r="AE151"/>
  <c r="AF151" s="1"/>
  <c r="AC151"/>
  <c r="AE149"/>
  <c r="AF149" s="1"/>
  <c r="AC149"/>
  <c r="AE147"/>
  <c r="AF147" s="1"/>
  <c r="AC147"/>
  <c r="AE143"/>
  <c r="AE134"/>
  <c r="AF134" s="1"/>
  <c r="AC134"/>
  <c r="AE132"/>
  <c r="AF132" s="1"/>
  <c r="AC132"/>
  <c r="AE130"/>
  <c r="AF130" s="1"/>
  <c r="AC130"/>
  <c r="AE128"/>
  <c r="AE127"/>
  <c r="AE125"/>
  <c r="AE121"/>
  <c r="AF121" s="1"/>
  <c r="AE119"/>
  <c r="AE116"/>
  <c r="AE107"/>
  <c r="AE105"/>
  <c r="AF105" s="1"/>
  <c r="AE103"/>
  <c r="AE101"/>
  <c r="AE98"/>
  <c r="AE96"/>
  <c r="AF96" s="1"/>
  <c r="AE94"/>
  <c r="AG93"/>
  <c r="AE92"/>
  <c r="AE89"/>
  <c r="AF89" s="1"/>
  <c r="AE88"/>
  <c r="AE87"/>
  <c r="AE84"/>
  <c r="AF84" s="1"/>
  <c r="AE80"/>
  <c r="AF80" s="1"/>
  <c r="AE78"/>
  <c r="AJ77"/>
  <c r="AE77"/>
  <c r="AE68"/>
  <c r="AF68" s="1"/>
  <c r="AE64"/>
  <c r="AE63"/>
  <c r="AE61"/>
  <c r="AE60"/>
  <c r="AF60" s="1"/>
  <c r="AE59"/>
  <c r="AE57"/>
  <c r="AE56"/>
  <c r="AE55"/>
  <c r="AF55" s="1"/>
  <c r="AE53"/>
  <c r="AE52"/>
  <c r="AE51"/>
  <c r="AE49"/>
  <c r="AF49" s="1"/>
  <c r="AE48"/>
  <c r="AE47"/>
  <c r="AE45"/>
  <c r="AE44"/>
  <c r="AF44" s="1"/>
  <c r="AE43"/>
  <c r="AE40"/>
  <c r="AA40"/>
  <c r="AE39"/>
  <c r="AA39"/>
  <c r="AC39" s="1"/>
  <c r="AE38"/>
  <c r="AA38"/>
  <c r="AA41" s="1"/>
  <c r="AE34"/>
  <c r="AF34" s="1"/>
  <c r="AA34"/>
  <c r="AE33"/>
  <c r="AE32"/>
  <c r="AE31"/>
  <c r="AF31" s="1"/>
  <c r="AA31"/>
  <c r="AE30"/>
  <c r="AA30"/>
  <c r="AF30" s="1"/>
  <c r="AE29"/>
  <c r="AE28"/>
  <c r="AE26"/>
  <c r="AA26"/>
  <c r="AE25"/>
  <c r="AE24"/>
  <c r="AE23"/>
  <c r="AA23"/>
  <c r="AE22"/>
  <c r="AA22"/>
  <c r="AC22" s="1"/>
  <c r="AE20"/>
  <c r="AA20"/>
  <c r="AC20" s="1"/>
  <c r="AA19"/>
  <c r="AE18"/>
  <c r="AA18"/>
  <c r="AC18" s="1"/>
  <c r="AA17"/>
  <c r="AE14"/>
  <c r="AA14"/>
  <c r="AC14" s="1"/>
  <c r="AE13"/>
  <c r="AE11"/>
  <c r="AA11"/>
  <c r="AC11" s="1"/>
  <c r="AE10"/>
  <c r="AA10"/>
  <c r="AA9"/>
  <c r="AC9" s="1"/>
  <c r="AE8"/>
  <c r="AF8" s="1"/>
  <c r="AA8"/>
  <c r="AC8" s="1"/>
  <c r="AE7"/>
  <c r="AA7"/>
  <c r="AE6"/>
  <c r="AA6"/>
  <c r="AC6" s="1"/>
  <c r="AA5"/>
  <c r="AA19" i="9"/>
  <c r="AE17" i="25"/>
  <c r="AE79"/>
  <c r="AE117"/>
  <c r="AF117" s="1"/>
  <c r="AE122"/>
  <c r="AF122" s="1"/>
  <c r="AE65"/>
  <c r="AF65" s="1"/>
  <c r="AE123"/>
  <c r="AF123" s="1"/>
  <c r="AA13"/>
  <c r="AF13" s="1"/>
  <c r="AE19"/>
  <c r="AE81"/>
  <c r="AF81" s="1"/>
  <c r="AE90"/>
  <c r="AE67"/>
  <c r="AF67" s="1"/>
  <c r="AE86"/>
  <c r="AF14"/>
  <c r="AF107"/>
  <c r="AE120"/>
  <c r="AE83"/>
  <c r="AE69"/>
  <c r="AF69" s="1"/>
  <c r="AE97"/>
  <c r="AE102"/>
  <c r="AF102" s="1"/>
  <c r="AE85"/>
  <c r="AF85" s="1"/>
  <c r="AF103"/>
  <c r="AE124"/>
  <c r="AE136"/>
  <c r="AF136" s="1"/>
  <c r="AF22"/>
  <c r="AC26"/>
  <c r="AE5"/>
  <c r="AE9"/>
  <c r="AF9" s="1"/>
  <c r="AA25"/>
  <c r="AF25" s="1"/>
  <c r="AA29"/>
  <c r="AA33"/>
  <c r="AF33" s="1"/>
  <c r="AE95"/>
  <c r="AF95" s="1"/>
  <c r="AE99"/>
  <c r="AF99" s="1"/>
  <c r="AE104"/>
  <c r="AF40"/>
  <c r="AE138"/>
  <c r="AF138" s="1"/>
  <c r="AF116"/>
  <c r="AF98"/>
  <c r="AF24"/>
  <c r="AC24"/>
  <c r="AF28"/>
  <c r="AC28"/>
  <c r="AC34"/>
  <c r="AF125"/>
  <c r="AF119"/>
  <c r="AF88"/>
  <c r="AF92"/>
  <c r="AF43"/>
  <c r="AF58"/>
  <c r="AF53"/>
  <c r="AF62"/>
  <c r="AF66"/>
  <c r="AF50"/>
  <c r="AF51"/>
  <c r="AF57"/>
  <c r="AF47"/>
  <c r="AF45"/>
  <c r="AF61"/>
  <c r="AF6"/>
  <c r="AF18"/>
  <c r="AF20"/>
  <c r="AC23"/>
  <c r="AC31"/>
  <c r="AC40"/>
  <c r="AF59"/>
  <c r="AC5"/>
  <c r="AC10"/>
  <c r="AC17"/>
  <c r="AF63"/>
  <c r="AE82"/>
  <c r="AF82" s="1"/>
  <c r="K93" i="9"/>
  <c r="K93" i="25" s="1"/>
  <c r="AC13"/>
  <c r="AC29"/>
  <c r="AA15"/>
  <c r="AC15" s="1"/>
  <c r="AF127"/>
  <c r="AF104"/>
  <c r="AF78"/>
  <c r="AF86"/>
  <c r="AC33"/>
  <c r="AF94"/>
  <c r="AF128"/>
  <c r="AE140"/>
  <c r="AF140" s="1"/>
  <c r="AE142"/>
  <c r="AE133"/>
  <c r="AA133"/>
  <c r="AC151" i="9"/>
  <c r="AC149"/>
  <c r="AC147"/>
  <c r="AC134"/>
  <c r="AC132"/>
  <c r="AC130"/>
  <c r="AA92"/>
  <c r="AC89"/>
  <c r="AC85"/>
  <c r="AC90"/>
  <c r="AC78"/>
  <c r="AC87"/>
  <c r="AC83"/>
  <c r="AC79"/>
  <c r="AC86"/>
  <c r="AC82"/>
  <c r="AC91"/>
  <c r="AC92"/>
  <c r="AE137" i="25"/>
  <c r="AE139"/>
  <c r="AF139" s="1"/>
  <c r="AE141"/>
  <c r="AC142" i="9"/>
  <c r="I22" i="23"/>
  <c r="G22"/>
  <c r="AE148" i="25"/>
  <c r="AF148" s="1"/>
  <c r="AA66" i="9"/>
  <c r="AC65"/>
  <c r="AE150" i="25"/>
  <c r="AC66" i="9"/>
  <c r="M22" i="23"/>
  <c r="F22"/>
  <c r="E22"/>
  <c r="D22"/>
  <c r="E24"/>
  <c r="D24"/>
  <c r="I24"/>
  <c r="L24"/>
  <c r="F23"/>
  <c r="F24"/>
  <c r="G24"/>
  <c r="AE126" i="25"/>
  <c r="AF126" s="1"/>
  <c r="AA129"/>
  <c r="AC129" s="1"/>
  <c r="AC51" i="9"/>
  <c r="AA62"/>
  <c r="AC62"/>
  <c r="AA56"/>
  <c r="AC56"/>
  <c r="AE134"/>
  <c r="AF134"/>
  <c r="AE136"/>
  <c r="AE137"/>
  <c r="AF137"/>
  <c r="AE151"/>
  <c r="AF151"/>
  <c r="AE150"/>
  <c r="AE149"/>
  <c r="AF149"/>
  <c r="AE148"/>
  <c r="AE147"/>
  <c r="AF147"/>
  <c r="AE143"/>
  <c r="AE141"/>
  <c r="AE140"/>
  <c r="AE139"/>
  <c r="AE138"/>
  <c r="AF138"/>
  <c r="AE132"/>
  <c r="AF132"/>
  <c r="AE130"/>
  <c r="AF130"/>
  <c r="AE128"/>
  <c r="AE126"/>
  <c r="AE125"/>
  <c r="AE124"/>
  <c r="AF124"/>
  <c r="AE123"/>
  <c r="AE122"/>
  <c r="AE121"/>
  <c r="AE120"/>
  <c r="AE119"/>
  <c r="AE117"/>
  <c r="AE116"/>
  <c r="AE107"/>
  <c r="AF107"/>
  <c r="AE105"/>
  <c r="AF105"/>
  <c r="AE104"/>
  <c r="AF104"/>
  <c r="AE103"/>
  <c r="AF103"/>
  <c r="AE102"/>
  <c r="AF102"/>
  <c r="AE101"/>
  <c r="AF101"/>
  <c r="AE99"/>
  <c r="AF99"/>
  <c r="AE98"/>
  <c r="AF98"/>
  <c r="AE97"/>
  <c r="AF97"/>
  <c r="AE96"/>
  <c r="AF96"/>
  <c r="AE95"/>
  <c r="AF95"/>
  <c r="AE94"/>
  <c r="AE92"/>
  <c r="AF92"/>
  <c r="AE91"/>
  <c r="AF91" s="1"/>
  <c r="AE90"/>
  <c r="AF90" s="1"/>
  <c r="AE89"/>
  <c r="AE88"/>
  <c r="AF88" s="1"/>
  <c r="AE86"/>
  <c r="AF86" s="1"/>
  <c r="AE85"/>
  <c r="AE84"/>
  <c r="AE83"/>
  <c r="AF83" s="1"/>
  <c r="AE82"/>
  <c r="AF82" s="1"/>
  <c r="AE81"/>
  <c r="AE80"/>
  <c r="AE79"/>
  <c r="AF79" s="1"/>
  <c r="AE78"/>
  <c r="AF78" s="1"/>
  <c r="AE77"/>
  <c r="AE69"/>
  <c r="AE68"/>
  <c r="AE67"/>
  <c r="AE66"/>
  <c r="AF66"/>
  <c r="AE65"/>
  <c r="AF65"/>
  <c r="AE64"/>
  <c r="AE63"/>
  <c r="AE62"/>
  <c r="AF62"/>
  <c r="AE61"/>
  <c r="AE60"/>
  <c r="AE59"/>
  <c r="AE58"/>
  <c r="AE57"/>
  <c r="AE56"/>
  <c r="AF56"/>
  <c r="AE55"/>
  <c r="AE54"/>
  <c r="AE53"/>
  <c r="AE52"/>
  <c r="AE51"/>
  <c r="AF51"/>
  <c r="AE50"/>
  <c r="AF50"/>
  <c r="AE49"/>
  <c r="AE48"/>
  <c r="AE47"/>
  <c r="AE46"/>
  <c r="AE45"/>
  <c r="AE44"/>
  <c r="AE43"/>
  <c r="AE42"/>
  <c r="AE40"/>
  <c r="AE39"/>
  <c r="AE38"/>
  <c r="AE34"/>
  <c r="AE33"/>
  <c r="AE32"/>
  <c r="AE31"/>
  <c r="AE30"/>
  <c r="AE29"/>
  <c r="AE28"/>
  <c r="AE27"/>
  <c r="AE26"/>
  <c r="AE25"/>
  <c r="AE24"/>
  <c r="AE23"/>
  <c r="AE22"/>
  <c r="AE20"/>
  <c r="AE19"/>
  <c r="AF19"/>
  <c r="AE18"/>
  <c r="AE17"/>
  <c r="AE14"/>
  <c r="AE13"/>
  <c r="AE11"/>
  <c r="AE10"/>
  <c r="AE9"/>
  <c r="AE8"/>
  <c r="AE7"/>
  <c r="AE6"/>
  <c r="AE5"/>
  <c r="AA150"/>
  <c r="AC150"/>
  <c r="AF150"/>
  <c r="AE87"/>
  <c r="AF87" s="1"/>
  <c r="AE142"/>
  <c r="AF142" s="1"/>
  <c r="AE127"/>
  <c r="AE133"/>
  <c r="C144"/>
  <c r="AA10"/>
  <c r="AA11"/>
  <c r="AC10"/>
  <c r="AF10"/>
  <c r="AC11"/>
  <c r="AF11"/>
  <c r="AA27" i="25"/>
  <c r="AE27"/>
  <c r="I144" i="9"/>
  <c r="I41"/>
  <c r="G144"/>
  <c r="G6" i="27" s="1"/>
  <c r="E144" i="9"/>
  <c r="Y144"/>
  <c r="W144"/>
  <c r="W6" i="27" s="1"/>
  <c r="U144" i="9"/>
  <c r="S144"/>
  <c r="Q144"/>
  <c r="O144"/>
  <c r="O6" i="27" s="1"/>
  <c r="M144" i="9"/>
  <c r="M6" i="27" s="1"/>
  <c r="K144" i="9"/>
  <c r="AC138"/>
  <c r="AG93"/>
  <c r="AA148"/>
  <c r="AA143"/>
  <c r="AA140"/>
  <c r="AA139"/>
  <c r="AC137"/>
  <c r="AA136"/>
  <c r="AA133"/>
  <c r="U129"/>
  <c r="S129"/>
  <c r="Q129"/>
  <c r="O129"/>
  <c r="M129"/>
  <c r="K129"/>
  <c r="I129"/>
  <c r="G129"/>
  <c r="E129"/>
  <c r="C129"/>
  <c r="AA128"/>
  <c r="Y129"/>
  <c r="W129"/>
  <c r="AA116"/>
  <c r="Y93"/>
  <c r="Y93" i="25" s="1"/>
  <c r="W93" i="9"/>
  <c r="W93" i="25" s="1"/>
  <c r="U93" i="9"/>
  <c r="U93" i="25" s="1"/>
  <c r="S93" i="9"/>
  <c r="S93" i="25" s="1"/>
  <c r="Q93" i="9"/>
  <c r="Q93" i="25" s="1"/>
  <c r="O93" i="9"/>
  <c r="O93" i="25" s="1"/>
  <c r="M93" i="9"/>
  <c r="M93" i="25" s="1"/>
  <c r="I93" i="9"/>
  <c r="I93" i="25" s="1"/>
  <c r="G93" i="9"/>
  <c r="G93" i="25" s="1"/>
  <c r="E93" i="9"/>
  <c r="E93" i="25" s="1"/>
  <c r="C93" i="9"/>
  <c r="C93" i="25" s="1"/>
  <c r="AA69" i="9"/>
  <c r="AA64"/>
  <c r="AA63"/>
  <c r="AA61"/>
  <c r="AA60"/>
  <c r="AA59"/>
  <c r="AA58"/>
  <c r="AA57"/>
  <c r="AA55"/>
  <c r="AA54"/>
  <c r="AA53"/>
  <c r="AA52"/>
  <c r="AC50"/>
  <c r="AA47"/>
  <c r="AA46"/>
  <c r="AA45"/>
  <c r="AA44"/>
  <c r="AA43"/>
  <c r="AA42"/>
  <c r="AF42"/>
  <c r="Y41"/>
  <c r="W41"/>
  <c r="U41"/>
  <c r="S41"/>
  <c r="Q41"/>
  <c r="O41"/>
  <c r="M41"/>
  <c r="K41"/>
  <c r="G41"/>
  <c r="E41"/>
  <c r="C41"/>
  <c r="AA40"/>
  <c r="AA39"/>
  <c r="AA38"/>
  <c r="Y35"/>
  <c r="W35"/>
  <c r="U35"/>
  <c r="S35"/>
  <c r="Q35"/>
  <c r="O35"/>
  <c r="M35"/>
  <c r="K35"/>
  <c r="I35"/>
  <c r="G35"/>
  <c r="E35"/>
  <c r="C35"/>
  <c r="AA34"/>
  <c r="AA33"/>
  <c r="AA32"/>
  <c r="AA31"/>
  <c r="AA30"/>
  <c r="AA29"/>
  <c r="AA28"/>
  <c r="AA27"/>
  <c r="AA26"/>
  <c r="AA25"/>
  <c r="AA24"/>
  <c r="AA23"/>
  <c r="AA22"/>
  <c r="Y21"/>
  <c r="W21"/>
  <c r="U21"/>
  <c r="S21"/>
  <c r="Q21"/>
  <c r="O21"/>
  <c r="M21"/>
  <c r="K21"/>
  <c r="I21"/>
  <c r="G21"/>
  <c r="E21"/>
  <c r="C21"/>
  <c r="AA20"/>
  <c r="AC19"/>
  <c r="AA18"/>
  <c r="AA17"/>
  <c r="Y15"/>
  <c r="W15"/>
  <c r="U15"/>
  <c r="S15"/>
  <c r="Q15"/>
  <c r="O15"/>
  <c r="M15"/>
  <c r="K15"/>
  <c r="I15"/>
  <c r="G15"/>
  <c r="E15"/>
  <c r="C15"/>
  <c r="AA14"/>
  <c r="AA13"/>
  <c r="Y12"/>
  <c r="W12"/>
  <c r="U12"/>
  <c r="S12"/>
  <c r="Q12"/>
  <c r="O12"/>
  <c r="M12"/>
  <c r="K12"/>
  <c r="I12"/>
  <c r="G12"/>
  <c r="E12"/>
  <c r="C12"/>
  <c r="AA9"/>
  <c r="AA8"/>
  <c r="AA7"/>
  <c r="AA6"/>
  <c r="AA5"/>
  <c r="AF5"/>
  <c r="E7" i="27"/>
  <c r="I7"/>
  <c r="G7"/>
  <c r="C7"/>
  <c r="Y7"/>
  <c r="W7"/>
  <c r="U7"/>
  <c r="S7"/>
  <c r="Q7"/>
  <c r="O7"/>
  <c r="M7"/>
  <c r="AA76" i="9"/>
  <c r="AE115" i="25"/>
  <c r="AE12"/>
  <c r="AC13" i="9"/>
  <c r="AF13"/>
  <c r="AC28"/>
  <c r="AF28"/>
  <c r="AC39"/>
  <c r="AF39"/>
  <c r="AC49"/>
  <c r="AF49"/>
  <c r="AC116"/>
  <c r="AF116"/>
  <c r="AC7"/>
  <c r="AF7"/>
  <c r="AC14"/>
  <c r="AF14"/>
  <c r="AC20"/>
  <c r="AF20"/>
  <c r="AC25"/>
  <c r="AF25"/>
  <c r="AC29"/>
  <c r="AF29"/>
  <c r="AC33"/>
  <c r="AF33"/>
  <c r="AC40"/>
  <c r="AF40"/>
  <c r="AC46"/>
  <c r="AF46"/>
  <c r="AC55"/>
  <c r="AF55"/>
  <c r="AC60"/>
  <c r="AF60"/>
  <c r="AC67"/>
  <c r="AF67"/>
  <c r="AC117"/>
  <c r="AF117"/>
  <c r="AC122"/>
  <c r="AF122"/>
  <c r="AC125"/>
  <c r="AF125"/>
  <c r="AC148"/>
  <c r="AF148"/>
  <c r="AC32"/>
  <c r="AF32"/>
  <c r="AC59"/>
  <c r="AF59"/>
  <c r="AC121"/>
  <c r="AF121"/>
  <c r="AC128"/>
  <c r="AF128"/>
  <c r="AC136"/>
  <c r="AF136"/>
  <c r="AC18"/>
  <c r="AF18"/>
  <c r="AC23"/>
  <c r="AF23"/>
  <c r="AC27"/>
  <c r="AF27"/>
  <c r="AC31"/>
  <c r="AF31"/>
  <c r="AC38"/>
  <c r="AF38"/>
  <c r="AC44"/>
  <c r="AF44"/>
  <c r="AC48"/>
  <c r="AF48"/>
  <c r="AC53"/>
  <c r="AF53"/>
  <c r="AC58"/>
  <c r="AF58"/>
  <c r="AC63"/>
  <c r="AF63"/>
  <c r="AF69"/>
  <c r="AF94"/>
  <c r="AC120"/>
  <c r="AF120"/>
  <c r="AC127"/>
  <c r="AF127"/>
  <c r="AC133"/>
  <c r="AF133"/>
  <c r="AC140"/>
  <c r="AF140"/>
  <c r="AC6"/>
  <c r="AF6"/>
  <c r="AC24"/>
  <c r="AF24"/>
  <c r="AC45"/>
  <c r="AF45"/>
  <c r="AC54"/>
  <c r="AF54"/>
  <c r="AC64"/>
  <c r="AF64"/>
  <c r="AC143"/>
  <c r="AF143"/>
  <c r="AC9"/>
  <c r="AF9"/>
  <c r="AC8"/>
  <c r="AF8"/>
  <c r="AC17"/>
  <c r="AF17"/>
  <c r="AC22"/>
  <c r="AF22"/>
  <c r="AC26"/>
  <c r="AF26"/>
  <c r="AC30"/>
  <c r="AF30"/>
  <c r="AC34"/>
  <c r="AF34"/>
  <c r="AC43"/>
  <c r="AF43"/>
  <c r="AC47"/>
  <c r="AF47"/>
  <c r="AC52"/>
  <c r="AF52"/>
  <c r="AC57"/>
  <c r="AF57"/>
  <c r="AC61"/>
  <c r="AF61"/>
  <c r="AC68"/>
  <c r="AF68"/>
  <c r="AC119"/>
  <c r="AF119"/>
  <c r="AC123"/>
  <c r="AF123"/>
  <c r="AC126"/>
  <c r="AF126"/>
  <c r="AC139"/>
  <c r="AF139"/>
  <c r="AE35" i="25"/>
  <c r="AE15"/>
  <c r="AF15" s="1"/>
  <c r="AE21"/>
  <c r="AE41"/>
  <c r="K145" i="9"/>
  <c r="L118" s="1"/>
  <c r="AC42"/>
  <c r="AE12"/>
  <c r="AE129"/>
  <c r="AE15"/>
  <c r="AE21"/>
  <c r="AE41"/>
  <c r="AE35"/>
  <c r="AE115"/>
  <c r="G16"/>
  <c r="K16"/>
  <c r="O16"/>
  <c r="S16"/>
  <c r="W16"/>
  <c r="C16"/>
  <c r="E36"/>
  <c r="I36"/>
  <c r="M36"/>
  <c r="Q36"/>
  <c r="U36"/>
  <c r="Y36"/>
  <c r="C36"/>
  <c r="G36"/>
  <c r="K36"/>
  <c r="O36"/>
  <c r="S36"/>
  <c r="W36"/>
  <c r="AA12"/>
  <c r="AF12"/>
  <c r="AA15"/>
  <c r="AA21"/>
  <c r="AA35"/>
  <c r="AC5"/>
  <c r="E16"/>
  <c r="M16"/>
  <c r="U16"/>
  <c r="I16"/>
  <c r="Q16"/>
  <c r="Y16"/>
  <c r="AA41"/>
  <c r="O145"/>
  <c r="O4" i="27" s="1"/>
  <c r="G145" i="9"/>
  <c r="G4" i="27" s="1"/>
  <c r="Q145" i="9"/>
  <c r="R118" s="1"/>
  <c r="U145"/>
  <c r="V118" s="1"/>
  <c r="E145"/>
  <c r="F85" s="1"/>
  <c r="M145"/>
  <c r="N118" s="1"/>
  <c r="AA93"/>
  <c r="AC93" s="1"/>
  <c r="S145"/>
  <c r="S4" i="27" s="1"/>
  <c r="W145" i="9"/>
  <c r="W4" i="27" s="1"/>
  <c r="AC124" i="9"/>
  <c r="AE93" i="25"/>
  <c r="AC76" i="9"/>
  <c r="P73"/>
  <c r="L75"/>
  <c r="L71"/>
  <c r="L72"/>
  <c r="H71"/>
  <c r="H72"/>
  <c r="H73"/>
  <c r="H75"/>
  <c r="H70"/>
  <c r="AC21"/>
  <c r="AF21"/>
  <c r="AC41"/>
  <c r="AF41"/>
  <c r="AF115"/>
  <c r="AC35"/>
  <c r="AF35"/>
  <c r="AC15"/>
  <c r="AF15"/>
  <c r="AE16" i="25"/>
  <c r="L76" i="9"/>
  <c r="L142"/>
  <c r="F62"/>
  <c r="N52"/>
  <c r="N128"/>
  <c r="AC12"/>
  <c r="T84"/>
  <c r="T76"/>
  <c r="H76"/>
  <c r="X76"/>
  <c r="R76"/>
  <c r="N76"/>
  <c r="V76"/>
  <c r="P76"/>
  <c r="T142"/>
  <c r="L122"/>
  <c r="AE16"/>
  <c r="M37"/>
  <c r="AE36"/>
  <c r="P142"/>
  <c r="W37"/>
  <c r="G37"/>
  <c r="O37"/>
  <c r="Q37"/>
  <c r="Y37"/>
  <c r="I37"/>
  <c r="U37"/>
  <c r="E37"/>
  <c r="S37"/>
  <c r="K37"/>
  <c r="C37"/>
  <c r="AA16"/>
  <c r="L82"/>
  <c r="H82"/>
  <c r="T82"/>
  <c r="N92"/>
  <c r="R82"/>
  <c r="N83"/>
  <c r="N82"/>
  <c r="V83"/>
  <c r="V82"/>
  <c r="P83"/>
  <c r="P82"/>
  <c r="H84"/>
  <c r="H83"/>
  <c r="T83"/>
  <c r="L84"/>
  <c r="L83"/>
  <c r="F84"/>
  <c r="F83"/>
  <c r="R138"/>
  <c r="R84"/>
  <c r="V138"/>
  <c r="V84"/>
  <c r="P138"/>
  <c r="P84"/>
  <c r="N138"/>
  <c r="N84"/>
  <c r="H138"/>
  <c r="F138"/>
  <c r="AA36"/>
  <c r="H45"/>
  <c r="H79"/>
  <c r="AA129"/>
  <c r="AA154" s="1"/>
  <c r="AC165" s="1"/>
  <c r="F129"/>
  <c r="F79"/>
  <c r="F49"/>
  <c r="F50"/>
  <c r="F81"/>
  <c r="F68"/>
  <c r="F65"/>
  <c r="F48"/>
  <c r="F77"/>
  <c r="T42"/>
  <c r="T138"/>
  <c r="L42"/>
  <c r="L138"/>
  <c r="V119"/>
  <c r="V42"/>
  <c r="V58"/>
  <c r="R145"/>
  <c r="R42"/>
  <c r="P42"/>
  <c r="N139"/>
  <c r="N42"/>
  <c r="H61"/>
  <c r="H42"/>
  <c r="F59"/>
  <c r="F42"/>
  <c r="V126"/>
  <c r="V62"/>
  <c r="H87"/>
  <c r="H51"/>
  <c r="F127"/>
  <c r="V51"/>
  <c r="R85"/>
  <c r="R120"/>
  <c r="R89"/>
  <c r="R81"/>
  <c r="P48"/>
  <c r="F120"/>
  <c r="V32"/>
  <c r="V142"/>
  <c r="R36"/>
  <c r="R142"/>
  <c r="N36"/>
  <c r="N142"/>
  <c r="L129"/>
  <c r="H12"/>
  <c r="H142"/>
  <c r="F46"/>
  <c r="F125"/>
  <c r="F137"/>
  <c r="F89"/>
  <c r="F124"/>
  <c r="F25"/>
  <c r="F142"/>
  <c r="F133"/>
  <c r="F139"/>
  <c r="F87"/>
  <c r="F117"/>
  <c r="F122"/>
  <c r="F61"/>
  <c r="F57"/>
  <c r="R144"/>
  <c r="R79"/>
  <c r="R77"/>
  <c r="R65"/>
  <c r="R48"/>
  <c r="R93"/>
  <c r="R66"/>
  <c r="R49"/>
  <c r="R87"/>
  <c r="R117"/>
  <c r="R122"/>
  <c r="R126"/>
  <c r="H57"/>
  <c r="H67"/>
  <c r="H117"/>
  <c r="F80"/>
  <c r="H47"/>
  <c r="H55"/>
  <c r="H59"/>
  <c r="H65"/>
  <c r="H89"/>
  <c r="H122"/>
  <c r="F55"/>
  <c r="R45"/>
  <c r="R86"/>
  <c r="R88"/>
  <c r="R90"/>
  <c r="R119"/>
  <c r="R121"/>
  <c r="R124"/>
  <c r="R92"/>
  <c r="R136"/>
  <c r="R39"/>
  <c r="P14"/>
  <c r="P62"/>
  <c r="P58"/>
  <c r="F92"/>
  <c r="F126"/>
  <c r="F128"/>
  <c r="F136"/>
  <c r="F145"/>
  <c r="F86"/>
  <c r="F88"/>
  <c r="F90"/>
  <c r="F119"/>
  <c r="F121"/>
  <c r="F123"/>
  <c r="F143"/>
  <c r="F148"/>
  <c r="F66"/>
  <c r="F60"/>
  <c r="F58"/>
  <c r="F56"/>
  <c r="F51"/>
  <c r="F47"/>
  <c r="F93"/>
  <c r="F78"/>
  <c r="F67"/>
  <c r="V68"/>
  <c r="V60"/>
  <c r="V56"/>
  <c r="V145"/>
  <c r="R78"/>
  <c r="R123"/>
  <c r="R143"/>
  <c r="R148"/>
  <c r="R125"/>
  <c r="R128"/>
  <c r="R67"/>
  <c r="R50"/>
  <c r="R68"/>
  <c r="P119"/>
  <c r="P68"/>
  <c r="P87"/>
  <c r="P123"/>
  <c r="P139"/>
  <c r="P78"/>
  <c r="P126"/>
  <c r="P16"/>
  <c r="H120"/>
  <c r="H124"/>
  <c r="H126"/>
  <c r="H77"/>
  <c r="H81"/>
  <c r="H136"/>
  <c r="H92"/>
  <c r="H128"/>
  <c r="N143"/>
  <c r="L45"/>
  <c r="L126"/>
  <c r="L78"/>
  <c r="L67"/>
  <c r="L49"/>
  <c r="L86"/>
  <c r="L120"/>
  <c r="P56"/>
  <c r="P60"/>
  <c r="P66"/>
  <c r="P89"/>
  <c r="P121"/>
  <c r="P143"/>
  <c r="P80"/>
  <c r="P92"/>
  <c r="P133"/>
  <c r="P49"/>
  <c r="V65"/>
  <c r="V136"/>
  <c r="V88"/>
  <c r="V123"/>
  <c r="P39"/>
  <c r="P33"/>
  <c r="V129"/>
  <c r="V81"/>
  <c r="V79"/>
  <c r="V77"/>
  <c r="V92"/>
  <c r="V128"/>
  <c r="V86"/>
  <c r="V90"/>
  <c r="V121"/>
  <c r="V143"/>
  <c r="V78"/>
  <c r="V67"/>
  <c r="R127"/>
  <c r="R133"/>
  <c r="R137"/>
  <c r="R139"/>
  <c r="R62"/>
  <c r="R61"/>
  <c r="R60"/>
  <c r="R59"/>
  <c r="R58"/>
  <c r="R57"/>
  <c r="R56"/>
  <c r="R55"/>
  <c r="R129"/>
  <c r="R51"/>
  <c r="R47"/>
  <c r="P55"/>
  <c r="P57"/>
  <c r="P59"/>
  <c r="P61"/>
  <c r="P65"/>
  <c r="P67"/>
  <c r="P86"/>
  <c r="P88"/>
  <c r="P90"/>
  <c r="P120"/>
  <c r="P122"/>
  <c r="P124"/>
  <c r="P77"/>
  <c r="P79"/>
  <c r="P81"/>
  <c r="P148"/>
  <c r="P125"/>
  <c r="P127"/>
  <c r="P137"/>
  <c r="P144"/>
  <c r="P51"/>
  <c r="P28"/>
  <c r="P25"/>
  <c r="L47"/>
  <c r="L51"/>
  <c r="L80"/>
  <c r="L92"/>
  <c r="L136"/>
  <c r="L65"/>
  <c r="L89"/>
  <c r="L124"/>
  <c r="H93"/>
  <c r="P13"/>
  <c r="R16"/>
  <c r="L46"/>
  <c r="L48"/>
  <c r="L50"/>
  <c r="L77"/>
  <c r="L79"/>
  <c r="L81"/>
  <c r="L148"/>
  <c r="L125"/>
  <c r="L133"/>
  <c r="L137"/>
  <c r="L139"/>
  <c r="L66"/>
  <c r="L68"/>
  <c r="L85"/>
  <c r="L87"/>
  <c r="L117"/>
  <c r="H56"/>
  <c r="H58"/>
  <c r="H60"/>
  <c r="H62"/>
  <c r="H66"/>
  <c r="H68"/>
  <c r="H86"/>
  <c r="H88"/>
  <c r="H90"/>
  <c r="H119"/>
  <c r="H121"/>
  <c r="H123"/>
  <c r="H143"/>
  <c r="H78"/>
  <c r="H80"/>
  <c r="H148"/>
  <c r="H125"/>
  <c r="H127"/>
  <c r="H133"/>
  <c r="H137"/>
  <c r="H139"/>
  <c r="H145"/>
  <c r="H16"/>
  <c r="H34"/>
  <c r="H41"/>
  <c r="H35"/>
  <c r="H27"/>
  <c r="V15"/>
  <c r="L88"/>
  <c r="L90"/>
  <c r="L119"/>
  <c r="L121"/>
  <c r="L123"/>
  <c r="L145"/>
  <c r="L36"/>
  <c r="L127"/>
  <c r="L128"/>
  <c r="H144"/>
  <c r="H46"/>
  <c r="H48"/>
  <c r="H129"/>
  <c r="H85"/>
  <c r="H50"/>
  <c r="H31"/>
  <c r="H30"/>
  <c r="R14"/>
  <c r="N56"/>
  <c r="N125"/>
  <c r="N79"/>
  <c r="L143"/>
  <c r="H36"/>
  <c r="P128"/>
  <c r="P136"/>
  <c r="P145"/>
  <c r="P93"/>
  <c r="P129"/>
  <c r="P85"/>
  <c r="P46"/>
  <c r="P27"/>
  <c r="P36"/>
  <c r="P23"/>
  <c r="P29"/>
  <c r="P41"/>
  <c r="P35"/>
  <c r="P45"/>
  <c r="P50"/>
  <c r="P47"/>
  <c r="P30"/>
  <c r="P31"/>
  <c r="P34"/>
  <c r="P22"/>
  <c r="P32"/>
  <c r="P24"/>
  <c r="P26"/>
  <c r="P117"/>
  <c r="N60"/>
  <c r="N133"/>
  <c r="N86"/>
  <c r="N121"/>
  <c r="V61"/>
  <c r="V59"/>
  <c r="V57"/>
  <c r="V55"/>
  <c r="V47"/>
  <c r="V144"/>
  <c r="V48"/>
  <c r="V125"/>
  <c r="V127"/>
  <c r="V133"/>
  <c r="V137"/>
  <c r="V139"/>
  <c r="V85"/>
  <c r="V87"/>
  <c r="V89"/>
  <c r="V117"/>
  <c r="V120"/>
  <c r="V122"/>
  <c r="V124"/>
  <c r="V148"/>
  <c r="V66"/>
  <c r="V49"/>
  <c r="V93"/>
  <c r="V80"/>
  <c r="V50"/>
  <c r="V46"/>
  <c r="N66"/>
  <c r="N50"/>
  <c r="N46"/>
  <c r="N78"/>
  <c r="N67"/>
  <c r="N62"/>
  <c r="N58"/>
  <c r="N51"/>
  <c r="N47"/>
  <c r="N127"/>
  <c r="N137"/>
  <c r="N145"/>
  <c r="N4" i="27" s="1"/>
  <c r="N88" i="9"/>
  <c r="N119"/>
  <c r="N123"/>
  <c r="N144"/>
  <c r="H22"/>
  <c r="R30"/>
  <c r="R27"/>
  <c r="H14"/>
  <c r="H39"/>
  <c r="H32"/>
  <c r="H26"/>
  <c r="H29"/>
  <c r="H28"/>
  <c r="H25"/>
  <c r="H21"/>
  <c r="H15"/>
  <c r="H24"/>
  <c r="H23"/>
  <c r="R31"/>
  <c r="R28"/>
  <c r="R35"/>
  <c r="R29"/>
  <c r="R25"/>
  <c r="P21"/>
  <c r="P15"/>
  <c r="P12"/>
  <c r="H49"/>
  <c r="H33"/>
  <c r="H13"/>
  <c r="N80"/>
  <c r="N61"/>
  <c r="N57"/>
  <c r="N126"/>
  <c r="N136"/>
  <c r="N87"/>
  <c r="N117"/>
  <c r="N122"/>
  <c r="N68"/>
  <c r="N81"/>
  <c r="N65"/>
  <c r="N45"/>
  <c r="N129"/>
  <c r="N59"/>
  <c r="N55"/>
  <c r="N85"/>
  <c r="N89"/>
  <c r="N120"/>
  <c r="N124"/>
  <c r="N148"/>
  <c r="N48"/>
  <c r="N93"/>
  <c r="N77"/>
  <c r="N49"/>
  <c r="V41"/>
  <c r="L37"/>
  <c r="L16"/>
  <c r="L144"/>
  <c r="V31"/>
  <c r="V34"/>
  <c r="V16"/>
  <c r="V45"/>
  <c r="V39"/>
  <c r="V35"/>
  <c r="R34"/>
  <c r="R21"/>
  <c r="R41"/>
  <c r="R32"/>
  <c r="L41"/>
  <c r="V36"/>
  <c r="V23"/>
  <c r="R80"/>
  <c r="R23"/>
  <c r="R24"/>
  <c r="R22"/>
  <c r="R15"/>
  <c r="R13"/>
  <c r="R12"/>
  <c r="R46"/>
  <c r="R33"/>
  <c r="R26"/>
  <c r="L39"/>
  <c r="L56"/>
  <c r="L55"/>
  <c r="L60"/>
  <c r="L61"/>
  <c r="V24"/>
  <c r="V21"/>
  <c r="F41"/>
  <c r="F16"/>
  <c r="F23"/>
  <c r="F34"/>
  <c r="V25"/>
  <c r="F39"/>
  <c r="F24"/>
  <c r="V30"/>
  <c r="V27"/>
  <c r="V28"/>
  <c r="L35"/>
  <c r="L33"/>
  <c r="F35"/>
  <c r="F28"/>
  <c r="V13"/>
  <c r="V12"/>
  <c r="V26"/>
  <c r="V29"/>
  <c r="V33"/>
  <c r="V22"/>
  <c r="V14"/>
  <c r="L27"/>
  <c r="F27"/>
  <c r="F13"/>
  <c r="F14"/>
  <c r="F15"/>
  <c r="F12"/>
  <c r="F26"/>
  <c r="F29"/>
  <c r="F21"/>
  <c r="F30"/>
  <c r="F22"/>
  <c r="F32"/>
  <c r="F31"/>
  <c r="F33"/>
  <c r="F36"/>
  <c r="L29"/>
  <c r="L62"/>
  <c r="L25"/>
  <c r="L15"/>
  <c r="L14"/>
  <c r="L13"/>
  <c r="L31"/>
  <c r="L22"/>
  <c r="L30"/>
  <c r="L26"/>
  <c r="L23"/>
  <c r="L21"/>
  <c r="L24"/>
  <c r="L12"/>
  <c r="L93"/>
  <c r="L57"/>
  <c r="L28"/>
  <c r="L32"/>
  <c r="L58"/>
  <c r="L34"/>
  <c r="L59"/>
  <c r="N32"/>
  <c r="N34"/>
  <c r="N33"/>
  <c r="N29"/>
  <c r="N31"/>
  <c r="N24"/>
  <c r="N22"/>
  <c r="N25"/>
  <c r="N13"/>
  <c r="N28"/>
  <c r="N15"/>
  <c r="N14"/>
  <c r="N12"/>
  <c r="N35"/>
  <c r="N26"/>
  <c r="N23"/>
  <c r="N21"/>
  <c r="N30"/>
  <c r="N27"/>
  <c r="N16"/>
  <c r="N39"/>
  <c r="N41"/>
  <c r="X145"/>
  <c r="X133"/>
  <c r="X125"/>
  <c r="X80"/>
  <c r="X143"/>
  <c r="X120"/>
  <c r="X89"/>
  <c r="X68"/>
  <c r="X62"/>
  <c r="X58"/>
  <c r="X50"/>
  <c r="X21"/>
  <c r="X34"/>
  <c r="X30"/>
  <c r="X26"/>
  <c r="X22"/>
  <c r="X12"/>
  <c r="X15"/>
  <c r="T145"/>
  <c r="T143"/>
  <c r="T124"/>
  <c r="T123"/>
  <c r="T122"/>
  <c r="T121"/>
  <c r="T120"/>
  <c r="T119"/>
  <c r="T117"/>
  <c r="T91"/>
  <c r="T90"/>
  <c r="T89"/>
  <c r="T88"/>
  <c r="T87"/>
  <c r="T86"/>
  <c r="T85"/>
  <c r="T68"/>
  <c r="T67"/>
  <c r="T66"/>
  <c r="T65"/>
  <c r="T139"/>
  <c r="T137"/>
  <c r="T136"/>
  <c r="T133"/>
  <c r="T128"/>
  <c r="T127"/>
  <c r="T126"/>
  <c r="T125"/>
  <c r="T92"/>
  <c r="T148"/>
  <c r="T81"/>
  <c r="T80"/>
  <c r="T79"/>
  <c r="T78"/>
  <c r="T77"/>
  <c r="T51"/>
  <c r="T50"/>
  <c r="T49"/>
  <c r="T48"/>
  <c r="T47"/>
  <c r="T46"/>
  <c r="T45"/>
  <c r="T41"/>
  <c r="T39"/>
  <c r="T35"/>
  <c r="T15"/>
  <c r="T12"/>
  <c r="T62"/>
  <c r="T61"/>
  <c r="T60"/>
  <c r="T59"/>
  <c r="T58"/>
  <c r="T57"/>
  <c r="T56"/>
  <c r="T55"/>
  <c r="T34"/>
  <c r="T33"/>
  <c r="T32"/>
  <c r="T31"/>
  <c r="T30"/>
  <c r="T29"/>
  <c r="T28"/>
  <c r="T27"/>
  <c r="T26"/>
  <c r="T25"/>
  <c r="T24"/>
  <c r="T23"/>
  <c r="T22"/>
  <c r="T14"/>
  <c r="T21"/>
  <c r="T13"/>
  <c r="T129"/>
  <c r="T93"/>
  <c r="T36"/>
  <c r="T16"/>
  <c r="AF129"/>
  <c r="AC36"/>
  <c r="AF36"/>
  <c r="AC16"/>
  <c r="AF16"/>
  <c r="AC129"/>
  <c r="K146"/>
  <c r="U146"/>
  <c r="M131"/>
  <c r="E146"/>
  <c r="W131"/>
  <c r="S146"/>
  <c r="S152" s="1"/>
  <c r="T152" s="1"/>
  <c r="G131"/>
  <c r="Q131"/>
  <c r="AA37"/>
  <c r="X37"/>
  <c r="N37"/>
  <c r="M146"/>
  <c r="G146"/>
  <c r="O146"/>
  <c r="T37"/>
  <c r="V37"/>
  <c r="P37"/>
  <c r="AE37"/>
  <c r="O131"/>
  <c r="F37"/>
  <c r="R37"/>
  <c r="H37"/>
  <c r="Q146"/>
  <c r="K131"/>
  <c r="K135" s="1"/>
  <c r="L135" s="1"/>
  <c r="S131"/>
  <c r="E131"/>
  <c r="U131"/>
  <c r="U135" s="1"/>
  <c r="V135" s="1"/>
  <c r="I131"/>
  <c r="I135" s="1"/>
  <c r="Y131"/>
  <c r="Y135" s="1"/>
  <c r="R146"/>
  <c r="P146"/>
  <c r="F146"/>
  <c r="H146"/>
  <c r="L146"/>
  <c r="T146"/>
  <c r="N146"/>
  <c r="AF37"/>
  <c r="S135"/>
  <c r="T135" s="1"/>
  <c r="Q135"/>
  <c r="R135" s="1"/>
  <c r="O135"/>
  <c r="E135"/>
  <c r="AC37"/>
  <c r="E152"/>
  <c r="E5" i="27" s="1"/>
  <c r="W135" i="9"/>
  <c r="M135"/>
  <c r="G135"/>
  <c r="R131"/>
  <c r="N131"/>
  <c r="K152"/>
  <c r="H131"/>
  <c r="M152"/>
  <c r="N152" s="1"/>
  <c r="U152"/>
  <c r="Q152"/>
  <c r="O152"/>
  <c r="G152"/>
  <c r="P131"/>
  <c r="V131"/>
  <c r="F131"/>
  <c r="T131"/>
  <c r="L131"/>
  <c r="O5" i="27"/>
  <c r="N135" i="9"/>
  <c r="H135"/>
  <c r="P135"/>
  <c r="R152"/>
  <c r="P152"/>
  <c r="H152"/>
  <c r="F135"/>
  <c r="C131"/>
  <c r="C135" s="1"/>
  <c r="AE76"/>
  <c r="AF76"/>
  <c r="AE76" i="25"/>
  <c r="C145" i="9"/>
  <c r="C4" i="27" s="1"/>
  <c r="V76" i="19" l="1"/>
  <c r="P76"/>
  <c r="N76"/>
  <c r="L76"/>
  <c r="AC46"/>
  <c r="AD46" s="1"/>
  <c r="AA76"/>
  <c r="AA145" s="1"/>
  <c r="AF46"/>
  <c r="Y145"/>
  <c r="Z145" s="1"/>
  <c r="X76"/>
  <c r="W145"/>
  <c r="U145"/>
  <c r="V145" s="1"/>
  <c r="S145"/>
  <c r="Q145"/>
  <c r="Q145" i="25" s="1"/>
  <c r="R76" i="19"/>
  <c r="M145"/>
  <c r="N145" s="1"/>
  <c r="M131"/>
  <c r="N131" s="1"/>
  <c r="K12" i="27"/>
  <c r="AF43" i="19"/>
  <c r="J76"/>
  <c r="I145"/>
  <c r="J68" s="1"/>
  <c r="H145"/>
  <c r="H76"/>
  <c r="AE76"/>
  <c r="F145"/>
  <c r="E12" i="27"/>
  <c r="F76" i="19"/>
  <c r="AD43"/>
  <c r="D76"/>
  <c r="T68"/>
  <c r="R68"/>
  <c r="P117"/>
  <c r="P145"/>
  <c r="R83" i="9"/>
  <c r="F82"/>
  <c r="F75"/>
  <c r="F76"/>
  <c r="F71"/>
  <c r="F73"/>
  <c r="AF117" i="19"/>
  <c r="AA129"/>
  <c r="AB129" s="1"/>
  <c r="O12" i="27"/>
  <c r="P68" i="19"/>
  <c r="M12" i="27"/>
  <c r="L145" i="19"/>
  <c r="AC129"/>
  <c r="AD129" s="1"/>
  <c r="T72" i="9"/>
  <c r="P71"/>
  <c r="P70"/>
  <c r="M5" i="27"/>
  <c r="N72" i="9"/>
  <c r="K7" i="27"/>
  <c r="AA7" s="1"/>
  <c r="AA157" i="9"/>
  <c r="AA165" s="1"/>
  <c r="AA166" s="1"/>
  <c r="AF83" i="25"/>
  <c r="AF77" i="9"/>
  <c r="AF81"/>
  <c r="AF85"/>
  <c r="AA131"/>
  <c r="I145"/>
  <c r="J93" s="1"/>
  <c r="AE93"/>
  <c r="AF93" s="1"/>
  <c r="AF80"/>
  <c r="AF84"/>
  <c r="AF89"/>
  <c r="AF87" i="25"/>
  <c r="AF90"/>
  <c r="Y36" i="19"/>
  <c r="Y36" i="25" s="1"/>
  <c r="T36" i="19"/>
  <c r="G36"/>
  <c r="G36" i="25" s="1"/>
  <c r="Y37" i="19"/>
  <c r="Z35"/>
  <c r="W37"/>
  <c r="X35"/>
  <c r="W11" i="27"/>
  <c r="U146" i="19"/>
  <c r="V146" s="1"/>
  <c r="V135"/>
  <c r="V131"/>
  <c r="V37"/>
  <c r="V35"/>
  <c r="S37"/>
  <c r="S11" i="27"/>
  <c r="T35" i="19"/>
  <c r="Q37"/>
  <c r="R36"/>
  <c r="R35"/>
  <c r="O131"/>
  <c r="P35"/>
  <c r="P36"/>
  <c r="N35"/>
  <c r="M11" i="27"/>
  <c r="L35" i="19"/>
  <c r="K37"/>
  <c r="AF27"/>
  <c r="I131"/>
  <c r="J35"/>
  <c r="I11" i="27"/>
  <c r="AB27" i="19"/>
  <c r="AB35"/>
  <c r="F35"/>
  <c r="AE35"/>
  <c r="AF35" s="1"/>
  <c r="D37"/>
  <c r="Y129" i="25"/>
  <c r="W129"/>
  <c r="V73" i="9"/>
  <c r="U129" i="25"/>
  <c r="S129"/>
  <c r="AE135" i="9"/>
  <c r="Q129" i="25"/>
  <c r="P75" i="9"/>
  <c r="P72"/>
  <c r="O129" i="25"/>
  <c r="M129"/>
  <c r="K129"/>
  <c r="I129"/>
  <c r="G129"/>
  <c r="E129"/>
  <c r="D56" i="9"/>
  <c r="AE131"/>
  <c r="AA129" i="29"/>
  <c r="AF129" s="1"/>
  <c r="AE129"/>
  <c r="C129" i="25"/>
  <c r="G37" i="19"/>
  <c r="AA36"/>
  <c r="AB36" s="1"/>
  <c r="AF17"/>
  <c r="G131"/>
  <c r="G11" i="27"/>
  <c r="H36" i="19"/>
  <c r="E36"/>
  <c r="D131"/>
  <c r="AB17"/>
  <c r="AC21"/>
  <c r="AD21" s="1"/>
  <c r="F21"/>
  <c r="Y11" i="27"/>
  <c r="AF21" i="19"/>
  <c r="C11" i="27"/>
  <c r="C135" i="19"/>
  <c r="V70" i="9"/>
  <c r="T75"/>
  <c r="T71"/>
  <c r="R73"/>
  <c r="L73"/>
  <c r="K4" i="27"/>
  <c r="L70" i="9"/>
  <c r="F70"/>
  <c r="F72"/>
  <c r="D27"/>
  <c r="D43"/>
  <c r="D36"/>
  <c r="V72"/>
  <c r="U4" i="27"/>
  <c r="V71" i="9"/>
  <c r="R75"/>
  <c r="R70"/>
  <c r="R71"/>
  <c r="R72"/>
  <c r="Q4" i="27"/>
  <c r="P118" i="9"/>
  <c r="D49"/>
  <c r="D58"/>
  <c r="D88"/>
  <c r="D65"/>
  <c r="D33"/>
  <c r="C146"/>
  <c r="C152" s="1"/>
  <c r="D81"/>
  <c r="Y14" i="27"/>
  <c r="Y144" i="25"/>
  <c r="W14" i="27"/>
  <c r="W144" i="25"/>
  <c r="U14" i="27"/>
  <c r="U144" i="25"/>
  <c r="S14" i="27"/>
  <c r="S144" i="25"/>
  <c r="Q14" i="27"/>
  <c r="Q144" i="25"/>
  <c r="AF142" i="19"/>
  <c r="O14" i="27"/>
  <c r="O144" i="25"/>
  <c r="N68" i="19"/>
  <c r="M14" i="27"/>
  <c r="M144" i="25"/>
  <c r="N117" i="19"/>
  <c r="L117"/>
  <c r="K14" i="27"/>
  <c r="K144" i="25"/>
  <c r="I14" i="27"/>
  <c r="I144" i="25"/>
  <c r="G14" i="27"/>
  <c r="G144" i="25"/>
  <c r="G12" i="27"/>
  <c r="H117" i="19"/>
  <c r="F117"/>
  <c r="E14" i="27"/>
  <c r="E144" i="25"/>
  <c r="D117" i="19"/>
  <c r="C14" i="27"/>
  <c r="C144" i="25"/>
  <c r="AF29"/>
  <c r="AF11"/>
  <c r="AF27"/>
  <c r="AC25"/>
  <c r="AF133"/>
  <c r="AF7"/>
  <c r="AF17"/>
  <c r="AF39"/>
  <c r="AF77"/>
  <c r="AF19"/>
  <c r="AF46"/>
  <c r="AF56"/>
  <c r="AF91"/>
  <c r="AF97"/>
  <c r="AF124"/>
  <c r="AF143"/>
  <c r="AF150"/>
  <c r="AF10"/>
  <c r="AF23"/>
  <c r="AF26"/>
  <c r="AF5"/>
  <c r="AC41"/>
  <c r="AF41"/>
  <c r="AC27"/>
  <c r="AF137"/>
  <c r="AF120"/>
  <c r="AC19"/>
  <c r="AF64"/>
  <c r="AF48"/>
  <c r="AC38"/>
  <c r="AA21"/>
  <c r="AF79"/>
  <c r="AC30"/>
  <c r="AC46"/>
  <c r="AC143"/>
  <c r="AC77"/>
  <c r="AA35"/>
  <c r="AC133"/>
  <c r="AA93"/>
  <c r="AA115"/>
  <c r="AC7"/>
  <c r="AA12"/>
  <c r="AC12" s="1"/>
  <c r="AF32"/>
  <c r="AF38"/>
  <c r="AC97"/>
  <c r="AC150"/>
  <c r="AF52"/>
  <c r="AF101"/>
  <c r="E37" i="29"/>
  <c r="M37"/>
  <c r="U37"/>
  <c r="AC15"/>
  <c r="AF15"/>
  <c r="AA16"/>
  <c r="AC12"/>
  <c r="I37"/>
  <c r="Q37"/>
  <c r="Y37"/>
  <c r="AC21"/>
  <c r="AC41"/>
  <c r="K145"/>
  <c r="L21" s="1"/>
  <c r="S145"/>
  <c r="T12" s="1"/>
  <c r="AF48"/>
  <c r="AF58"/>
  <c r="AF62"/>
  <c r="AC5"/>
  <c r="AC17"/>
  <c r="T21"/>
  <c r="AF23"/>
  <c r="AF31"/>
  <c r="T76"/>
  <c r="AD97"/>
  <c r="AD101"/>
  <c r="AD111"/>
  <c r="D114"/>
  <c r="D113"/>
  <c r="D112"/>
  <c r="D111"/>
  <c r="D110"/>
  <c r="D109"/>
  <c r="D108"/>
  <c r="D103"/>
  <c r="D95"/>
  <c r="D104"/>
  <c r="D99"/>
  <c r="D96"/>
  <c r="D105"/>
  <c r="D101"/>
  <c r="D100"/>
  <c r="D97"/>
  <c r="D107"/>
  <c r="D106"/>
  <c r="D102"/>
  <c r="D98"/>
  <c r="D94"/>
  <c r="H114"/>
  <c r="H113"/>
  <c r="H107"/>
  <c r="H106"/>
  <c r="H102"/>
  <c r="H94"/>
  <c r="H112"/>
  <c r="H111"/>
  <c r="H110"/>
  <c r="H109"/>
  <c r="H108"/>
  <c r="H103"/>
  <c r="H95"/>
  <c r="H104"/>
  <c r="H99"/>
  <c r="H96"/>
  <c r="H105"/>
  <c r="H101"/>
  <c r="H100"/>
  <c r="H97"/>
  <c r="L114"/>
  <c r="L113"/>
  <c r="L105"/>
  <c r="L101"/>
  <c r="L100"/>
  <c r="L97"/>
  <c r="L107"/>
  <c r="L106"/>
  <c r="L102"/>
  <c r="L94"/>
  <c r="L112"/>
  <c r="L111"/>
  <c r="L110"/>
  <c r="L109"/>
  <c r="L108"/>
  <c r="L103"/>
  <c r="L95"/>
  <c r="L104"/>
  <c r="L99"/>
  <c r="L96"/>
  <c r="P114"/>
  <c r="P104"/>
  <c r="P99"/>
  <c r="P96"/>
  <c r="P113"/>
  <c r="P105"/>
  <c r="P101"/>
  <c r="P100"/>
  <c r="P97"/>
  <c r="P107"/>
  <c r="P106"/>
  <c r="P102"/>
  <c r="P94"/>
  <c r="P112"/>
  <c r="P111"/>
  <c r="P110"/>
  <c r="P109"/>
  <c r="P108"/>
  <c r="P103"/>
  <c r="P95"/>
  <c r="T114"/>
  <c r="T113"/>
  <c r="T112"/>
  <c r="T111"/>
  <c r="T110"/>
  <c r="T109"/>
  <c r="T108"/>
  <c r="T103"/>
  <c r="T98"/>
  <c r="T95"/>
  <c r="T104"/>
  <c r="T99"/>
  <c r="T96"/>
  <c r="T105"/>
  <c r="T101"/>
  <c r="T100"/>
  <c r="T97"/>
  <c r="T107"/>
  <c r="T106"/>
  <c r="T102"/>
  <c r="T94"/>
  <c r="X114"/>
  <c r="X113"/>
  <c r="X107"/>
  <c r="X106"/>
  <c r="X102"/>
  <c r="X94"/>
  <c r="X112"/>
  <c r="X111"/>
  <c r="X110"/>
  <c r="X109"/>
  <c r="X108"/>
  <c r="X103"/>
  <c r="X98"/>
  <c r="X95"/>
  <c r="X104"/>
  <c r="X99"/>
  <c r="X96"/>
  <c r="X105"/>
  <c r="X101"/>
  <c r="X100"/>
  <c r="X97"/>
  <c r="I145"/>
  <c r="J36" s="1"/>
  <c r="Q145"/>
  <c r="Y145"/>
  <c r="Z72" s="1"/>
  <c r="AF47"/>
  <c r="AF51"/>
  <c r="AC53"/>
  <c r="AF53"/>
  <c r="AF57"/>
  <c r="AF61"/>
  <c r="AC63"/>
  <c r="AF63"/>
  <c r="AC70"/>
  <c r="AC72"/>
  <c r="AE12"/>
  <c r="AF12" s="1"/>
  <c r="AC14"/>
  <c r="AE36"/>
  <c r="AE21"/>
  <c r="AF21" s="1"/>
  <c r="AF29"/>
  <c r="J76"/>
  <c r="R76"/>
  <c r="AD95"/>
  <c r="AD100"/>
  <c r="AD110"/>
  <c r="AF40"/>
  <c r="AC40"/>
  <c r="G145"/>
  <c r="H36" s="1"/>
  <c r="O145"/>
  <c r="P15" s="1"/>
  <c r="AF46"/>
  <c r="AF50"/>
  <c r="AF56"/>
  <c r="AF60"/>
  <c r="AF66"/>
  <c r="AF27"/>
  <c r="AE41"/>
  <c r="AF41" s="1"/>
  <c r="H76"/>
  <c r="AD98"/>
  <c r="AD105"/>
  <c r="AD109"/>
  <c r="F114"/>
  <c r="F113"/>
  <c r="F112"/>
  <c r="F111"/>
  <c r="F110"/>
  <c r="F109"/>
  <c r="F108"/>
  <c r="F105"/>
  <c r="F103"/>
  <c r="F101"/>
  <c r="F100"/>
  <c r="F97"/>
  <c r="F95"/>
  <c r="F107"/>
  <c r="F106"/>
  <c r="F104"/>
  <c r="F102"/>
  <c r="F99"/>
  <c r="F98"/>
  <c r="F96"/>
  <c r="F94"/>
  <c r="J107"/>
  <c r="J106"/>
  <c r="J104"/>
  <c r="J102"/>
  <c r="J99"/>
  <c r="J96"/>
  <c r="J94"/>
  <c r="J114"/>
  <c r="J113"/>
  <c r="J112"/>
  <c r="J111"/>
  <c r="J110"/>
  <c r="J109"/>
  <c r="J108"/>
  <c r="J105"/>
  <c r="J103"/>
  <c r="J101"/>
  <c r="J100"/>
  <c r="J97"/>
  <c r="J95"/>
  <c r="N114"/>
  <c r="N113"/>
  <c r="N112"/>
  <c r="N111"/>
  <c r="N110"/>
  <c r="N109"/>
  <c r="N108"/>
  <c r="N105"/>
  <c r="N103"/>
  <c r="N101"/>
  <c r="N100"/>
  <c r="N97"/>
  <c r="N95"/>
  <c r="N107"/>
  <c r="N106"/>
  <c r="N104"/>
  <c r="N102"/>
  <c r="N99"/>
  <c r="N96"/>
  <c r="N94"/>
  <c r="R107"/>
  <c r="R106"/>
  <c r="R104"/>
  <c r="R102"/>
  <c r="R99"/>
  <c r="R96"/>
  <c r="R94"/>
  <c r="R114"/>
  <c r="R113"/>
  <c r="R112"/>
  <c r="R111"/>
  <c r="R110"/>
  <c r="R109"/>
  <c r="R108"/>
  <c r="R105"/>
  <c r="R103"/>
  <c r="R101"/>
  <c r="R100"/>
  <c r="R97"/>
  <c r="R95"/>
  <c r="V114"/>
  <c r="V113"/>
  <c r="V112"/>
  <c r="V111"/>
  <c r="V110"/>
  <c r="V109"/>
  <c r="V108"/>
  <c r="V105"/>
  <c r="V103"/>
  <c r="V101"/>
  <c r="V100"/>
  <c r="V98"/>
  <c r="V97"/>
  <c r="V95"/>
  <c r="V107"/>
  <c r="V106"/>
  <c r="V104"/>
  <c r="V102"/>
  <c r="V99"/>
  <c r="V96"/>
  <c r="V94"/>
  <c r="Z107"/>
  <c r="Z106"/>
  <c r="Z104"/>
  <c r="Z102"/>
  <c r="Z99"/>
  <c r="Z96"/>
  <c r="Z94"/>
  <c r="Z114"/>
  <c r="Z113"/>
  <c r="Z112"/>
  <c r="Z111"/>
  <c r="Z110"/>
  <c r="Z109"/>
  <c r="Z108"/>
  <c r="Z105"/>
  <c r="Z103"/>
  <c r="Z101"/>
  <c r="Z100"/>
  <c r="Z98"/>
  <c r="Z97"/>
  <c r="Z95"/>
  <c r="E145"/>
  <c r="F16" s="1"/>
  <c r="M145"/>
  <c r="N76" s="1"/>
  <c r="U145"/>
  <c r="V16" s="1"/>
  <c r="AF42"/>
  <c r="AA76"/>
  <c r="AC44"/>
  <c r="AF44"/>
  <c r="AF45"/>
  <c r="AF49"/>
  <c r="AC54"/>
  <c r="AC76" s="1"/>
  <c r="AF54"/>
  <c r="AF55"/>
  <c r="AF59"/>
  <c r="AC64"/>
  <c r="AF64"/>
  <c r="AF65"/>
  <c r="C16"/>
  <c r="G16"/>
  <c r="K16"/>
  <c r="O16"/>
  <c r="S16"/>
  <c r="W16"/>
  <c r="AF25"/>
  <c r="AF33"/>
  <c r="AA35"/>
  <c r="AA36" s="1"/>
  <c r="F76"/>
  <c r="AD103"/>
  <c r="AD108"/>
  <c r="AF96"/>
  <c r="AB96"/>
  <c r="AF99"/>
  <c r="AB99"/>
  <c r="AF104"/>
  <c r="AB104"/>
  <c r="AF68"/>
  <c r="AF78"/>
  <c r="AF80"/>
  <c r="AF82"/>
  <c r="AF84"/>
  <c r="AE93"/>
  <c r="AD112"/>
  <c r="AD113"/>
  <c r="F115"/>
  <c r="N115"/>
  <c r="V115"/>
  <c r="L129"/>
  <c r="T129"/>
  <c r="AF95"/>
  <c r="AB95"/>
  <c r="AF98"/>
  <c r="AB98"/>
  <c r="AF103"/>
  <c r="AB103"/>
  <c r="W76"/>
  <c r="AF92"/>
  <c r="AD94"/>
  <c r="AD102"/>
  <c r="AD106"/>
  <c r="AD107"/>
  <c r="AB108"/>
  <c r="AB109"/>
  <c r="AB110"/>
  <c r="AB111"/>
  <c r="AB112"/>
  <c r="AB113"/>
  <c r="L115"/>
  <c r="T115"/>
  <c r="AA115"/>
  <c r="AF94"/>
  <c r="AB94"/>
  <c r="AF102"/>
  <c r="AB102"/>
  <c r="AF107"/>
  <c r="AB107"/>
  <c r="AF144"/>
  <c r="AC144"/>
  <c r="AF89"/>
  <c r="AB106"/>
  <c r="AD114"/>
  <c r="J115"/>
  <c r="R115"/>
  <c r="Z115"/>
  <c r="H129"/>
  <c r="H144"/>
  <c r="AF97"/>
  <c r="AB97"/>
  <c r="AF101"/>
  <c r="AB101"/>
  <c r="AF105"/>
  <c r="AB105"/>
  <c r="AA93"/>
  <c r="AF87"/>
  <c r="AD96"/>
  <c r="AD99"/>
  <c r="AB100"/>
  <c r="AD104"/>
  <c r="AB114"/>
  <c r="H115"/>
  <c r="P115"/>
  <c r="X115"/>
  <c r="F129"/>
  <c r="V129"/>
  <c r="V144"/>
  <c r="AC116"/>
  <c r="AF117"/>
  <c r="AF120"/>
  <c r="AF122"/>
  <c r="AF124"/>
  <c r="AF126"/>
  <c r="AF128"/>
  <c r="AF133"/>
  <c r="AC136"/>
  <c r="AC140"/>
  <c r="AF142"/>
  <c r="C145"/>
  <c r="D21" s="1"/>
  <c r="AF148"/>
  <c r="AC143"/>
  <c r="D115"/>
  <c r="AF116"/>
  <c r="D129"/>
  <c r="D30" i="9"/>
  <c r="D78"/>
  <c r="D126"/>
  <c r="D76"/>
  <c r="D122"/>
  <c r="D119"/>
  <c r="D145"/>
  <c r="D146" s="1"/>
  <c r="D50"/>
  <c r="D137"/>
  <c r="D15"/>
  <c r="D28"/>
  <c r="D57"/>
  <c r="D37"/>
  <c r="D12"/>
  <c r="D133"/>
  <c r="Q5" i="27"/>
  <c r="V146" i="9"/>
  <c r="V152"/>
  <c r="U5" i="27"/>
  <c r="AA42" i="25"/>
  <c r="AF42" s="1"/>
  <c r="V75" i="9"/>
  <c r="S5" i="27"/>
  <c r="M4"/>
  <c r="K5"/>
  <c r="H118" i="9"/>
  <c r="G5" i="27"/>
  <c r="F152" i="9"/>
  <c r="D31"/>
  <c r="D24"/>
  <c r="D29"/>
  <c r="D71"/>
  <c r="D129"/>
  <c r="D86"/>
  <c r="D55"/>
  <c r="D70"/>
  <c r="D138"/>
  <c r="D22"/>
  <c r="D123"/>
  <c r="D87"/>
  <c r="D117"/>
  <c r="D26"/>
  <c r="D124"/>
  <c r="D48"/>
  <c r="D21"/>
  <c r="D16"/>
  <c r="D46"/>
  <c r="D84"/>
  <c r="D35"/>
  <c r="AA144"/>
  <c r="AC144" s="1"/>
  <c r="D135"/>
  <c r="D42"/>
  <c r="D39"/>
  <c r="D89"/>
  <c r="D25"/>
  <c r="D73"/>
  <c r="D82"/>
  <c r="D44"/>
  <c r="D90"/>
  <c r="D148"/>
  <c r="D34"/>
  <c r="D136"/>
  <c r="D79"/>
  <c r="D92"/>
  <c r="D51"/>
  <c r="D68"/>
  <c r="D128"/>
  <c r="AF141"/>
  <c r="D59"/>
  <c r="D62"/>
  <c r="D40"/>
  <c r="C5" i="27"/>
  <c r="D125" i="9"/>
  <c r="D142"/>
  <c r="D75"/>
  <c r="D143"/>
  <c r="D120"/>
  <c r="X70"/>
  <c r="T70"/>
  <c r="T73"/>
  <c r="N70"/>
  <c r="N90"/>
  <c r="N71"/>
  <c r="N53"/>
  <c r="N73"/>
  <c r="N75"/>
  <c r="L152"/>
  <c r="I6" i="27"/>
  <c r="D80" i="9"/>
  <c r="D66"/>
  <c r="D127"/>
  <c r="D93"/>
  <c r="D60"/>
  <c r="D83"/>
  <c r="D47"/>
  <c r="D45"/>
  <c r="D41"/>
  <c r="D121"/>
  <c r="D131"/>
  <c r="D152"/>
  <c r="D67"/>
  <c r="D61"/>
  <c r="D23"/>
  <c r="D32"/>
  <c r="D139"/>
  <c r="Y145"/>
  <c r="Z144" s="1"/>
  <c r="D77"/>
  <c r="AA141" i="25"/>
  <c r="AC141" s="1"/>
  <c r="D118" i="9"/>
  <c r="D72"/>
  <c r="AA14" i="27"/>
  <c r="X118" i="9"/>
  <c r="U6" i="27"/>
  <c r="T118" i="9"/>
  <c r="S6" i="27"/>
  <c r="E6"/>
  <c r="E4"/>
  <c r="D85" i="9"/>
  <c r="C6" i="27"/>
  <c r="Y6"/>
  <c r="X61" i="9"/>
  <c r="W146"/>
  <c r="X49"/>
  <c r="X39"/>
  <c r="X24"/>
  <c r="X28"/>
  <c r="X32"/>
  <c r="X51"/>
  <c r="X41"/>
  <c r="X56"/>
  <c r="X60"/>
  <c r="X66"/>
  <c r="X87"/>
  <c r="X117"/>
  <c r="X122"/>
  <c r="X78"/>
  <c r="X148"/>
  <c r="X127"/>
  <c r="X137"/>
  <c r="X36"/>
  <c r="X142"/>
  <c r="X124"/>
  <c r="X138"/>
  <c r="X82"/>
  <c r="X72"/>
  <c r="X135"/>
  <c r="X131"/>
  <c r="X16"/>
  <c r="X85"/>
  <c r="X48"/>
  <c r="X25"/>
  <c r="X29"/>
  <c r="X33"/>
  <c r="X14"/>
  <c r="X146" s="1"/>
  <c r="X46"/>
  <c r="X57"/>
  <c r="X67"/>
  <c r="X88"/>
  <c r="X119"/>
  <c r="X123"/>
  <c r="X79"/>
  <c r="X92"/>
  <c r="X128"/>
  <c r="X139"/>
  <c r="X144"/>
  <c r="X83"/>
  <c r="X71"/>
  <c r="X45"/>
  <c r="X13"/>
  <c r="X23"/>
  <c r="X27"/>
  <c r="X31"/>
  <c r="X47"/>
  <c r="X35"/>
  <c r="X55"/>
  <c r="X59"/>
  <c r="X65"/>
  <c r="X86"/>
  <c r="X90"/>
  <c r="X121"/>
  <c r="X77"/>
  <c r="X81"/>
  <c r="X126"/>
  <c r="X136"/>
  <c r="X129"/>
  <c r="X93"/>
  <c r="X42"/>
  <c r="X84"/>
  <c r="X73"/>
  <c r="X75"/>
  <c r="Q6" i="27"/>
  <c r="K6"/>
  <c r="AA142" i="25"/>
  <c r="AC142" s="1"/>
  <c r="F45" i="9"/>
  <c r="F118"/>
  <c r="C153"/>
  <c r="E153" s="1"/>
  <c r="G153" s="1"/>
  <c r="AE144"/>
  <c r="AC76" i="19" l="1"/>
  <c r="AD76" s="1"/>
  <c r="AB76"/>
  <c r="AF76"/>
  <c r="Z117"/>
  <c r="Z68"/>
  <c r="Y12" i="27"/>
  <c r="X68" i="19"/>
  <c r="W12" i="27"/>
  <c r="X145" i="19"/>
  <c r="X117"/>
  <c r="V117"/>
  <c r="U12" i="27"/>
  <c r="V68" i="19"/>
  <c r="T117"/>
  <c r="T145"/>
  <c r="S12" i="27"/>
  <c r="R117" i="19"/>
  <c r="Q12" i="27"/>
  <c r="R145" i="19"/>
  <c r="M135"/>
  <c r="AE145"/>
  <c r="I12" i="27"/>
  <c r="J145" i="19"/>
  <c r="J117"/>
  <c r="R144" i="25"/>
  <c r="J135" i="9"/>
  <c r="AF129" i="19"/>
  <c r="U152"/>
  <c r="V152" s="1"/>
  <c r="AF145"/>
  <c r="AB145"/>
  <c r="AC145"/>
  <c r="AD145" s="1"/>
  <c r="AA154"/>
  <c r="AE36"/>
  <c r="Z36"/>
  <c r="AA135" i="9"/>
  <c r="AC135" s="1"/>
  <c r="AC131"/>
  <c r="J118"/>
  <c r="J70"/>
  <c r="J76"/>
  <c r="J36"/>
  <c r="J47"/>
  <c r="J49"/>
  <c r="J85"/>
  <c r="J92"/>
  <c r="J86"/>
  <c r="J121"/>
  <c r="J125"/>
  <c r="J139"/>
  <c r="J129"/>
  <c r="J57"/>
  <c r="J56"/>
  <c r="J41"/>
  <c r="J29"/>
  <c r="J26"/>
  <c r="J21"/>
  <c r="J14"/>
  <c r="J30"/>
  <c r="J34"/>
  <c r="J84"/>
  <c r="J62"/>
  <c r="J122"/>
  <c r="J145"/>
  <c r="J80"/>
  <c r="J120"/>
  <c r="J67"/>
  <c r="J90"/>
  <c r="J143"/>
  <c r="J77"/>
  <c r="J61"/>
  <c r="J33"/>
  <c r="J28"/>
  <c r="J12"/>
  <c r="J31"/>
  <c r="J72"/>
  <c r="J82"/>
  <c r="J58"/>
  <c r="J88"/>
  <c r="J127"/>
  <c r="J66"/>
  <c r="J50"/>
  <c r="J35"/>
  <c r="J25"/>
  <c r="J32"/>
  <c r="I4" i="27"/>
  <c r="J75" i="9"/>
  <c r="J51"/>
  <c r="J83"/>
  <c r="J48"/>
  <c r="J87"/>
  <c r="J42"/>
  <c r="J126"/>
  <c r="J39"/>
  <c r="J136"/>
  <c r="J124"/>
  <c r="J55"/>
  <c r="J68"/>
  <c r="J119"/>
  <c r="J148"/>
  <c r="J137"/>
  <c r="J65"/>
  <c r="J59"/>
  <c r="J24"/>
  <c r="J15"/>
  <c r="J13"/>
  <c r="J37"/>
  <c r="J73"/>
  <c r="J138"/>
  <c r="J60"/>
  <c r="J133"/>
  <c r="J16"/>
  <c r="J23"/>
  <c r="J22"/>
  <c r="I146"/>
  <c r="I152" s="1"/>
  <c r="I153" s="1"/>
  <c r="K153" s="1"/>
  <c r="M153" s="1"/>
  <c r="O153" s="1"/>
  <c r="Q153" s="1"/>
  <c r="S153" s="1"/>
  <c r="U153" s="1"/>
  <c r="J71"/>
  <c r="J142"/>
  <c r="J117"/>
  <c r="J89"/>
  <c r="J128"/>
  <c r="J78"/>
  <c r="J123"/>
  <c r="J79"/>
  <c r="J46"/>
  <c r="J45"/>
  <c r="J81"/>
  <c r="J27"/>
  <c r="AF131"/>
  <c r="J131"/>
  <c r="Y37" i="25"/>
  <c r="Z37" i="19"/>
  <c r="Y131"/>
  <c r="Z131" s="1"/>
  <c r="W37" i="25"/>
  <c r="W131" i="19"/>
  <c r="X37"/>
  <c r="S37" i="25"/>
  <c r="T37" i="19"/>
  <c r="S131"/>
  <c r="Q37" i="25"/>
  <c r="R37" i="19"/>
  <c r="Q131"/>
  <c r="P131"/>
  <c r="O135"/>
  <c r="K37" i="25"/>
  <c r="L37" i="19"/>
  <c r="K131"/>
  <c r="I135"/>
  <c r="J131"/>
  <c r="Z75" i="9"/>
  <c r="AE129" i="25"/>
  <c r="AF129" s="1"/>
  <c r="Z129" i="29"/>
  <c r="Z41"/>
  <c r="Z144"/>
  <c r="AC129"/>
  <c r="Z76"/>
  <c r="Z70"/>
  <c r="AA145"/>
  <c r="V76"/>
  <c r="V41"/>
  <c r="U145" i="25"/>
  <c r="V144" s="1"/>
  <c r="T41" i="29"/>
  <c r="S145" i="25"/>
  <c r="T123" s="1"/>
  <c r="O145"/>
  <c r="P144" s="1"/>
  <c r="P76" i="29"/>
  <c r="N129"/>
  <c r="N41"/>
  <c r="M145" i="25"/>
  <c r="N144" s="1"/>
  <c r="K145"/>
  <c r="L144" s="1"/>
  <c r="J41" i="29"/>
  <c r="J129"/>
  <c r="I145" i="25"/>
  <c r="J72" s="1"/>
  <c r="H41" i="29"/>
  <c r="G145" i="25"/>
  <c r="H144" s="1"/>
  <c r="F41" i="29"/>
  <c r="E145" i="25"/>
  <c r="F60" s="1"/>
  <c r="C145"/>
  <c r="D88" s="1"/>
  <c r="AC36" i="19"/>
  <c r="AD36" s="1"/>
  <c r="G37" i="25"/>
  <c r="H37" i="19"/>
  <c r="AA37"/>
  <c r="AA131" s="1"/>
  <c r="AF36"/>
  <c r="M146"/>
  <c r="N135"/>
  <c r="H131"/>
  <c r="G135"/>
  <c r="E36" i="25"/>
  <c r="AE36" s="1"/>
  <c r="F36" i="19"/>
  <c r="E11" i="27"/>
  <c r="AA11" s="1"/>
  <c r="E37" i="19"/>
  <c r="C146"/>
  <c r="D135"/>
  <c r="Y145" i="25"/>
  <c r="R95"/>
  <c r="R45"/>
  <c r="R44"/>
  <c r="R99"/>
  <c r="R67"/>
  <c r="R106"/>
  <c r="R139"/>
  <c r="R116"/>
  <c r="R88"/>
  <c r="R127"/>
  <c r="R94"/>
  <c r="R100"/>
  <c r="R57"/>
  <c r="R56"/>
  <c r="R111"/>
  <c r="R69"/>
  <c r="R110"/>
  <c r="R141"/>
  <c r="R91"/>
  <c r="R92"/>
  <c r="R97"/>
  <c r="R66"/>
  <c r="R104"/>
  <c r="R41"/>
  <c r="R93"/>
  <c r="R14"/>
  <c r="R13"/>
  <c r="R39"/>
  <c r="R29"/>
  <c r="R15"/>
  <c r="R25"/>
  <c r="R118"/>
  <c r="R53"/>
  <c r="R52"/>
  <c r="R107"/>
  <c r="R71"/>
  <c r="R114"/>
  <c r="R143"/>
  <c r="R47"/>
  <c r="R46"/>
  <c r="R101"/>
  <c r="R68"/>
  <c r="R108"/>
  <c r="R140"/>
  <c r="R64"/>
  <c r="R82"/>
  <c r="R73"/>
  <c r="R81"/>
  <c r="R120"/>
  <c r="R51"/>
  <c r="R50"/>
  <c r="R105"/>
  <c r="R70"/>
  <c r="R112"/>
  <c r="R138"/>
  <c r="R16"/>
  <c r="R24"/>
  <c r="R23"/>
  <c r="R30"/>
  <c r="R27"/>
  <c r="R31"/>
  <c r="R145"/>
  <c r="R26"/>
  <c r="R61"/>
  <c r="R60"/>
  <c r="R78"/>
  <c r="R75"/>
  <c r="R85"/>
  <c r="R124"/>
  <c r="R55"/>
  <c r="R54"/>
  <c r="R109"/>
  <c r="R72"/>
  <c r="R79"/>
  <c r="R117"/>
  <c r="R77"/>
  <c r="R90"/>
  <c r="R121"/>
  <c r="R89"/>
  <c r="R128"/>
  <c r="R59"/>
  <c r="R58"/>
  <c r="R113"/>
  <c r="R74"/>
  <c r="R83"/>
  <c r="R142"/>
  <c r="R35"/>
  <c r="R76"/>
  <c r="R21"/>
  <c r="R37"/>
  <c r="R36"/>
  <c r="R129"/>
  <c r="R133"/>
  <c r="R96"/>
  <c r="R148"/>
  <c r="R86"/>
  <c r="R125"/>
  <c r="R136"/>
  <c r="R98"/>
  <c r="R63"/>
  <c r="R62"/>
  <c r="R80"/>
  <c r="R119"/>
  <c r="R87"/>
  <c r="R126"/>
  <c r="R49"/>
  <c r="R48"/>
  <c r="R103"/>
  <c r="R65"/>
  <c r="R102"/>
  <c r="R137"/>
  <c r="R150"/>
  <c r="R84"/>
  <c r="R123"/>
  <c r="R43"/>
  <c r="R122"/>
  <c r="R34"/>
  <c r="R42"/>
  <c r="R33"/>
  <c r="R22"/>
  <c r="R12"/>
  <c r="R28"/>
  <c r="R32"/>
  <c r="P126"/>
  <c r="P87"/>
  <c r="P57"/>
  <c r="P92"/>
  <c r="P54"/>
  <c r="P128"/>
  <c r="P51"/>
  <c r="P121"/>
  <c r="P82"/>
  <c r="P60"/>
  <c r="P66"/>
  <c r="P67"/>
  <c r="P142"/>
  <c r="P133"/>
  <c r="P37"/>
  <c r="P115"/>
  <c r="P12"/>
  <c r="P34"/>
  <c r="P104"/>
  <c r="P45"/>
  <c r="P127"/>
  <c r="P50"/>
  <c r="P124"/>
  <c r="P106"/>
  <c r="P63"/>
  <c r="P99"/>
  <c r="P116"/>
  <c r="P53"/>
  <c r="P71"/>
  <c r="P75"/>
  <c r="P26"/>
  <c r="P93"/>
  <c r="P27"/>
  <c r="P39"/>
  <c r="P21"/>
  <c r="P117"/>
  <c r="P79"/>
  <c r="P123"/>
  <c r="P105"/>
  <c r="P120"/>
  <c r="P102"/>
  <c r="P81"/>
  <c r="P95"/>
  <c r="P111"/>
  <c r="P52"/>
  <c r="P74"/>
  <c r="P140"/>
  <c r="P148"/>
  <c r="P25"/>
  <c r="P15"/>
  <c r="P129"/>
  <c r="P28"/>
  <c r="P118"/>
  <c r="P112"/>
  <c r="P119"/>
  <c r="P80"/>
  <c r="P77"/>
  <c r="P114"/>
  <c r="P136"/>
  <c r="P55"/>
  <c r="P86"/>
  <c r="P48"/>
  <c r="P62"/>
  <c r="P150"/>
  <c r="P73"/>
  <c r="P138"/>
  <c r="P13"/>
  <c r="P23"/>
  <c r="P24"/>
  <c r="P33"/>
  <c r="F30"/>
  <c r="AF144" i="9"/>
  <c r="D59" i="25"/>
  <c r="D49"/>
  <c r="U13" i="27"/>
  <c r="L62" i="25"/>
  <c r="L77"/>
  <c r="L56"/>
  <c r="L126"/>
  <c r="L96"/>
  <c r="L104"/>
  <c r="L112"/>
  <c r="L83"/>
  <c r="L87"/>
  <c r="L50"/>
  <c r="L55"/>
  <c r="L72"/>
  <c r="L71"/>
  <c r="L74"/>
  <c r="L41"/>
  <c r="L30"/>
  <c r="L21"/>
  <c r="L36"/>
  <c r="L61"/>
  <c r="L121"/>
  <c r="L125"/>
  <c r="L103"/>
  <c r="L107"/>
  <c r="L78"/>
  <c r="L86"/>
  <c r="L44"/>
  <c r="L48"/>
  <c r="L148"/>
  <c r="L70"/>
  <c r="L139"/>
  <c r="L25"/>
  <c r="L31"/>
  <c r="L76"/>
  <c r="L14"/>
  <c r="L133"/>
  <c r="L116"/>
  <c r="L120"/>
  <c r="L124"/>
  <c r="L128"/>
  <c r="L106"/>
  <c r="L110"/>
  <c r="L81"/>
  <c r="L89"/>
  <c r="L47"/>
  <c r="L51"/>
  <c r="L138"/>
  <c r="L143"/>
  <c r="L69"/>
  <c r="L35"/>
  <c r="L28"/>
  <c r="L26"/>
  <c r="L118"/>
  <c r="L136"/>
  <c r="L49"/>
  <c r="L123"/>
  <c r="L127"/>
  <c r="L101"/>
  <c r="L109"/>
  <c r="L80"/>
  <c r="L84"/>
  <c r="L46"/>
  <c r="L58"/>
  <c r="L60"/>
  <c r="L75"/>
  <c r="L66"/>
  <c r="L32"/>
  <c r="L129"/>
  <c r="L29"/>
  <c r="L33"/>
  <c r="J65"/>
  <c r="J75"/>
  <c r="J31"/>
  <c r="J80"/>
  <c r="J53"/>
  <c r="J118"/>
  <c r="J105"/>
  <c r="J111"/>
  <c r="J133"/>
  <c r="J39"/>
  <c r="J68"/>
  <c r="J47"/>
  <c r="J109"/>
  <c r="J74"/>
  <c r="J61"/>
  <c r="J71"/>
  <c r="J37"/>
  <c r="J25"/>
  <c r="J23"/>
  <c r="H112"/>
  <c r="H91"/>
  <c r="H95"/>
  <c r="H90"/>
  <c r="H120"/>
  <c r="H102"/>
  <c r="H59"/>
  <c r="H127"/>
  <c r="H109"/>
  <c r="H57"/>
  <c r="H143"/>
  <c r="H67"/>
  <c r="H138"/>
  <c r="H76"/>
  <c r="H24"/>
  <c r="H26"/>
  <c r="H12"/>
  <c r="H33"/>
  <c r="H108"/>
  <c r="H87"/>
  <c r="H125"/>
  <c r="H86"/>
  <c r="H64"/>
  <c r="H98"/>
  <c r="H55"/>
  <c r="H123"/>
  <c r="H105"/>
  <c r="H62"/>
  <c r="H65"/>
  <c r="H71"/>
  <c r="H142"/>
  <c r="H42"/>
  <c r="H23"/>
  <c r="H21"/>
  <c r="H129"/>
  <c r="H122"/>
  <c r="H45"/>
  <c r="H121"/>
  <c r="H82"/>
  <c r="H60"/>
  <c r="H110"/>
  <c r="H89"/>
  <c r="H101"/>
  <c r="H80"/>
  <c r="H116"/>
  <c r="H70"/>
  <c r="H74"/>
  <c r="H148"/>
  <c r="H14"/>
  <c r="H93"/>
  <c r="H39"/>
  <c r="H100"/>
  <c r="H79"/>
  <c r="H136"/>
  <c r="H78"/>
  <c r="H77"/>
  <c r="H124"/>
  <c r="H85"/>
  <c r="H63"/>
  <c r="H97"/>
  <c r="H54"/>
  <c r="H72"/>
  <c r="H139"/>
  <c r="H68"/>
  <c r="H34"/>
  <c r="H16"/>
  <c r="H13"/>
  <c r="H31"/>
  <c r="H145"/>
  <c r="F50"/>
  <c r="F104"/>
  <c r="F102"/>
  <c r="F99"/>
  <c r="F133"/>
  <c r="F66"/>
  <c r="F46"/>
  <c r="AF35"/>
  <c r="AC35"/>
  <c r="AA16"/>
  <c r="AF12"/>
  <c r="AC93"/>
  <c r="AF93"/>
  <c r="AC21"/>
  <c r="AA36"/>
  <c r="AF21"/>
  <c r="AC115"/>
  <c r="AF115"/>
  <c r="AC36" i="29"/>
  <c r="AF36"/>
  <c r="AB36"/>
  <c r="AB145"/>
  <c r="AB139"/>
  <c r="AB137"/>
  <c r="AC145"/>
  <c r="AD129" s="1"/>
  <c r="AB141"/>
  <c r="AB140"/>
  <c r="AB138"/>
  <c r="AB136"/>
  <c r="AB91"/>
  <c r="AB90"/>
  <c r="AB89"/>
  <c r="AB86"/>
  <c r="AB88"/>
  <c r="AB39"/>
  <c r="AB31"/>
  <c r="AB28"/>
  <c r="AB23"/>
  <c r="AB13"/>
  <c r="AB33"/>
  <c r="AB30"/>
  <c r="AB25"/>
  <c r="AB22"/>
  <c r="AB14"/>
  <c r="AB32"/>
  <c r="AB24"/>
  <c r="AB34"/>
  <c r="AB26"/>
  <c r="AB15"/>
  <c r="AB21"/>
  <c r="AB41"/>
  <c r="AB67"/>
  <c r="AB79"/>
  <c r="AB87"/>
  <c r="AB120"/>
  <c r="AB124"/>
  <c r="AB128"/>
  <c r="AB123"/>
  <c r="AB143"/>
  <c r="AB122"/>
  <c r="AB142"/>
  <c r="AB48"/>
  <c r="AB62"/>
  <c r="AB47"/>
  <c r="AB61"/>
  <c r="AB50"/>
  <c r="AB60"/>
  <c r="AB45"/>
  <c r="AB59"/>
  <c r="AB65"/>
  <c r="AB75"/>
  <c r="AB80"/>
  <c r="AB84"/>
  <c r="AB77"/>
  <c r="AB85"/>
  <c r="AB121"/>
  <c r="AB133"/>
  <c r="AB127"/>
  <c r="AB12"/>
  <c r="AB29"/>
  <c r="AB70"/>
  <c r="AB27"/>
  <c r="AB42"/>
  <c r="AB74"/>
  <c r="AB119"/>
  <c r="AB58"/>
  <c r="AB51"/>
  <c r="AB57"/>
  <c r="AB72"/>
  <c r="AB46"/>
  <c r="AB56"/>
  <c r="AB66"/>
  <c r="AB49"/>
  <c r="AB55"/>
  <c r="AB71"/>
  <c r="AB68"/>
  <c r="AB73"/>
  <c r="AB78"/>
  <c r="AB82"/>
  <c r="AB92"/>
  <c r="AB129"/>
  <c r="AB69"/>
  <c r="AB81"/>
  <c r="AB148"/>
  <c r="AB125"/>
  <c r="AB83"/>
  <c r="AB117"/>
  <c r="AB126"/>
  <c r="W37"/>
  <c r="G37"/>
  <c r="H16"/>
  <c r="N139"/>
  <c r="N137"/>
  <c r="N143"/>
  <c r="N127"/>
  <c r="N125"/>
  <c r="N123"/>
  <c r="N121"/>
  <c r="N119"/>
  <c r="N118"/>
  <c r="N145"/>
  <c r="N144"/>
  <c r="N138"/>
  <c r="N136"/>
  <c r="N148"/>
  <c r="N142"/>
  <c r="N133"/>
  <c r="N128"/>
  <c r="N126"/>
  <c r="N124"/>
  <c r="N122"/>
  <c r="N120"/>
  <c r="N117"/>
  <c r="N89"/>
  <c r="N88"/>
  <c r="N92"/>
  <c r="N90"/>
  <c r="N85"/>
  <c r="N83"/>
  <c r="N81"/>
  <c r="N79"/>
  <c r="N77"/>
  <c r="N72"/>
  <c r="N71"/>
  <c r="N67"/>
  <c r="N65"/>
  <c r="N61"/>
  <c r="N59"/>
  <c r="N57"/>
  <c r="N55"/>
  <c r="N51"/>
  <c r="N49"/>
  <c r="N47"/>
  <c r="N45"/>
  <c r="N42"/>
  <c r="N93"/>
  <c r="N87"/>
  <c r="N86"/>
  <c r="N84"/>
  <c r="N82"/>
  <c r="N80"/>
  <c r="N78"/>
  <c r="N75"/>
  <c r="N73"/>
  <c r="N70"/>
  <c r="N68"/>
  <c r="N66"/>
  <c r="N62"/>
  <c r="N60"/>
  <c r="N58"/>
  <c r="N56"/>
  <c r="N53"/>
  <c r="N50"/>
  <c r="N48"/>
  <c r="N46"/>
  <c r="N34"/>
  <c r="N27"/>
  <c r="N26"/>
  <c r="N13"/>
  <c r="N52"/>
  <c r="N29"/>
  <c r="N28"/>
  <c r="N22"/>
  <c r="N21"/>
  <c r="N15"/>
  <c r="N14"/>
  <c r="N146" s="1"/>
  <c r="N12"/>
  <c r="N31"/>
  <c r="N30"/>
  <c r="N23"/>
  <c r="N39"/>
  <c r="N35"/>
  <c r="N33"/>
  <c r="N32"/>
  <c r="N25"/>
  <c r="N24"/>
  <c r="Q146"/>
  <c r="Q131"/>
  <c r="Q131" i="25" s="1"/>
  <c r="R131" s="1"/>
  <c r="R37" i="29"/>
  <c r="U146"/>
  <c r="U131"/>
  <c r="U131" i="25" s="1"/>
  <c r="V37" i="29"/>
  <c r="E146"/>
  <c r="E152" s="1"/>
  <c r="F152" s="1"/>
  <c r="E131"/>
  <c r="F37"/>
  <c r="L76"/>
  <c r="D15"/>
  <c r="Z36"/>
  <c r="P12"/>
  <c r="AA156"/>
  <c r="AA164" s="1"/>
  <c r="AA165" s="1"/>
  <c r="N36"/>
  <c r="D12"/>
  <c r="K37"/>
  <c r="L16"/>
  <c r="P148"/>
  <c r="P145"/>
  <c r="P144"/>
  <c r="P142"/>
  <c r="P133"/>
  <c r="P128"/>
  <c r="P126"/>
  <c r="P124"/>
  <c r="P122"/>
  <c r="P120"/>
  <c r="P117"/>
  <c r="P139"/>
  <c r="P137"/>
  <c r="P143"/>
  <c r="P127"/>
  <c r="P125"/>
  <c r="P123"/>
  <c r="P121"/>
  <c r="P119"/>
  <c r="P118"/>
  <c r="P138"/>
  <c r="P136"/>
  <c r="P92"/>
  <c r="P89"/>
  <c r="P87"/>
  <c r="P93"/>
  <c r="P86"/>
  <c r="P84"/>
  <c r="P82"/>
  <c r="P80"/>
  <c r="P78"/>
  <c r="P75"/>
  <c r="P73"/>
  <c r="P70"/>
  <c r="P68"/>
  <c r="P88"/>
  <c r="P39"/>
  <c r="P90"/>
  <c r="P85"/>
  <c r="P83"/>
  <c r="P81"/>
  <c r="P79"/>
  <c r="P77"/>
  <c r="P72"/>
  <c r="P71"/>
  <c r="P33"/>
  <c r="P31"/>
  <c r="P29"/>
  <c r="P27"/>
  <c r="P25"/>
  <c r="P23"/>
  <c r="P62"/>
  <c r="P58"/>
  <c r="P48"/>
  <c r="P32"/>
  <c r="P24"/>
  <c r="P67"/>
  <c r="P65"/>
  <c r="P59"/>
  <c r="P55"/>
  <c r="P49"/>
  <c r="P45"/>
  <c r="P42"/>
  <c r="P35"/>
  <c r="P34"/>
  <c r="P26"/>
  <c r="P13"/>
  <c r="P66"/>
  <c r="P60"/>
  <c r="P56"/>
  <c r="P50"/>
  <c r="P46"/>
  <c r="P28"/>
  <c r="P22"/>
  <c r="P14"/>
  <c r="P146" s="1"/>
  <c r="P61"/>
  <c r="P57"/>
  <c r="P51"/>
  <c r="P47"/>
  <c r="P30"/>
  <c r="R138"/>
  <c r="R136"/>
  <c r="R148"/>
  <c r="R142"/>
  <c r="R133"/>
  <c r="R128"/>
  <c r="R126"/>
  <c r="R124"/>
  <c r="R122"/>
  <c r="R120"/>
  <c r="R117"/>
  <c r="R145"/>
  <c r="R144"/>
  <c r="R139"/>
  <c r="R137"/>
  <c r="R143"/>
  <c r="R127"/>
  <c r="R125"/>
  <c r="R123"/>
  <c r="R121"/>
  <c r="R119"/>
  <c r="R118"/>
  <c r="R87"/>
  <c r="R89"/>
  <c r="R86"/>
  <c r="R84"/>
  <c r="R82"/>
  <c r="R80"/>
  <c r="R78"/>
  <c r="R75"/>
  <c r="R73"/>
  <c r="R70"/>
  <c r="R68"/>
  <c r="R66"/>
  <c r="R62"/>
  <c r="R60"/>
  <c r="R58"/>
  <c r="R56"/>
  <c r="R50"/>
  <c r="R48"/>
  <c r="R46"/>
  <c r="R93"/>
  <c r="R92"/>
  <c r="R88"/>
  <c r="R90"/>
  <c r="R85"/>
  <c r="R83"/>
  <c r="R81"/>
  <c r="R79"/>
  <c r="R77"/>
  <c r="R72"/>
  <c r="R71"/>
  <c r="R67"/>
  <c r="R65"/>
  <c r="R61"/>
  <c r="R59"/>
  <c r="R57"/>
  <c r="R55"/>
  <c r="R51"/>
  <c r="R49"/>
  <c r="R47"/>
  <c r="R45"/>
  <c r="R42"/>
  <c r="R39"/>
  <c r="R33"/>
  <c r="R30"/>
  <c r="R25"/>
  <c r="R32"/>
  <c r="R27"/>
  <c r="R24"/>
  <c r="R21"/>
  <c r="R15"/>
  <c r="R12"/>
  <c r="R34"/>
  <c r="R29"/>
  <c r="R26"/>
  <c r="R13"/>
  <c r="R35"/>
  <c r="R31"/>
  <c r="R28"/>
  <c r="R23"/>
  <c r="R22"/>
  <c r="R14"/>
  <c r="R146" s="1"/>
  <c r="L145"/>
  <c r="L144"/>
  <c r="L143"/>
  <c r="L127"/>
  <c r="L125"/>
  <c r="L123"/>
  <c r="L121"/>
  <c r="L119"/>
  <c r="L118"/>
  <c r="L138"/>
  <c r="L136"/>
  <c r="L148"/>
  <c r="L142"/>
  <c r="L133"/>
  <c r="L128"/>
  <c r="L126"/>
  <c r="L124"/>
  <c r="L122"/>
  <c r="L120"/>
  <c r="L117"/>
  <c r="L139"/>
  <c r="L137"/>
  <c r="L90"/>
  <c r="L88"/>
  <c r="L93"/>
  <c r="L92"/>
  <c r="L85"/>
  <c r="L83"/>
  <c r="L81"/>
  <c r="L79"/>
  <c r="L77"/>
  <c r="L72"/>
  <c r="L71"/>
  <c r="L67"/>
  <c r="L87"/>
  <c r="L86"/>
  <c r="L84"/>
  <c r="L82"/>
  <c r="L80"/>
  <c r="L78"/>
  <c r="L75"/>
  <c r="L73"/>
  <c r="L70"/>
  <c r="L68"/>
  <c r="L89"/>
  <c r="L39"/>
  <c r="L34"/>
  <c r="L32"/>
  <c r="L30"/>
  <c r="L28"/>
  <c r="L26"/>
  <c r="L24"/>
  <c r="L65"/>
  <c r="L59"/>
  <c r="L55"/>
  <c r="L49"/>
  <c r="L45"/>
  <c r="L42"/>
  <c r="L29"/>
  <c r="L22"/>
  <c r="L14"/>
  <c r="L146" s="1"/>
  <c r="L66"/>
  <c r="L60"/>
  <c r="L56"/>
  <c r="L50"/>
  <c r="L46"/>
  <c r="L35"/>
  <c r="L31"/>
  <c r="L23"/>
  <c r="L61"/>
  <c r="L57"/>
  <c r="L51"/>
  <c r="L47"/>
  <c r="L33"/>
  <c r="L25"/>
  <c r="L62"/>
  <c r="L58"/>
  <c r="L48"/>
  <c r="L27"/>
  <c r="L13"/>
  <c r="P21"/>
  <c r="L15"/>
  <c r="R16"/>
  <c r="V36"/>
  <c r="L12"/>
  <c r="AF115"/>
  <c r="AB115"/>
  <c r="AC115"/>
  <c r="AD115" s="1"/>
  <c r="O37"/>
  <c r="P16"/>
  <c r="AB76"/>
  <c r="V139"/>
  <c r="V137"/>
  <c r="V143"/>
  <c r="V127"/>
  <c r="V125"/>
  <c r="V123"/>
  <c r="V121"/>
  <c r="V119"/>
  <c r="V118"/>
  <c r="V145"/>
  <c r="V138"/>
  <c r="V136"/>
  <c r="V148"/>
  <c r="V142"/>
  <c r="V133"/>
  <c r="V128"/>
  <c r="V126"/>
  <c r="V124"/>
  <c r="V122"/>
  <c r="V120"/>
  <c r="V117"/>
  <c r="V92"/>
  <c r="V90"/>
  <c r="V85"/>
  <c r="V83"/>
  <c r="V81"/>
  <c r="V79"/>
  <c r="V77"/>
  <c r="V72"/>
  <c r="V71"/>
  <c r="V67"/>
  <c r="V65"/>
  <c r="V61"/>
  <c r="V59"/>
  <c r="V57"/>
  <c r="V55"/>
  <c r="V51"/>
  <c r="V49"/>
  <c r="V47"/>
  <c r="V45"/>
  <c r="V42"/>
  <c r="V93"/>
  <c r="V87"/>
  <c r="V86"/>
  <c r="V89"/>
  <c r="V88"/>
  <c r="V84"/>
  <c r="V82"/>
  <c r="V80"/>
  <c r="V78"/>
  <c r="V75"/>
  <c r="V73"/>
  <c r="V70"/>
  <c r="V68"/>
  <c r="V66"/>
  <c r="V62"/>
  <c r="V60"/>
  <c r="V58"/>
  <c r="V56"/>
  <c r="V50"/>
  <c r="V48"/>
  <c r="V46"/>
  <c r="V29"/>
  <c r="V28"/>
  <c r="V13"/>
  <c r="V39"/>
  <c r="V31"/>
  <c r="V30"/>
  <c r="V23"/>
  <c r="V22"/>
  <c r="V21"/>
  <c r="V15"/>
  <c r="V14"/>
  <c r="V146" s="1"/>
  <c r="V12"/>
  <c r="V33"/>
  <c r="V32"/>
  <c r="V25"/>
  <c r="V24"/>
  <c r="V35"/>
  <c r="V34"/>
  <c r="V27"/>
  <c r="V26"/>
  <c r="F139"/>
  <c r="F137"/>
  <c r="F143"/>
  <c r="F127"/>
  <c r="F125"/>
  <c r="F123"/>
  <c r="F121"/>
  <c r="F119"/>
  <c r="F118"/>
  <c r="F145"/>
  <c r="F138"/>
  <c r="F136"/>
  <c r="F148"/>
  <c r="F142"/>
  <c r="F133"/>
  <c r="F128"/>
  <c r="F126"/>
  <c r="F124"/>
  <c r="F122"/>
  <c r="F120"/>
  <c r="F117"/>
  <c r="F87"/>
  <c r="F89"/>
  <c r="F88"/>
  <c r="F85"/>
  <c r="F83"/>
  <c r="F81"/>
  <c r="F79"/>
  <c r="F77"/>
  <c r="F72"/>
  <c r="F71"/>
  <c r="F67"/>
  <c r="F65"/>
  <c r="F61"/>
  <c r="F59"/>
  <c r="F57"/>
  <c r="F55"/>
  <c r="F51"/>
  <c r="F49"/>
  <c r="F47"/>
  <c r="F45"/>
  <c r="F42"/>
  <c r="F93"/>
  <c r="F92"/>
  <c r="F90"/>
  <c r="F86"/>
  <c r="F84"/>
  <c r="F82"/>
  <c r="F80"/>
  <c r="F78"/>
  <c r="F75"/>
  <c r="F73"/>
  <c r="F70"/>
  <c r="F68"/>
  <c r="F66"/>
  <c r="F62"/>
  <c r="F60"/>
  <c r="F58"/>
  <c r="F56"/>
  <c r="F50"/>
  <c r="F48"/>
  <c r="F46"/>
  <c r="F33"/>
  <c r="F32"/>
  <c r="F25"/>
  <c r="F24"/>
  <c r="F13"/>
  <c r="F39"/>
  <c r="F34"/>
  <c r="F27"/>
  <c r="F26"/>
  <c r="F22"/>
  <c r="F21"/>
  <c r="F15"/>
  <c r="F14"/>
  <c r="F146" s="1"/>
  <c r="F12"/>
  <c r="F29"/>
  <c r="F28"/>
  <c r="F35"/>
  <c r="F31"/>
  <c r="F30"/>
  <c r="F23"/>
  <c r="Y146"/>
  <c r="Y152" s="1"/>
  <c r="Y131"/>
  <c r="Z37"/>
  <c r="I146"/>
  <c r="I131"/>
  <c r="I131" i="25" s="1"/>
  <c r="J131" s="1"/>
  <c r="J37" i="29"/>
  <c r="AA37"/>
  <c r="AB16"/>
  <c r="AC16"/>
  <c r="AD16" s="1"/>
  <c r="M146"/>
  <c r="M152" s="1"/>
  <c r="M131"/>
  <c r="M131" i="25" s="1"/>
  <c r="N37" i="29"/>
  <c r="AD143"/>
  <c r="P129"/>
  <c r="D36"/>
  <c r="P41"/>
  <c r="AD14"/>
  <c r="R41"/>
  <c r="L41"/>
  <c r="T15"/>
  <c r="AC93"/>
  <c r="AF93"/>
  <c r="AB93"/>
  <c r="D145"/>
  <c r="D146" s="1"/>
  <c r="D143"/>
  <c r="D127"/>
  <c r="D125"/>
  <c r="D123"/>
  <c r="D121"/>
  <c r="D119"/>
  <c r="D118"/>
  <c r="D138"/>
  <c r="D136"/>
  <c r="D148"/>
  <c r="D142"/>
  <c r="D133"/>
  <c r="D128"/>
  <c r="D126"/>
  <c r="D124"/>
  <c r="D122"/>
  <c r="D120"/>
  <c r="D117"/>
  <c r="D139"/>
  <c r="D137"/>
  <c r="D90"/>
  <c r="D88"/>
  <c r="D93"/>
  <c r="D89"/>
  <c r="D85"/>
  <c r="D83"/>
  <c r="D81"/>
  <c r="D79"/>
  <c r="D77"/>
  <c r="D72"/>
  <c r="D71"/>
  <c r="D67"/>
  <c r="D92"/>
  <c r="D40"/>
  <c r="D86"/>
  <c r="D84"/>
  <c r="D82"/>
  <c r="D80"/>
  <c r="D78"/>
  <c r="D75"/>
  <c r="D73"/>
  <c r="D70"/>
  <c r="D68"/>
  <c r="D87"/>
  <c r="D44"/>
  <c r="D39"/>
  <c r="D34"/>
  <c r="D32"/>
  <c r="D30"/>
  <c r="D28"/>
  <c r="D26"/>
  <c r="D24"/>
  <c r="D61"/>
  <c r="D57"/>
  <c r="D51"/>
  <c r="D47"/>
  <c r="D27"/>
  <c r="D22"/>
  <c r="D62"/>
  <c r="D58"/>
  <c r="D48"/>
  <c r="D35"/>
  <c r="D29"/>
  <c r="D65"/>
  <c r="D59"/>
  <c r="D55"/>
  <c r="D49"/>
  <c r="D45"/>
  <c r="D42"/>
  <c r="D31"/>
  <c r="D23"/>
  <c r="D66"/>
  <c r="D60"/>
  <c r="D56"/>
  <c r="D50"/>
  <c r="D46"/>
  <c r="D43"/>
  <c r="D33"/>
  <c r="D25"/>
  <c r="AC35"/>
  <c r="AF35"/>
  <c r="AB35"/>
  <c r="S37"/>
  <c r="T16"/>
  <c r="C37"/>
  <c r="AE16"/>
  <c r="AF16" s="1"/>
  <c r="D16"/>
  <c r="H148"/>
  <c r="H145"/>
  <c r="H142"/>
  <c r="H133"/>
  <c r="H128"/>
  <c r="H126"/>
  <c r="H124"/>
  <c r="H122"/>
  <c r="H120"/>
  <c r="H117"/>
  <c r="H139"/>
  <c r="H137"/>
  <c r="H143"/>
  <c r="H127"/>
  <c r="H125"/>
  <c r="H123"/>
  <c r="H121"/>
  <c r="H119"/>
  <c r="H118"/>
  <c r="H138"/>
  <c r="H136"/>
  <c r="H92"/>
  <c r="H89"/>
  <c r="H87"/>
  <c r="H93"/>
  <c r="H86"/>
  <c r="H84"/>
  <c r="H82"/>
  <c r="H80"/>
  <c r="H78"/>
  <c r="H75"/>
  <c r="H73"/>
  <c r="H70"/>
  <c r="H68"/>
  <c r="H39"/>
  <c r="H88"/>
  <c r="H85"/>
  <c r="H83"/>
  <c r="H81"/>
  <c r="H79"/>
  <c r="H77"/>
  <c r="H72"/>
  <c r="H71"/>
  <c r="H90"/>
  <c r="H33"/>
  <c r="H31"/>
  <c r="H29"/>
  <c r="H27"/>
  <c r="H25"/>
  <c r="H23"/>
  <c r="H67"/>
  <c r="H66"/>
  <c r="H60"/>
  <c r="H56"/>
  <c r="H50"/>
  <c r="H46"/>
  <c r="H30"/>
  <c r="H61"/>
  <c r="H57"/>
  <c r="H51"/>
  <c r="H47"/>
  <c r="H35"/>
  <c r="H32"/>
  <c r="H24"/>
  <c r="H13"/>
  <c r="H62"/>
  <c r="H58"/>
  <c r="H48"/>
  <c r="H34"/>
  <c r="H26"/>
  <c r="H22"/>
  <c r="H14"/>
  <c r="H146" s="1"/>
  <c r="H65"/>
  <c r="H59"/>
  <c r="H55"/>
  <c r="H49"/>
  <c r="H45"/>
  <c r="H42"/>
  <c r="H28"/>
  <c r="Z138"/>
  <c r="Z136"/>
  <c r="Z148"/>
  <c r="Z142"/>
  <c r="Z133"/>
  <c r="Z128"/>
  <c r="Z126"/>
  <c r="Z124"/>
  <c r="Z122"/>
  <c r="Z120"/>
  <c r="Z117"/>
  <c r="Z145"/>
  <c r="Z139"/>
  <c r="Z137"/>
  <c r="Z143"/>
  <c r="Z127"/>
  <c r="Z125"/>
  <c r="Z123"/>
  <c r="Z121"/>
  <c r="Z119"/>
  <c r="Z118"/>
  <c r="Z89"/>
  <c r="Z86"/>
  <c r="Z92"/>
  <c r="Z88"/>
  <c r="Z84"/>
  <c r="Z82"/>
  <c r="Z80"/>
  <c r="Z78"/>
  <c r="Z75"/>
  <c r="Z73"/>
  <c r="Z68"/>
  <c r="Z66"/>
  <c r="Z62"/>
  <c r="Z60"/>
  <c r="Z58"/>
  <c r="Z56"/>
  <c r="Z50"/>
  <c r="Z48"/>
  <c r="Z46"/>
  <c r="Z93"/>
  <c r="Z91"/>
  <c r="Z90"/>
  <c r="Z87"/>
  <c r="Z85"/>
  <c r="Z83"/>
  <c r="Z81"/>
  <c r="Z79"/>
  <c r="Z77"/>
  <c r="Z71"/>
  <c r="Z67"/>
  <c r="Z65"/>
  <c r="Z61"/>
  <c r="Z59"/>
  <c r="Z57"/>
  <c r="Z55"/>
  <c r="Z51"/>
  <c r="Z49"/>
  <c r="Z47"/>
  <c r="Z45"/>
  <c r="Z42"/>
  <c r="Z32"/>
  <c r="Z27"/>
  <c r="Z24"/>
  <c r="Z34"/>
  <c r="Z29"/>
  <c r="Z26"/>
  <c r="Z21"/>
  <c r="Z15"/>
  <c r="Z12"/>
  <c r="Z39"/>
  <c r="Z31"/>
  <c r="Z28"/>
  <c r="Z23"/>
  <c r="Z13"/>
  <c r="Z35"/>
  <c r="Z33"/>
  <c r="Z30"/>
  <c r="Z25"/>
  <c r="Z22"/>
  <c r="Z14"/>
  <c r="J138"/>
  <c r="J136"/>
  <c r="J148"/>
  <c r="J142"/>
  <c r="J133"/>
  <c r="J128"/>
  <c r="J126"/>
  <c r="J124"/>
  <c r="J122"/>
  <c r="J120"/>
  <c r="J117"/>
  <c r="J145"/>
  <c r="J139"/>
  <c r="J137"/>
  <c r="J143"/>
  <c r="J127"/>
  <c r="J125"/>
  <c r="J123"/>
  <c r="J121"/>
  <c r="J119"/>
  <c r="J118"/>
  <c r="J90"/>
  <c r="J87"/>
  <c r="J86"/>
  <c r="J84"/>
  <c r="J82"/>
  <c r="J80"/>
  <c r="J78"/>
  <c r="J75"/>
  <c r="J73"/>
  <c r="J70"/>
  <c r="J68"/>
  <c r="J66"/>
  <c r="J62"/>
  <c r="J60"/>
  <c r="J58"/>
  <c r="J56"/>
  <c r="J50"/>
  <c r="J48"/>
  <c r="J46"/>
  <c r="J93"/>
  <c r="J89"/>
  <c r="J92"/>
  <c r="J88"/>
  <c r="J85"/>
  <c r="J83"/>
  <c r="J81"/>
  <c r="J79"/>
  <c r="J77"/>
  <c r="J72"/>
  <c r="J71"/>
  <c r="J67"/>
  <c r="J65"/>
  <c r="J61"/>
  <c r="J59"/>
  <c r="J57"/>
  <c r="J55"/>
  <c r="J51"/>
  <c r="J49"/>
  <c r="J47"/>
  <c r="J45"/>
  <c r="J42"/>
  <c r="J31"/>
  <c r="J28"/>
  <c r="J23"/>
  <c r="J33"/>
  <c r="J30"/>
  <c r="J25"/>
  <c r="J21"/>
  <c r="J15"/>
  <c r="J12"/>
  <c r="J39"/>
  <c r="J32"/>
  <c r="J27"/>
  <c r="J24"/>
  <c r="J13"/>
  <c r="J35"/>
  <c r="J34"/>
  <c r="J29"/>
  <c r="J26"/>
  <c r="J22"/>
  <c r="J14"/>
  <c r="T145"/>
  <c r="T143"/>
  <c r="T127"/>
  <c r="T125"/>
  <c r="T123"/>
  <c r="T121"/>
  <c r="T119"/>
  <c r="T118"/>
  <c r="T138"/>
  <c r="T136"/>
  <c r="T148"/>
  <c r="T142"/>
  <c r="T133"/>
  <c r="T128"/>
  <c r="T126"/>
  <c r="T124"/>
  <c r="T122"/>
  <c r="T120"/>
  <c r="T117"/>
  <c r="T139"/>
  <c r="T137"/>
  <c r="T90"/>
  <c r="T88"/>
  <c r="T86"/>
  <c r="T93"/>
  <c r="T85"/>
  <c r="T83"/>
  <c r="T81"/>
  <c r="T79"/>
  <c r="T77"/>
  <c r="T72"/>
  <c r="T71"/>
  <c r="T67"/>
  <c r="T91"/>
  <c r="T87"/>
  <c r="T89"/>
  <c r="T84"/>
  <c r="T82"/>
  <c r="T80"/>
  <c r="T78"/>
  <c r="T75"/>
  <c r="T73"/>
  <c r="T70"/>
  <c r="T68"/>
  <c r="T92"/>
  <c r="T39"/>
  <c r="T34"/>
  <c r="T32"/>
  <c r="T30"/>
  <c r="T28"/>
  <c r="T26"/>
  <c r="T24"/>
  <c r="T61"/>
  <c r="T57"/>
  <c r="T51"/>
  <c r="T47"/>
  <c r="T31"/>
  <c r="T23"/>
  <c r="T22"/>
  <c r="T14"/>
  <c r="T62"/>
  <c r="T58"/>
  <c r="T48"/>
  <c r="T36"/>
  <c r="T35"/>
  <c r="T33"/>
  <c r="T25"/>
  <c r="T65"/>
  <c r="T59"/>
  <c r="T55"/>
  <c r="T49"/>
  <c r="T45"/>
  <c r="T42"/>
  <c r="T27"/>
  <c r="T66"/>
  <c r="T60"/>
  <c r="T56"/>
  <c r="T50"/>
  <c r="T46"/>
  <c r="T29"/>
  <c r="T13"/>
  <c r="R129"/>
  <c r="D76"/>
  <c r="W145"/>
  <c r="W145" i="25" s="1"/>
  <c r="X144" s="1"/>
  <c r="AE76" i="29"/>
  <c r="AF76" s="1"/>
  <c r="D41"/>
  <c r="H21"/>
  <c r="R36"/>
  <c r="H12"/>
  <c r="L36"/>
  <c r="Z16"/>
  <c r="J16"/>
  <c r="AD12"/>
  <c r="F36"/>
  <c r="P36"/>
  <c r="H15"/>
  <c r="N16"/>
  <c r="D118" i="25"/>
  <c r="D116"/>
  <c r="D126"/>
  <c r="D108"/>
  <c r="D87"/>
  <c r="D136"/>
  <c r="D97"/>
  <c r="D113"/>
  <c r="D92"/>
  <c r="D58"/>
  <c r="D143"/>
  <c r="D23"/>
  <c r="D124"/>
  <c r="D106"/>
  <c r="D85"/>
  <c r="D51"/>
  <c r="D95"/>
  <c r="D111"/>
  <c r="D90"/>
  <c r="D56"/>
  <c r="D63"/>
  <c r="D68"/>
  <c r="D74"/>
  <c r="D32"/>
  <c r="D29"/>
  <c r="D24"/>
  <c r="D22"/>
  <c r="D73"/>
  <c r="D26"/>
  <c r="D75"/>
  <c r="D12"/>
  <c r="D36"/>
  <c r="D117"/>
  <c r="D100"/>
  <c r="D79"/>
  <c r="D45"/>
  <c r="D123"/>
  <c r="D105"/>
  <c r="D84"/>
  <c r="D50"/>
  <c r="D55"/>
  <c r="D138"/>
  <c r="D69"/>
  <c r="D76"/>
  <c r="D145"/>
  <c r="D146" s="1"/>
  <c r="D115"/>
  <c r="D129"/>
  <c r="D31"/>
  <c r="D37"/>
  <c r="D61"/>
  <c r="D98"/>
  <c r="D114"/>
  <c r="D43"/>
  <c r="D121"/>
  <c r="D103"/>
  <c r="D82"/>
  <c r="D48"/>
  <c r="D64"/>
  <c r="D142"/>
  <c r="D137"/>
  <c r="D30"/>
  <c r="D70"/>
  <c r="AC42"/>
  <c r="AA76"/>
  <c r="AF76" s="1"/>
  <c r="AA145" i="9"/>
  <c r="AB71" s="1"/>
  <c r="V118" i="25"/>
  <c r="V85"/>
  <c r="V60"/>
  <c r="V121"/>
  <c r="V126"/>
  <c r="V92"/>
  <c r="V51"/>
  <c r="V59"/>
  <c r="V48"/>
  <c r="V53"/>
  <c r="V143"/>
  <c r="V80"/>
  <c r="V94"/>
  <c r="V69"/>
  <c r="V111"/>
  <c r="V79"/>
  <c r="V46"/>
  <c r="V63"/>
  <c r="V120"/>
  <c r="V56"/>
  <c r="V61"/>
  <c r="V122"/>
  <c r="V88"/>
  <c r="V47"/>
  <c r="V23"/>
  <c r="V33"/>
  <c r="V76"/>
  <c r="V42"/>
  <c r="V26"/>
  <c r="V133"/>
  <c r="V24"/>
  <c r="V129"/>
  <c r="V100"/>
  <c r="V67"/>
  <c r="V103"/>
  <c r="V108"/>
  <c r="V54"/>
  <c r="V148"/>
  <c r="V128"/>
  <c r="V64"/>
  <c r="V125"/>
  <c r="V96"/>
  <c r="V116"/>
  <c r="V55"/>
  <c r="V73"/>
  <c r="V90"/>
  <c r="V136"/>
  <c r="V62"/>
  <c r="V123"/>
  <c r="V102"/>
  <c r="V66"/>
  <c r="V99"/>
  <c r="V104"/>
  <c r="V50"/>
  <c r="V150"/>
  <c r="V37"/>
  <c r="V21"/>
  <c r="V36"/>
  <c r="V28"/>
  <c r="V93"/>
  <c r="V35"/>
  <c r="V12"/>
  <c r="V29"/>
  <c r="V71"/>
  <c r="V82"/>
  <c r="V87"/>
  <c r="V138"/>
  <c r="V97"/>
  <c r="V110"/>
  <c r="V68"/>
  <c r="V107"/>
  <c r="V112"/>
  <c r="V58"/>
  <c r="V119"/>
  <c r="V98"/>
  <c r="V52"/>
  <c r="V57"/>
  <c r="V140"/>
  <c r="V105"/>
  <c r="V81"/>
  <c r="V70"/>
  <c r="V78"/>
  <c r="V83"/>
  <c r="V137"/>
  <c r="V127"/>
  <c r="V124"/>
  <c r="V22"/>
  <c r="V39"/>
  <c r="V41"/>
  <c r="V15"/>
  <c r="V27"/>
  <c r="V25"/>
  <c r="V31"/>
  <c r="V14"/>
  <c r="V75"/>
  <c r="V44"/>
  <c r="V49"/>
  <c r="V142"/>
  <c r="V113"/>
  <c r="V89"/>
  <c r="V72"/>
  <c r="V86"/>
  <c r="V91"/>
  <c r="V139"/>
  <c r="V101"/>
  <c r="V114"/>
  <c r="V65"/>
  <c r="V95"/>
  <c r="V117"/>
  <c r="V84"/>
  <c r="V43"/>
  <c r="V74"/>
  <c r="V77"/>
  <c r="V45"/>
  <c r="V141"/>
  <c r="V109"/>
  <c r="V106"/>
  <c r="V34"/>
  <c r="V115"/>
  <c r="V145"/>
  <c r="V16"/>
  <c r="V30"/>
  <c r="V32"/>
  <c r="V13"/>
  <c r="N118"/>
  <c r="N69"/>
  <c r="N109"/>
  <c r="N79"/>
  <c r="N86"/>
  <c r="N70"/>
  <c r="N113"/>
  <c r="N83"/>
  <c r="N137"/>
  <c r="N95"/>
  <c r="N110"/>
  <c r="N67"/>
  <c r="N101"/>
  <c r="N108"/>
  <c r="N56"/>
  <c r="N148"/>
  <c r="N98"/>
  <c r="N46"/>
  <c r="N53"/>
  <c r="N139"/>
  <c r="N103"/>
  <c r="N81"/>
  <c r="N48"/>
  <c r="N106"/>
  <c r="N28"/>
  <c r="N12"/>
  <c r="N37"/>
  <c r="N35"/>
  <c r="N13"/>
  <c r="N26"/>
  <c r="N29"/>
  <c r="N24"/>
  <c r="N73"/>
  <c r="N88"/>
  <c r="N94"/>
  <c r="N64"/>
  <c r="N74"/>
  <c r="N92"/>
  <c r="N45"/>
  <c r="N141"/>
  <c r="N111"/>
  <c r="N89"/>
  <c r="N71"/>
  <c r="N80"/>
  <c r="N87"/>
  <c r="N138"/>
  <c r="N99"/>
  <c r="N114"/>
  <c r="N62"/>
  <c r="N123"/>
  <c r="N143"/>
  <c r="N82"/>
  <c r="N43"/>
  <c r="N117"/>
  <c r="N47"/>
  <c r="N31"/>
  <c r="N32"/>
  <c r="N25"/>
  <c r="N27"/>
  <c r="N21"/>
  <c r="N34"/>
  <c r="N23"/>
  <c r="N22"/>
  <c r="N96"/>
  <c r="N50"/>
  <c r="N57"/>
  <c r="N140"/>
  <c r="N85"/>
  <c r="N54"/>
  <c r="N61"/>
  <c r="N122"/>
  <c r="N90"/>
  <c r="N51"/>
  <c r="N75"/>
  <c r="N77"/>
  <c r="N49"/>
  <c r="N142"/>
  <c r="N78"/>
  <c r="N136"/>
  <c r="N68"/>
  <c r="N105"/>
  <c r="N112"/>
  <c r="N44"/>
  <c r="N59"/>
  <c r="N120"/>
  <c r="N63"/>
  <c r="N76"/>
  <c r="N42"/>
  <c r="N15"/>
  <c r="N33"/>
  <c r="N93"/>
  <c r="N16"/>
  <c r="N133"/>
  <c r="N41"/>
  <c r="N131"/>
  <c r="N65"/>
  <c r="N127"/>
  <c r="N100"/>
  <c r="N125"/>
  <c r="N66"/>
  <c r="N97"/>
  <c r="N104"/>
  <c r="N52"/>
  <c r="N150"/>
  <c r="N128"/>
  <c r="N58"/>
  <c r="N119"/>
  <c r="N126"/>
  <c r="N116"/>
  <c r="N55"/>
  <c r="N72"/>
  <c r="N84"/>
  <c r="N91"/>
  <c r="N60"/>
  <c r="N121"/>
  <c r="N102"/>
  <c r="N107"/>
  <c r="N124"/>
  <c r="N145"/>
  <c r="N39"/>
  <c r="N129"/>
  <c r="N14"/>
  <c r="N30"/>
  <c r="N36"/>
  <c r="N115"/>
  <c r="Z72" i="9"/>
  <c r="AF141" i="25"/>
  <c r="Z129"/>
  <c r="AE145" i="9"/>
  <c r="Z70"/>
  <c r="Z71"/>
  <c r="Z73"/>
  <c r="Y4" i="27"/>
  <c r="AA4" s="1"/>
  <c r="Z92" i="9"/>
  <c r="Z121"/>
  <c r="Z139"/>
  <c r="Z36"/>
  <c r="Z133"/>
  <c r="Z39"/>
  <c r="Z61"/>
  <c r="Z87"/>
  <c r="Z126"/>
  <c r="Z29"/>
  <c r="Z56"/>
  <c r="Z143"/>
  <c r="Z77"/>
  <c r="Z93"/>
  <c r="Z123"/>
  <c r="Z51"/>
  <c r="Z12"/>
  <c r="Z33"/>
  <c r="Z22"/>
  <c r="Z15"/>
  <c r="Z24"/>
  <c r="Z135"/>
  <c r="Z82"/>
  <c r="Z145"/>
  <c r="Z49"/>
  <c r="Z86"/>
  <c r="Z125"/>
  <c r="Z42"/>
  <c r="Z67"/>
  <c r="Z57"/>
  <c r="Z122"/>
  <c r="Z66"/>
  <c r="Z60"/>
  <c r="Z89"/>
  <c r="Z128"/>
  <c r="Z124"/>
  <c r="Z88"/>
  <c r="Z127"/>
  <c r="Z26"/>
  <c r="Z16"/>
  <c r="Z35"/>
  <c r="Z21"/>
  <c r="Z41"/>
  <c r="Z27"/>
  <c r="Z131"/>
  <c r="Z83"/>
  <c r="Z50"/>
  <c r="Z90"/>
  <c r="Z79"/>
  <c r="Z142"/>
  <c r="Z80"/>
  <c r="Z59"/>
  <c r="Z117"/>
  <c r="Z136"/>
  <c r="Z62"/>
  <c r="Z85"/>
  <c r="Z129"/>
  <c r="Z46"/>
  <c r="Z91"/>
  <c r="Z23"/>
  <c r="Z32"/>
  <c r="Z13"/>
  <c r="Z28"/>
  <c r="Z25"/>
  <c r="Z76"/>
  <c r="Z84"/>
  <c r="Z78"/>
  <c r="Z138"/>
  <c r="Z65"/>
  <c r="Z68"/>
  <c r="Z55"/>
  <c r="Z148"/>
  <c r="Z48"/>
  <c r="Z58"/>
  <c r="Z120"/>
  <c r="Z45"/>
  <c r="Z119"/>
  <c r="Z137"/>
  <c r="Z47"/>
  <c r="Z31"/>
  <c r="Z14"/>
  <c r="Z34"/>
  <c r="Z81"/>
  <c r="Z30"/>
  <c r="Z37"/>
  <c r="Y146"/>
  <c r="Z118"/>
  <c r="AA6" i="27"/>
  <c r="Z112" i="25"/>
  <c r="AE144"/>
  <c r="W152" i="9"/>
  <c r="X136" i="25"/>
  <c r="X86"/>
  <c r="X116"/>
  <c r="X58"/>
  <c r="X27"/>
  <c r="X15"/>
  <c r="X120"/>
  <c r="X59"/>
  <c r="X66"/>
  <c r="X67"/>
  <c r="X122"/>
  <c r="X95"/>
  <c r="X105"/>
  <c r="X62"/>
  <c r="X129"/>
  <c r="X29"/>
  <c r="X21"/>
  <c r="X96"/>
  <c r="X103"/>
  <c r="X82"/>
  <c r="X47"/>
  <c r="X63"/>
  <c r="X54"/>
  <c r="X77"/>
  <c r="X148"/>
  <c r="X68"/>
  <c r="X34"/>
  <c r="X39"/>
  <c r="X26"/>
  <c r="X143"/>
  <c r="X32"/>
  <c r="X14"/>
  <c r="X36"/>
  <c r="AF142"/>
  <c r="AA144"/>
  <c r="AC144" s="1"/>
  <c r="T90" l="1"/>
  <c r="P30"/>
  <c r="P22"/>
  <c r="P143"/>
  <c r="P107"/>
  <c r="P58"/>
  <c r="P91"/>
  <c r="P14"/>
  <c r="P69"/>
  <c r="P49"/>
  <c r="P59"/>
  <c r="P84"/>
  <c r="P100"/>
  <c r="P35"/>
  <c r="P141"/>
  <c r="P56"/>
  <c r="P47"/>
  <c r="P109"/>
  <c r="P122"/>
  <c r="P36"/>
  <c r="P72"/>
  <c r="P44"/>
  <c r="P89"/>
  <c r="P97"/>
  <c r="J76"/>
  <c r="J88"/>
  <c r="J137"/>
  <c r="J79"/>
  <c r="J93"/>
  <c r="J102"/>
  <c r="J13"/>
  <c r="J108"/>
  <c r="J49"/>
  <c r="J14"/>
  <c r="J143"/>
  <c r="J87"/>
  <c r="J63"/>
  <c r="J77"/>
  <c r="J95"/>
  <c r="J96"/>
  <c r="J114"/>
  <c r="J28"/>
  <c r="J83"/>
  <c r="H30"/>
  <c r="H150"/>
  <c r="H113"/>
  <c r="H106"/>
  <c r="H99"/>
  <c r="H22"/>
  <c r="H35"/>
  <c r="H69"/>
  <c r="H51"/>
  <c r="H44"/>
  <c r="H83"/>
  <c r="H133"/>
  <c r="H137"/>
  <c r="H46"/>
  <c r="H114"/>
  <c r="H107"/>
  <c r="H126"/>
  <c r="H36"/>
  <c r="H75"/>
  <c r="H50"/>
  <c r="H81"/>
  <c r="H111"/>
  <c r="H96"/>
  <c r="F113"/>
  <c r="F49"/>
  <c r="F141"/>
  <c r="F63"/>
  <c r="F114"/>
  <c r="D139"/>
  <c r="Y135" i="19"/>
  <c r="V131" i="25"/>
  <c r="AA12" i="27"/>
  <c r="T117" i="25"/>
  <c r="J29"/>
  <c r="J16"/>
  <c r="J99"/>
  <c r="J106"/>
  <c r="J127"/>
  <c r="J117"/>
  <c r="J35"/>
  <c r="J34"/>
  <c r="J67"/>
  <c r="J70"/>
  <c r="J85"/>
  <c r="J112"/>
  <c r="J42"/>
  <c r="J36"/>
  <c r="J150"/>
  <c r="J116"/>
  <c r="J69"/>
  <c r="J92"/>
  <c r="J30"/>
  <c r="J41"/>
  <c r="J138"/>
  <c r="J50"/>
  <c r="J136"/>
  <c r="J89"/>
  <c r="J120"/>
  <c r="J60"/>
  <c r="J140"/>
  <c r="J54"/>
  <c r="J21"/>
  <c r="J107"/>
  <c r="J98"/>
  <c r="J119"/>
  <c r="J126"/>
  <c r="J78"/>
  <c r="J15"/>
  <c r="J90"/>
  <c r="J110"/>
  <c r="J113"/>
  <c r="J104"/>
  <c r="J33"/>
  <c r="J57"/>
  <c r="J86"/>
  <c r="J73"/>
  <c r="J148"/>
  <c r="J26"/>
  <c r="J27"/>
  <c r="J142"/>
  <c r="J56"/>
  <c r="J84"/>
  <c r="J45"/>
  <c r="J22"/>
  <c r="J103"/>
  <c r="J128"/>
  <c r="J141"/>
  <c r="J122"/>
  <c r="J64"/>
  <c r="D16"/>
  <c r="D39"/>
  <c r="D83"/>
  <c r="D78"/>
  <c r="D15"/>
  <c r="D81"/>
  <c r="D93"/>
  <c r="D125"/>
  <c r="D122"/>
  <c r="F142"/>
  <c r="F75"/>
  <c r="F21"/>
  <c r="F90"/>
  <c r="F94"/>
  <c r="Y131"/>
  <c r="X71"/>
  <c r="X138"/>
  <c r="X13"/>
  <c r="X140"/>
  <c r="X73"/>
  <c r="X113"/>
  <c r="X124"/>
  <c r="X112"/>
  <c r="X30"/>
  <c r="X57"/>
  <c r="X98"/>
  <c r="X42"/>
  <c r="X127"/>
  <c r="X108"/>
  <c r="X74"/>
  <c r="X128"/>
  <c r="X16"/>
  <c r="X93"/>
  <c r="X139"/>
  <c r="X92"/>
  <c r="X85"/>
  <c r="X91"/>
  <c r="X23"/>
  <c r="X137"/>
  <c r="X114"/>
  <c r="X37"/>
  <c r="X45"/>
  <c r="X87"/>
  <c r="X64"/>
  <c r="X119"/>
  <c r="T64"/>
  <c r="T71"/>
  <c r="T33"/>
  <c r="T46"/>
  <c r="T50"/>
  <c r="T25"/>
  <c r="T66"/>
  <c r="T74"/>
  <c r="L27"/>
  <c r="L42"/>
  <c r="L142"/>
  <c r="L88"/>
  <c r="L105"/>
  <c r="L119"/>
  <c r="L24"/>
  <c r="L23"/>
  <c r="L63"/>
  <c r="L85"/>
  <c r="L102"/>
  <c r="L52"/>
  <c r="L15"/>
  <c r="L68"/>
  <c r="L54"/>
  <c r="L82"/>
  <c r="L99"/>
  <c r="L94"/>
  <c r="L12"/>
  <c r="L65"/>
  <c r="L91"/>
  <c r="L108"/>
  <c r="L122"/>
  <c r="L37"/>
  <c r="H15"/>
  <c r="H29"/>
  <c r="H140"/>
  <c r="H92"/>
  <c r="H47"/>
  <c r="H56"/>
  <c r="H61"/>
  <c r="H117"/>
  <c r="H27"/>
  <c r="H141"/>
  <c r="H58"/>
  <c r="H119"/>
  <c r="H128"/>
  <c r="H103"/>
  <c r="H104"/>
  <c r="H41"/>
  <c r="H25"/>
  <c r="H66"/>
  <c r="H84"/>
  <c r="H94"/>
  <c r="H48"/>
  <c r="H49"/>
  <c r="H32"/>
  <c r="H28"/>
  <c r="H115"/>
  <c r="H73"/>
  <c r="H88"/>
  <c r="H43"/>
  <c r="H52"/>
  <c r="H53"/>
  <c r="H118"/>
  <c r="H37"/>
  <c r="T22"/>
  <c r="T72"/>
  <c r="T52"/>
  <c r="T78"/>
  <c r="T75"/>
  <c r="T101"/>
  <c r="T60"/>
  <c r="T95"/>
  <c r="T141"/>
  <c r="T105"/>
  <c r="T13"/>
  <c r="T15"/>
  <c r="T138"/>
  <c r="T79"/>
  <c r="T21"/>
  <c r="T102"/>
  <c r="T23"/>
  <c r="T96"/>
  <c r="T34"/>
  <c r="T106"/>
  <c r="T28"/>
  <c r="T143"/>
  <c r="T61"/>
  <c r="T129"/>
  <c r="T47"/>
  <c r="T27"/>
  <c r="T91"/>
  <c r="T12"/>
  <c r="T51"/>
  <c r="P76"/>
  <c r="P41"/>
  <c r="P68"/>
  <c r="P64"/>
  <c r="P125"/>
  <c r="P98"/>
  <c r="P101"/>
  <c r="P96"/>
  <c r="P29"/>
  <c r="P16"/>
  <c r="P139"/>
  <c r="P90"/>
  <c r="P43"/>
  <c r="P46"/>
  <c r="P94"/>
  <c r="P145"/>
  <c r="P42"/>
  <c r="P65"/>
  <c r="P70"/>
  <c r="P78"/>
  <c r="P85"/>
  <c r="P88"/>
  <c r="P83"/>
  <c r="P31"/>
  <c r="P32"/>
  <c r="P137"/>
  <c r="P61"/>
  <c r="P103"/>
  <c r="P110"/>
  <c r="P113"/>
  <c r="P108"/>
  <c r="AF135" i="9"/>
  <c r="J146"/>
  <c r="J152"/>
  <c r="I5" i="27"/>
  <c r="F124" i="25"/>
  <c r="F89"/>
  <c r="F95"/>
  <c r="F100"/>
  <c r="F107"/>
  <c r="F116"/>
  <c r="F81"/>
  <c r="F59"/>
  <c r="F136"/>
  <c r="F31"/>
  <c r="F13"/>
  <c r="D107"/>
  <c r="D104"/>
  <c r="D35"/>
  <c r="D52"/>
  <c r="D72"/>
  <c r="D57"/>
  <c r="D140"/>
  <c r="D47"/>
  <c r="D109"/>
  <c r="D65"/>
  <c r="D120"/>
  <c r="D127"/>
  <c r="D33"/>
  <c r="X131" i="19"/>
  <c r="W135"/>
  <c r="T131"/>
  <c r="S135"/>
  <c r="R131"/>
  <c r="Q135"/>
  <c r="O146"/>
  <c r="P135"/>
  <c r="L131"/>
  <c r="K135"/>
  <c r="I146"/>
  <c r="J135"/>
  <c r="F36" i="25"/>
  <c r="X76"/>
  <c r="X102"/>
  <c r="X33"/>
  <c r="X24"/>
  <c r="X150"/>
  <c r="X49"/>
  <c r="X97"/>
  <c r="X106"/>
  <c r="X121"/>
  <c r="X118"/>
  <c r="X31"/>
  <c r="X70"/>
  <c r="X123"/>
  <c r="X52"/>
  <c r="X12"/>
  <c r="X50"/>
  <c r="X78"/>
  <c r="X133"/>
  <c r="X69"/>
  <c r="X51"/>
  <c r="X79"/>
  <c r="L13"/>
  <c r="L67"/>
  <c r="L141"/>
  <c r="L92"/>
  <c r="L113"/>
  <c r="L97"/>
  <c r="L57"/>
  <c r="L16"/>
  <c r="L145"/>
  <c r="L150"/>
  <c r="L137"/>
  <c r="L43"/>
  <c r="L114"/>
  <c r="L98"/>
  <c r="L59"/>
  <c r="L34"/>
  <c r="L93"/>
  <c r="L140"/>
  <c r="L64"/>
  <c r="L90"/>
  <c r="L111"/>
  <c r="L95"/>
  <c r="L53"/>
  <c r="L39"/>
  <c r="L22"/>
  <c r="L73"/>
  <c r="L45"/>
  <c r="L79"/>
  <c r="L100"/>
  <c r="L117"/>
  <c r="F32"/>
  <c r="F150"/>
  <c r="F69"/>
  <c r="F34"/>
  <c r="F44"/>
  <c r="F101"/>
  <c r="F84"/>
  <c r="F56"/>
  <c r="F55"/>
  <c r="F143"/>
  <c r="F24"/>
  <c r="F112"/>
  <c r="F77"/>
  <c r="D150"/>
  <c r="D102"/>
  <c r="D54"/>
  <c r="D21"/>
  <c r="D86"/>
  <c r="D42"/>
  <c r="AD72" i="29"/>
  <c r="AD136"/>
  <c r="X35" i="25"/>
  <c r="X142"/>
  <c r="X48"/>
  <c r="X84"/>
  <c r="X94"/>
  <c r="X111"/>
  <c r="X104"/>
  <c r="X41"/>
  <c r="X72"/>
  <c r="X61"/>
  <c r="X109"/>
  <c r="X81"/>
  <c r="X60"/>
  <c r="X28"/>
  <c r="X75"/>
  <c r="X53"/>
  <c r="X101"/>
  <c r="X110"/>
  <c r="X125"/>
  <c r="X117"/>
  <c r="X65"/>
  <c r="X46"/>
  <c r="X55"/>
  <c r="X90"/>
  <c r="X83"/>
  <c r="X22"/>
  <c r="X25"/>
  <c r="X56"/>
  <c r="X88"/>
  <c r="X43"/>
  <c r="X99"/>
  <c r="X126"/>
  <c r="X145"/>
  <c r="X146" s="1"/>
  <c r="X141"/>
  <c r="X44"/>
  <c r="X80"/>
  <c r="X89"/>
  <c r="X107"/>
  <c r="X100"/>
  <c r="U152" i="29"/>
  <c r="U152" i="25" s="1"/>
  <c r="V152" s="1"/>
  <c r="U146"/>
  <c r="T76"/>
  <c r="T65"/>
  <c r="T137"/>
  <c r="T53"/>
  <c r="T108"/>
  <c r="T54"/>
  <c r="T107"/>
  <c r="T133"/>
  <c r="T42"/>
  <c r="T139"/>
  <c r="T58"/>
  <c r="T89"/>
  <c r="T128"/>
  <c r="T88"/>
  <c r="T127"/>
  <c r="T115"/>
  <c r="T14"/>
  <c r="T150"/>
  <c r="T136"/>
  <c r="T83"/>
  <c r="T122"/>
  <c r="T82"/>
  <c r="T121"/>
  <c r="T41"/>
  <c r="T29"/>
  <c r="T148"/>
  <c r="T62"/>
  <c r="T43"/>
  <c r="T98"/>
  <c r="T92"/>
  <c r="T97"/>
  <c r="T87"/>
  <c r="T126"/>
  <c r="T86"/>
  <c r="T125"/>
  <c r="T26"/>
  <c r="T16"/>
  <c r="T68"/>
  <c r="T55"/>
  <c r="T110"/>
  <c r="T56"/>
  <c r="T109"/>
  <c r="T36"/>
  <c r="T31"/>
  <c r="T140"/>
  <c r="T67"/>
  <c r="T49"/>
  <c r="T104"/>
  <c r="T48"/>
  <c r="T103"/>
  <c r="T32"/>
  <c r="T39"/>
  <c r="T142"/>
  <c r="T59"/>
  <c r="T114"/>
  <c r="T77"/>
  <c r="T113"/>
  <c r="T45"/>
  <c r="T100"/>
  <c r="T44"/>
  <c r="T99"/>
  <c r="T145"/>
  <c r="T146" s="1"/>
  <c r="T93"/>
  <c r="T73"/>
  <c r="T63"/>
  <c r="T81"/>
  <c r="T120"/>
  <c r="T80"/>
  <c r="T119"/>
  <c r="T30"/>
  <c r="T35"/>
  <c r="T69"/>
  <c r="T57"/>
  <c r="T112"/>
  <c r="T116"/>
  <c r="T111"/>
  <c r="T118"/>
  <c r="T24"/>
  <c r="T37"/>
  <c r="T70"/>
  <c r="T94"/>
  <c r="T85"/>
  <c r="T124"/>
  <c r="T84"/>
  <c r="Q152" i="29"/>
  <c r="AD15"/>
  <c r="AD21"/>
  <c r="J115" i="25"/>
  <c r="J129"/>
  <c r="J82"/>
  <c r="J124"/>
  <c r="J43"/>
  <c r="J46"/>
  <c r="J100"/>
  <c r="J58"/>
  <c r="J32"/>
  <c r="J139"/>
  <c r="J94"/>
  <c r="J81"/>
  <c r="J123"/>
  <c r="J91"/>
  <c r="J62"/>
  <c r="J12"/>
  <c r="J125"/>
  <c r="J52"/>
  <c r="J66"/>
  <c r="J101"/>
  <c r="J59"/>
  <c r="J51"/>
  <c r="J24"/>
  <c r="J145"/>
  <c r="J146" s="1"/>
  <c r="J121"/>
  <c r="J44"/>
  <c r="J48"/>
  <c r="J97"/>
  <c r="J55"/>
  <c r="I152" i="29"/>
  <c r="I146" i="25"/>
  <c r="AD41" i="29"/>
  <c r="AD35"/>
  <c r="F28" i="25"/>
  <c r="F86"/>
  <c r="F33"/>
  <c r="F91"/>
  <c r="F118"/>
  <c r="F139"/>
  <c r="F42"/>
  <c r="F72"/>
  <c r="F27"/>
  <c r="F138"/>
  <c r="F41"/>
  <c r="F103"/>
  <c r="F111"/>
  <c r="F87"/>
  <c r="F43"/>
  <c r="F22"/>
  <c r="F23"/>
  <c r="F29"/>
  <c r="F119"/>
  <c r="F97"/>
  <c r="F61"/>
  <c r="F93"/>
  <c r="F85"/>
  <c r="F54"/>
  <c r="F45"/>
  <c r="F35"/>
  <c r="F79"/>
  <c r="F48"/>
  <c r="F51"/>
  <c r="F70"/>
  <c r="F126"/>
  <c r="F16"/>
  <c r="F65"/>
  <c r="F120"/>
  <c r="F88"/>
  <c r="F25"/>
  <c r="F52"/>
  <c r="F148"/>
  <c r="F109"/>
  <c r="F129"/>
  <c r="F62"/>
  <c r="F53"/>
  <c r="F121"/>
  <c r="F78"/>
  <c r="F12"/>
  <c r="F117"/>
  <c r="F68"/>
  <c r="F71"/>
  <c r="F15"/>
  <c r="F140"/>
  <c r="F125"/>
  <c r="F98"/>
  <c r="F14"/>
  <c r="F39"/>
  <c r="F137"/>
  <c r="F76"/>
  <c r="F128"/>
  <c r="F58"/>
  <c r="F82"/>
  <c r="F47"/>
  <c r="F105"/>
  <c r="F96"/>
  <c r="F108"/>
  <c r="F74"/>
  <c r="F145"/>
  <c r="F73"/>
  <c r="F92"/>
  <c r="F127"/>
  <c r="F110"/>
  <c r="F80"/>
  <c r="F57"/>
  <c r="F26"/>
  <c r="F67"/>
  <c r="F106"/>
  <c r="F122"/>
  <c r="F64"/>
  <c r="F123"/>
  <c r="F83"/>
  <c r="D27"/>
  <c r="D66"/>
  <c r="D99"/>
  <c r="D128"/>
  <c r="D133"/>
  <c r="D148"/>
  <c r="D80"/>
  <c r="D112"/>
  <c r="D41"/>
  <c r="D44"/>
  <c r="D110"/>
  <c r="D141"/>
  <c r="D46"/>
  <c r="D91"/>
  <c r="D34"/>
  <c r="D60"/>
  <c r="D89"/>
  <c r="D28"/>
  <c r="D62"/>
  <c r="D119"/>
  <c r="D53"/>
  <c r="D40"/>
  <c r="D71"/>
  <c r="D94"/>
  <c r="D77"/>
  <c r="D25"/>
  <c r="D67"/>
  <c r="D101"/>
  <c r="D96"/>
  <c r="AD93" i="29"/>
  <c r="AD70"/>
  <c r="AD144"/>
  <c r="AC37" i="19"/>
  <c r="AD37" s="1"/>
  <c r="AB37"/>
  <c r="N146"/>
  <c r="M152"/>
  <c r="M146" i="25"/>
  <c r="H135" i="19"/>
  <c r="G146"/>
  <c r="E37" i="25"/>
  <c r="AE37" i="19"/>
  <c r="AF37" s="1"/>
  <c r="E131"/>
  <c r="F37"/>
  <c r="Y146"/>
  <c r="Z135"/>
  <c r="AA135"/>
  <c r="AB131"/>
  <c r="AC131"/>
  <c r="AD131" s="1"/>
  <c r="C152"/>
  <c r="D146"/>
  <c r="AB22" i="9"/>
  <c r="AB133"/>
  <c r="AE146"/>
  <c r="AB59"/>
  <c r="AC145"/>
  <c r="AD142" s="1"/>
  <c r="AB88"/>
  <c r="AB79"/>
  <c r="AB39"/>
  <c r="R146" i="25"/>
  <c r="R115"/>
  <c r="AB121" i="9"/>
  <c r="AB117"/>
  <c r="AB41"/>
  <c r="AB123"/>
  <c r="AB35"/>
  <c r="AB135"/>
  <c r="AB82"/>
  <c r="AB34"/>
  <c r="AB26"/>
  <c r="AB33"/>
  <c r="AB28"/>
  <c r="AB37"/>
  <c r="AB84"/>
  <c r="AB148"/>
  <c r="AB90"/>
  <c r="AB69"/>
  <c r="AF145"/>
  <c r="L146" i="25"/>
  <c r="AB122" i="9"/>
  <c r="AB77"/>
  <c r="AB14"/>
  <c r="AB124"/>
  <c r="AB27"/>
  <c r="AB87"/>
  <c r="AB47"/>
  <c r="AB65"/>
  <c r="AB13"/>
  <c r="AB86"/>
  <c r="AB23"/>
  <c r="AB74"/>
  <c r="AB66"/>
  <c r="AB68"/>
  <c r="AB61"/>
  <c r="AB138"/>
  <c r="AB49"/>
  <c r="AB119"/>
  <c r="AB36"/>
  <c r="AB145"/>
  <c r="AB128"/>
  <c r="AB24"/>
  <c r="AB142"/>
  <c r="AB75"/>
  <c r="H146" i="25"/>
  <c r="AF16"/>
  <c r="AA37"/>
  <c r="AA131" s="1"/>
  <c r="AC16"/>
  <c r="AC36"/>
  <c r="AF36"/>
  <c r="X148" i="29"/>
  <c r="X145"/>
  <c r="X142"/>
  <c r="X133"/>
  <c r="X128"/>
  <c r="X126"/>
  <c r="X124"/>
  <c r="X122"/>
  <c r="X120"/>
  <c r="X117"/>
  <c r="X139"/>
  <c r="X137"/>
  <c r="X143"/>
  <c r="X127"/>
  <c r="X125"/>
  <c r="X123"/>
  <c r="X121"/>
  <c r="X119"/>
  <c r="X118"/>
  <c r="X138"/>
  <c r="X136"/>
  <c r="X92"/>
  <c r="X89"/>
  <c r="X87"/>
  <c r="X93"/>
  <c r="X88"/>
  <c r="X84"/>
  <c r="X82"/>
  <c r="X80"/>
  <c r="X78"/>
  <c r="X75"/>
  <c r="X73"/>
  <c r="X68"/>
  <c r="X90"/>
  <c r="X39"/>
  <c r="X85"/>
  <c r="X83"/>
  <c r="X81"/>
  <c r="X79"/>
  <c r="X77"/>
  <c r="X71"/>
  <c r="X67"/>
  <c r="X86"/>
  <c r="X33"/>
  <c r="X31"/>
  <c r="X29"/>
  <c r="X27"/>
  <c r="X25"/>
  <c r="X23"/>
  <c r="X66"/>
  <c r="X60"/>
  <c r="X56"/>
  <c r="X50"/>
  <c r="X46"/>
  <c r="X34"/>
  <c r="X26"/>
  <c r="X61"/>
  <c r="X57"/>
  <c r="X51"/>
  <c r="X47"/>
  <c r="X35"/>
  <c r="X28"/>
  <c r="X13"/>
  <c r="X62"/>
  <c r="X58"/>
  <c r="X48"/>
  <c r="X30"/>
  <c r="X22"/>
  <c r="X14"/>
  <c r="X146" s="1"/>
  <c r="X65"/>
  <c r="X59"/>
  <c r="X55"/>
  <c r="X49"/>
  <c r="X45"/>
  <c r="X42"/>
  <c r="X32"/>
  <c r="X24"/>
  <c r="X21"/>
  <c r="X72"/>
  <c r="X129"/>
  <c r="X70"/>
  <c r="X144"/>
  <c r="X15"/>
  <c r="X12"/>
  <c r="X36"/>
  <c r="X41"/>
  <c r="N152"/>
  <c r="AA146"/>
  <c r="AA131"/>
  <c r="AC37"/>
  <c r="AD37" s="1"/>
  <c r="AB37"/>
  <c r="F131"/>
  <c r="E135"/>
  <c r="F135" s="1"/>
  <c r="V152"/>
  <c r="W146"/>
  <c r="W131"/>
  <c r="W131" i="25" s="1"/>
  <c r="X131" s="1"/>
  <c r="X37" i="29"/>
  <c r="AD145"/>
  <c r="AD146" s="1"/>
  <c r="AD139"/>
  <c r="AD137"/>
  <c r="AD86"/>
  <c r="AD91"/>
  <c r="AD90"/>
  <c r="AD87"/>
  <c r="AD32"/>
  <c r="AD29"/>
  <c r="AD24"/>
  <c r="AD34"/>
  <c r="AD31"/>
  <c r="AD26"/>
  <c r="AD23"/>
  <c r="AD39"/>
  <c r="AD46"/>
  <c r="AD30"/>
  <c r="AD61"/>
  <c r="AD84"/>
  <c r="AD75"/>
  <c r="AD82"/>
  <c r="AD59"/>
  <c r="AD74"/>
  <c r="AD83"/>
  <c r="AD69"/>
  <c r="AD92"/>
  <c r="AD119"/>
  <c r="AD123"/>
  <c r="AD117"/>
  <c r="AD125"/>
  <c r="AD13"/>
  <c r="AD33"/>
  <c r="AD22"/>
  <c r="AD50"/>
  <c r="AD56"/>
  <c r="AD79"/>
  <c r="AD77"/>
  <c r="AD42"/>
  <c r="AD55"/>
  <c r="AD71"/>
  <c r="AD80"/>
  <c r="AD62"/>
  <c r="AD81"/>
  <c r="AD120"/>
  <c r="AD148"/>
  <c r="AD138"/>
  <c r="AD133"/>
  <c r="AD25"/>
  <c r="AD60"/>
  <c r="AD47"/>
  <c r="AD28"/>
  <c r="AD89"/>
  <c r="AD49"/>
  <c r="AD68"/>
  <c r="AD58"/>
  <c r="AD73"/>
  <c r="AD78"/>
  <c r="AD127"/>
  <c r="AD126"/>
  <c r="AD51"/>
  <c r="AD57"/>
  <c r="AD27"/>
  <c r="AD66"/>
  <c r="AD67"/>
  <c r="AD88"/>
  <c r="AD85"/>
  <c r="AD45"/>
  <c r="AD65"/>
  <c r="AD48"/>
  <c r="AD124"/>
  <c r="AD142"/>
  <c r="AD122"/>
  <c r="AD128"/>
  <c r="AD121"/>
  <c r="AE145"/>
  <c r="AF145" s="1"/>
  <c r="Z146"/>
  <c r="AD76"/>
  <c r="S146"/>
  <c r="S131"/>
  <c r="S131" i="25" s="1"/>
  <c r="T131" s="1"/>
  <c r="T37" i="29"/>
  <c r="N131"/>
  <c r="M135"/>
  <c r="J152"/>
  <c r="V131"/>
  <c r="U135"/>
  <c r="R152"/>
  <c r="X16"/>
  <c r="AD36"/>
  <c r="J131"/>
  <c r="I135"/>
  <c r="Z152"/>
  <c r="O146"/>
  <c r="O131"/>
  <c r="O131" i="25" s="1"/>
  <c r="P131" s="1"/>
  <c r="P37" i="29"/>
  <c r="K146"/>
  <c r="K131"/>
  <c r="K131" i="25" s="1"/>
  <c r="L131" s="1"/>
  <c r="L37" i="29"/>
  <c r="R131"/>
  <c r="Q135"/>
  <c r="G146"/>
  <c r="G152" s="1"/>
  <c r="G131"/>
  <c r="G131" i="25" s="1"/>
  <c r="H131" s="1"/>
  <c r="H37" i="29"/>
  <c r="X76"/>
  <c r="C146"/>
  <c r="C146" i="25" s="1"/>
  <c r="C131" i="29"/>
  <c r="C131" i="25" s="1"/>
  <c r="D131" s="1"/>
  <c r="AE37" i="29"/>
  <c r="AF37" s="1"/>
  <c r="D37"/>
  <c r="Z131"/>
  <c r="Y135"/>
  <c r="Z135" s="1"/>
  <c r="T146"/>
  <c r="J146"/>
  <c r="AB146"/>
  <c r="Z71" i="25"/>
  <c r="AB45" i="9"/>
  <c r="AB126"/>
  <c r="AB92"/>
  <c r="AB93"/>
  <c r="AB143"/>
  <c r="AB62"/>
  <c r="AB15"/>
  <c r="AB56"/>
  <c r="AB60"/>
  <c r="AB73"/>
  <c r="AB140"/>
  <c r="Z25" i="25"/>
  <c r="Z126"/>
  <c r="V146"/>
  <c r="AB125" i="9"/>
  <c r="AB129"/>
  <c r="AB85"/>
  <c r="AB67"/>
  <c r="AB31"/>
  <c r="AB137"/>
  <c r="AB46"/>
  <c r="AB131"/>
  <c r="AB55"/>
  <c r="AA146"/>
  <c r="AC146" s="1"/>
  <c r="AB81"/>
  <c r="AB50"/>
  <c r="AB16"/>
  <c r="AC76" i="25"/>
  <c r="AB48" i="9"/>
  <c r="AB89"/>
  <c r="AB80"/>
  <c r="AB58"/>
  <c r="AB127"/>
  <c r="AB51"/>
  <c r="AB57"/>
  <c r="AB29"/>
  <c r="AB21"/>
  <c r="AB91"/>
  <c r="AB78"/>
  <c r="AB120"/>
  <c r="AB76"/>
  <c r="AB25"/>
  <c r="AB32"/>
  <c r="AB83"/>
  <c r="AB42"/>
  <c r="AB12"/>
  <c r="AB136"/>
  <c r="AB30"/>
  <c r="AB139"/>
  <c r="AB141"/>
  <c r="AB70"/>
  <c r="AB72"/>
  <c r="Z55" i="25"/>
  <c r="Z89"/>
  <c r="W153" i="9"/>
  <c r="N146" i="25"/>
  <c r="Z122"/>
  <c r="Z105"/>
  <c r="Z111"/>
  <c r="Z103"/>
  <c r="Z51"/>
  <c r="Z58"/>
  <c r="Z115"/>
  <c r="Z104"/>
  <c r="Z138"/>
  <c r="Z14"/>
  <c r="Z53"/>
  <c r="Z85"/>
  <c r="Z12"/>
  <c r="Z109"/>
  <c r="Z110"/>
  <c r="Z26"/>
  <c r="Z59"/>
  <c r="Z99"/>
  <c r="Z92"/>
  <c r="Z125"/>
  <c r="Z142"/>
  <c r="Z16"/>
  <c r="Z95"/>
  <c r="Z32"/>
  <c r="Z91"/>
  <c r="Z41"/>
  <c r="Z108"/>
  <c r="Z62"/>
  <c r="Z34"/>
  <c r="Z75"/>
  <c r="Z127"/>
  <c r="Z29"/>
  <c r="Z78"/>
  <c r="Z79"/>
  <c r="Z106"/>
  <c r="Z131"/>
  <c r="Z37"/>
  <c r="Z65"/>
  <c r="Z82"/>
  <c r="Z80"/>
  <c r="Z133"/>
  <c r="Z46"/>
  <c r="Z139"/>
  <c r="Z97"/>
  <c r="Z31"/>
  <c r="Z45"/>
  <c r="Z83"/>
  <c r="Z74"/>
  <c r="Z23"/>
  <c r="Z145"/>
  <c r="Z100"/>
  <c r="Z48"/>
  <c r="Z84"/>
  <c r="Z39"/>
  <c r="Z102"/>
  <c r="Z148"/>
  <c r="Z119"/>
  <c r="Z33"/>
  <c r="Z52"/>
  <c r="Z54"/>
  <c r="Z44"/>
  <c r="Z118"/>
  <c r="Z120"/>
  <c r="AE145"/>
  <c r="Z24"/>
  <c r="Z35"/>
  <c r="Z81"/>
  <c r="Z47"/>
  <c r="Z114"/>
  <c r="Z88"/>
  <c r="Z22"/>
  <c r="Z143"/>
  <c r="Z116"/>
  <c r="Z67"/>
  <c r="Z56"/>
  <c r="Z64"/>
  <c r="Z27"/>
  <c r="Z107"/>
  <c r="Z140"/>
  <c r="Z121"/>
  <c r="Z57"/>
  <c r="Z43"/>
  <c r="Z36"/>
  <c r="Z128"/>
  <c r="Z87"/>
  <c r="Z124"/>
  <c r="Z113"/>
  <c r="Z144"/>
  <c r="Z13"/>
  <c r="Z30"/>
  <c r="Z86"/>
  <c r="Z50"/>
  <c r="Z61"/>
  <c r="Z68"/>
  <c r="Z137"/>
  <c r="Z72"/>
  <c r="Z21"/>
  <c r="Z28"/>
  <c r="Z150"/>
  <c r="Z117"/>
  <c r="Z77"/>
  <c r="Z73"/>
  <c r="Z123"/>
  <c r="Z49"/>
  <c r="Z76"/>
  <c r="Z15"/>
  <c r="Z66"/>
  <c r="Z96"/>
  <c r="Z60"/>
  <c r="Z98"/>
  <c r="Z101"/>
  <c r="Z69"/>
  <c r="Z93"/>
  <c r="Z90"/>
  <c r="Z63"/>
  <c r="Z70"/>
  <c r="Z94"/>
  <c r="Z141"/>
  <c r="Z136"/>
  <c r="Z42"/>
  <c r="Z146" i="9"/>
  <c r="Y152"/>
  <c r="X152"/>
  <c r="W5" i="27"/>
  <c r="AA145" i="25"/>
  <c r="AF144"/>
  <c r="P146" l="1"/>
  <c r="L115"/>
  <c r="X135" i="19"/>
  <c r="W146"/>
  <c r="W146" i="25" s="1"/>
  <c r="S146" i="19"/>
  <c r="S146" i="25" s="1"/>
  <c r="T135" i="19"/>
  <c r="Q146"/>
  <c r="R135"/>
  <c r="O152"/>
  <c r="P146"/>
  <c r="K146"/>
  <c r="K146" i="25" s="1"/>
  <c r="L135" i="19"/>
  <c r="I152"/>
  <c r="I152" i="25" s="1"/>
  <c r="J152" s="1"/>
  <c r="J146" i="19"/>
  <c r="X115" i="25"/>
  <c r="AD131" i="9"/>
  <c r="Y135" i="25"/>
  <c r="Z135" s="1"/>
  <c r="W152" i="29"/>
  <c r="V135"/>
  <c r="U135" i="25"/>
  <c r="V135" s="1"/>
  <c r="S152" i="29"/>
  <c r="R135"/>
  <c r="Q135" i="25"/>
  <c r="R135" s="1"/>
  <c r="O152" i="29"/>
  <c r="O146" i="25"/>
  <c r="N135" i="29"/>
  <c r="M135" i="25"/>
  <c r="N135" s="1"/>
  <c r="K152" i="29"/>
  <c r="J135"/>
  <c r="I135" i="25"/>
  <c r="J135" s="1"/>
  <c r="F146"/>
  <c r="F115"/>
  <c r="N152" i="19"/>
  <c r="M152" i="25"/>
  <c r="N152" s="1"/>
  <c r="M13" i="27"/>
  <c r="H146" i="19"/>
  <c r="G152"/>
  <c r="G146" i="25"/>
  <c r="AE37"/>
  <c r="AF37" s="1"/>
  <c r="F37"/>
  <c r="E131"/>
  <c r="F131" i="19"/>
  <c r="E135"/>
  <c r="AE131"/>
  <c r="AF131" s="1"/>
  <c r="Z146"/>
  <c r="Y152"/>
  <c r="Y146" i="25"/>
  <c r="C13" i="27"/>
  <c r="C154" i="19"/>
  <c r="D152"/>
  <c r="AC135"/>
  <c r="AD135" s="1"/>
  <c r="AA146"/>
  <c r="AB135"/>
  <c r="AD135" i="9"/>
  <c r="AD16"/>
  <c r="AD47"/>
  <c r="AD126"/>
  <c r="AD31"/>
  <c r="AD124"/>
  <c r="AD57"/>
  <c r="AD78"/>
  <c r="AD13"/>
  <c r="AD42"/>
  <c r="AD74"/>
  <c r="AD83"/>
  <c r="AD22"/>
  <c r="AD28"/>
  <c r="AD15"/>
  <c r="AD25"/>
  <c r="AD77"/>
  <c r="AD46"/>
  <c r="AD122"/>
  <c r="AD125"/>
  <c r="AD70"/>
  <c r="AD127"/>
  <c r="AD30"/>
  <c r="AD24"/>
  <c r="AD138"/>
  <c r="AD89"/>
  <c r="AD137"/>
  <c r="AD129"/>
  <c r="AD139"/>
  <c r="AD59"/>
  <c r="AD143"/>
  <c r="AD50"/>
  <c r="AD32"/>
  <c r="AD71"/>
  <c r="AD82"/>
  <c r="AD66"/>
  <c r="AD60"/>
  <c r="AD67"/>
  <c r="AD68"/>
  <c r="AD35"/>
  <c r="AD21"/>
  <c r="AD145"/>
  <c r="AD34"/>
  <c r="AD12"/>
  <c r="AD45"/>
  <c r="AD144"/>
  <c r="AD65"/>
  <c r="AD49"/>
  <c r="AD128"/>
  <c r="AD76"/>
  <c r="AD121"/>
  <c r="AD23"/>
  <c r="AD14"/>
  <c r="AD80"/>
  <c r="AD41"/>
  <c r="AD36"/>
  <c r="AD87"/>
  <c r="AD91"/>
  <c r="AD62"/>
  <c r="AD26"/>
  <c r="AD133"/>
  <c r="AD55"/>
  <c r="AD84"/>
  <c r="AD85"/>
  <c r="AD123"/>
  <c r="AD86"/>
  <c r="AD92"/>
  <c r="AD48"/>
  <c r="AD79"/>
  <c r="AD56"/>
  <c r="AD61"/>
  <c r="AD136"/>
  <c r="AD117"/>
  <c r="AD81"/>
  <c r="AD93"/>
  <c r="AD39"/>
  <c r="AD33"/>
  <c r="AD69"/>
  <c r="AD90"/>
  <c r="AD120"/>
  <c r="AD119"/>
  <c r="AD73"/>
  <c r="AD58"/>
  <c r="AD148"/>
  <c r="AD75"/>
  <c r="AD88"/>
  <c r="AD27"/>
  <c r="AD29"/>
  <c r="AD37"/>
  <c r="AD51"/>
  <c r="AD72"/>
  <c r="AF146"/>
  <c r="AB146"/>
  <c r="AC131" i="25"/>
  <c r="AC37"/>
  <c r="AA135"/>
  <c r="AE131" i="29"/>
  <c r="AF131" s="1"/>
  <c r="D131"/>
  <c r="C135"/>
  <c r="C135" i="25" s="1"/>
  <c r="D135" s="1"/>
  <c r="H131" i="29"/>
  <c r="G135"/>
  <c r="P131"/>
  <c r="O135"/>
  <c r="AC146"/>
  <c r="T152"/>
  <c r="X152"/>
  <c r="AB131"/>
  <c r="AA135"/>
  <c r="AC131"/>
  <c r="AD131" s="1"/>
  <c r="L152"/>
  <c r="T131"/>
  <c r="S135"/>
  <c r="X131"/>
  <c r="W135"/>
  <c r="AE146"/>
  <c r="AF146" s="1"/>
  <c r="C152"/>
  <c r="C152" i="25" s="1"/>
  <c r="H152" i="29"/>
  <c r="L131"/>
  <c r="K135"/>
  <c r="P152"/>
  <c r="Y153" i="9"/>
  <c r="AA152"/>
  <c r="AB152" s="1"/>
  <c r="Z146" i="25"/>
  <c r="AE152" i="9"/>
  <c r="Z152"/>
  <c r="Y5" i="27"/>
  <c r="AA5" s="1"/>
  <c r="AB112" i="25"/>
  <c r="AB150"/>
  <c r="AB121"/>
  <c r="AB95"/>
  <c r="AB84"/>
  <c r="AB51"/>
  <c r="AB63"/>
  <c r="AB76"/>
  <c r="AB15"/>
  <c r="AB138"/>
  <c r="AB97"/>
  <c r="AB102"/>
  <c r="AB86"/>
  <c r="AB75"/>
  <c r="AB54"/>
  <c r="AB12"/>
  <c r="AB14"/>
  <c r="AB139"/>
  <c r="AB128"/>
  <c r="AB111"/>
  <c r="AB78"/>
  <c r="AB67"/>
  <c r="AB46"/>
  <c r="AB29"/>
  <c r="AB34"/>
  <c r="AB143"/>
  <c r="AB104"/>
  <c r="AB105"/>
  <c r="AB88"/>
  <c r="AB58"/>
  <c r="AB70"/>
  <c r="AB41"/>
  <c r="AB36"/>
  <c r="AF145"/>
  <c r="AB126"/>
  <c r="AB114"/>
  <c r="AB82"/>
  <c r="AB52"/>
  <c r="AB56"/>
  <c r="AB25"/>
  <c r="AB21"/>
  <c r="AB118"/>
  <c r="AB122"/>
  <c r="AB108"/>
  <c r="AB89"/>
  <c r="AB43"/>
  <c r="AB55"/>
  <c r="AB42"/>
  <c r="AB115"/>
  <c r="AB119"/>
  <c r="AB127"/>
  <c r="AB96"/>
  <c r="AB81"/>
  <c r="AB68"/>
  <c r="AB47"/>
  <c r="AB23"/>
  <c r="AB93"/>
  <c r="AB148"/>
  <c r="AB120"/>
  <c r="AB103"/>
  <c r="AB87"/>
  <c r="AB59"/>
  <c r="AB71"/>
  <c r="AB26"/>
  <c r="AB33"/>
  <c r="AB142"/>
  <c r="AB107"/>
  <c r="AB85"/>
  <c r="AB77"/>
  <c r="AB65"/>
  <c r="AB61"/>
  <c r="AC145"/>
  <c r="AB35"/>
  <c r="AB117"/>
  <c r="AB113"/>
  <c r="AB91"/>
  <c r="AB44"/>
  <c r="AB48"/>
  <c r="AB28"/>
  <c r="AB16"/>
  <c r="AB27"/>
  <c r="AB123"/>
  <c r="AB106"/>
  <c r="AB83"/>
  <c r="AB72"/>
  <c r="AB73"/>
  <c r="AB57"/>
  <c r="AB13"/>
  <c r="AB131"/>
  <c r="AB125"/>
  <c r="AB101"/>
  <c r="AB90"/>
  <c r="AB60"/>
  <c r="AB64"/>
  <c r="AB39"/>
  <c r="AB145"/>
  <c r="AA146"/>
  <c r="AB137"/>
  <c r="AB109"/>
  <c r="AB110"/>
  <c r="AB92"/>
  <c r="AB50"/>
  <c r="AB62"/>
  <c r="AB133"/>
  <c r="AB22"/>
  <c r="AB141"/>
  <c r="AB99"/>
  <c r="AB79"/>
  <c r="AB136"/>
  <c r="AB49"/>
  <c r="AB53"/>
  <c r="AB24"/>
  <c r="AB129"/>
  <c r="AB140"/>
  <c r="AB100"/>
  <c r="AB116"/>
  <c r="AB66"/>
  <c r="AB45"/>
  <c r="AB31"/>
  <c r="AB30"/>
  <c r="AB124"/>
  <c r="AB98"/>
  <c r="AB80"/>
  <c r="AB94"/>
  <c r="AB74"/>
  <c r="AB69"/>
  <c r="AB32"/>
  <c r="AB37"/>
  <c r="O152" l="1"/>
  <c r="P152" s="1"/>
  <c r="W152" i="19"/>
  <c r="X146"/>
  <c r="T146"/>
  <c r="S152"/>
  <c r="R146"/>
  <c r="Q152"/>
  <c r="Q146" i="25"/>
  <c r="P152" i="19"/>
  <c r="O13" i="27"/>
  <c r="O157" i="19"/>
  <c r="K152"/>
  <c r="K152" i="25" s="1"/>
  <c r="L152" s="1"/>
  <c r="L146" i="19"/>
  <c r="J152"/>
  <c r="I13" i="27"/>
  <c r="X135" i="29"/>
  <c r="W135" i="25"/>
  <c r="X135" s="1"/>
  <c r="T135" i="29"/>
  <c r="S135" i="25"/>
  <c r="T135" s="1"/>
  <c r="P135" i="29"/>
  <c r="O135" i="25"/>
  <c r="P135" s="1"/>
  <c r="L135" i="29"/>
  <c r="K135" i="25"/>
  <c r="L135" s="1"/>
  <c r="H135" i="29"/>
  <c r="G135" i="25"/>
  <c r="H135" s="1"/>
  <c r="H152" i="19"/>
  <c r="G152" i="25"/>
  <c r="H152" s="1"/>
  <c r="G13" i="27"/>
  <c r="F131" i="25"/>
  <c r="AE131"/>
  <c r="AF131" s="1"/>
  <c r="E146" i="19"/>
  <c r="AE135"/>
  <c r="AF135" s="1"/>
  <c r="F135"/>
  <c r="E135" i="25"/>
  <c r="Y13" i="27"/>
  <c r="Z152" i="19"/>
  <c r="Y152" i="25"/>
  <c r="Z152" s="1"/>
  <c r="AC146" i="19"/>
  <c r="AD146" s="1"/>
  <c r="AB146"/>
  <c r="AA152"/>
  <c r="C153" i="25"/>
  <c r="D152"/>
  <c r="AD146" i="9"/>
  <c r="AB135" i="25"/>
  <c r="AC135"/>
  <c r="AD135" s="1"/>
  <c r="AB135" i="29"/>
  <c r="AC135"/>
  <c r="AD135" s="1"/>
  <c r="C153"/>
  <c r="E153" s="1"/>
  <c r="G153" s="1"/>
  <c r="I153" s="1"/>
  <c r="K153" s="1"/>
  <c r="M153" s="1"/>
  <c r="O153" s="1"/>
  <c r="Q153" s="1"/>
  <c r="S153" s="1"/>
  <c r="U153" s="1"/>
  <c r="W153" s="1"/>
  <c r="Y153" s="1"/>
  <c r="AE152"/>
  <c r="AA152"/>
  <c r="D152"/>
  <c r="D135"/>
  <c r="AE135"/>
  <c r="AF135" s="1"/>
  <c r="AF152" i="9"/>
  <c r="AC152"/>
  <c r="AD152" s="1"/>
  <c r="AA155"/>
  <c r="AA167" s="1"/>
  <c r="AC146" i="25"/>
  <c r="AD42"/>
  <c r="AD137"/>
  <c r="AD101"/>
  <c r="AD86"/>
  <c r="AD136"/>
  <c r="AD66"/>
  <c r="AD57"/>
  <c r="AD93"/>
  <c r="AD36"/>
  <c r="AD141"/>
  <c r="AD109"/>
  <c r="AD97"/>
  <c r="AD116"/>
  <c r="AD74"/>
  <c r="AD48"/>
  <c r="AD15"/>
  <c r="AD125"/>
  <c r="AD103"/>
  <c r="AD80"/>
  <c r="AD56"/>
  <c r="AD47"/>
  <c r="AD145"/>
  <c r="AD12"/>
  <c r="AD35"/>
  <c r="AD117"/>
  <c r="AD102"/>
  <c r="AD81"/>
  <c r="AD77"/>
  <c r="AD67"/>
  <c r="AD50"/>
  <c r="AD41"/>
  <c r="AD139"/>
  <c r="AD111"/>
  <c r="AD114"/>
  <c r="AD92"/>
  <c r="AD45"/>
  <c r="AD61"/>
  <c r="AD16"/>
  <c r="AD32"/>
  <c r="AD143"/>
  <c r="AD124"/>
  <c r="AD112"/>
  <c r="AD87"/>
  <c r="AD62"/>
  <c r="AD44"/>
  <c r="AD23"/>
  <c r="AD28"/>
  <c r="AD121"/>
  <c r="AD108"/>
  <c r="AD91"/>
  <c r="AD94"/>
  <c r="AD68"/>
  <c r="AD51"/>
  <c r="AD76"/>
  <c r="AD27"/>
  <c r="AD142"/>
  <c r="AD96"/>
  <c r="AD100"/>
  <c r="AD83"/>
  <c r="AD71"/>
  <c r="AD54"/>
  <c r="AD21"/>
  <c r="AD144"/>
  <c r="AD148"/>
  <c r="AD127"/>
  <c r="AD105"/>
  <c r="AD90"/>
  <c r="AD58"/>
  <c r="AD49"/>
  <c r="AD29"/>
  <c r="AD25"/>
  <c r="AD131"/>
  <c r="AD128"/>
  <c r="AD99"/>
  <c r="AD84"/>
  <c r="AD65"/>
  <c r="AD72"/>
  <c r="AD13"/>
  <c r="AD34"/>
  <c r="AD138"/>
  <c r="AD107"/>
  <c r="AD113"/>
  <c r="AD79"/>
  <c r="AD64"/>
  <c r="AD55"/>
  <c r="AD14"/>
  <c r="AD146" s="1"/>
  <c r="AD31"/>
  <c r="AD150"/>
  <c r="AD123"/>
  <c r="AD95"/>
  <c r="AD88"/>
  <c r="AD59"/>
  <c r="AD75"/>
  <c r="AD22"/>
  <c r="AD30"/>
  <c r="AD120"/>
  <c r="AD104"/>
  <c r="AD89"/>
  <c r="AD70"/>
  <c r="AD53"/>
  <c r="AD129"/>
  <c r="AD33"/>
  <c r="AD37"/>
  <c r="AD126"/>
  <c r="AD98"/>
  <c r="AD85"/>
  <c r="AD69"/>
  <c r="AD73"/>
  <c r="AD52"/>
  <c r="AD24"/>
  <c r="AD140"/>
  <c r="AD122"/>
  <c r="AD106"/>
  <c r="AD78"/>
  <c r="AD60"/>
  <c r="AD43"/>
  <c r="AD39"/>
  <c r="AD133"/>
  <c r="AD118"/>
  <c r="AD119"/>
  <c r="AD110"/>
  <c r="AD82"/>
  <c r="AD63"/>
  <c r="AD46"/>
  <c r="AD26"/>
  <c r="AB146"/>
  <c r="X152" i="19" l="1"/>
  <c r="W13" i="27"/>
  <c r="W152" i="25"/>
  <c r="X152" s="1"/>
  <c r="T152" i="19"/>
  <c r="S13" i="27"/>
  <c r="S152" i="25"/>
  <c r="T152" s="1"/>
  <c r="R152" i="19"/>
  <c r="Q13" i="27"/>
  <c r="Q152" i="25"/>
  <c r="R152" s="1"/>
  <c r="K13" i="27"/>
  <c r="L152" i="19"/>
  <c r="F135" i="25"/>
  <c r="AE135"/>
  <c r="AF135" s="1"/>
  <c r="E152" i="19"/>
  <c r="F146"/>
  <c r="AE146"/>
  <c r="AF146" s="1"/>
  <c r="E146" i="25"/>
  <c r="AE146" s="1"/>
  <c r="AF146" s="1"/>
  <c r="AC152" i="19"/>
  <c r="AD152" s="1"/>
  <c r="AB152"/>
  <c r="AA154" i="25"/>
  <c r="AA155" i="29"/>
  <c r="AC152"/>
  <c r="AD152" s="1"/>
  <c r="AF152"/>
  <c r="AB152"/>
  <c r="AC155" i="9"/>
  <c r="AD115" i="25"/>
  <c r="E13" i="27" l="1"/>
  <c r="AA13" s="1"/>
  <c r="E152" i="25"/>
  <c r="F152" i="19"/>
  <c r="AE152"/>
  <c r="AF152" s="1"/>
  <c r="E154"/>
  <c r="G154" s="1"/>
  <c r="I154" s="1"/>
  <c r="K154" s="1"/>
  <c r="M154" s="1"/>
  <c r="O154" s="1"/>
  <c r="Q154" s="1"/>
  <c r="S154" s="1"/>
  <c r="U154" s="1"/>
  <c r="W154" s="1"/>
  <c r="Y154" s="1"/>
  <c r="F152" i="25" l="1"/>
  <c r="AE152"/>
  <c r="AA152"/>
  <c r="E153"/>
  <c r="G153" s="1"/>
  <c r="I153" s="1"/>
  <c r="K153" s="1"/>
  <c r="M153" s="1"/>
  <c r="O153" s="1"/>
  <c r="Q153" s="1"/>
  <c r="S153" s="1"/>
  <c r="U153" s="1"/>
  <c r="W153" s="1"/>
  <c r="Y153" s="1"/>
  <c r="AC152" l="1"/>
  <c r="AD152" s="1"/>
  <c r="AF152"/>
  <c r="AB152"/>
</calcChain>
</file>

<file path=xl/comments1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sz val="9"/>
            <color indexed="81"/>
            <rFont val="Tahoma"/>
            <family val="2"/>
          </rPr>
          <t xml:space="preserve">1) Total 6 Numbers.
</t>
        </r>
      </text>
    </comment>
  </commentList>
</comments>
</file>

<file path=xl/comments2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sz val="9"/>
            <color indexed="81"/>
            <rFont val="Tahoma"/>
            <family val="2"/>
          </rPr>
          <t xml:space="preserve">1) Total 6 Numbers.
</t>
        </r>
      </text>
    </comment>
  </commentList>
</comments>
</file>

<file path=xl/comments3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sz val="9"/>
            <color indexed="81"/>
            <rFont val="Tahoma"/>
            <family val="2"/>
          </rPr>
          <t xml:space="preserve">1) Total 6 Numbers.
</t>
        </r>
      </text>
    </comment>
  </commentList>
</comments>
</file>

<file path=xl/comments4.xml><?xml version="1.0" encoding="utf-8"?>
<comments xmlns="http://schemas.openxmlformats.org/spreadsheetml/2006/main">
  <authors>
    <author>Stella</author>
  </authors>
  <commentList>
    <comment ref="M97" authorId="0">
      <text>
        <r>
          <rPr>
            <b/>
            <sz val="9"/>
            <color indexed="81"/>
            <rFont val="Tahoma"/>
            <family val="2"/>
          </rPr>
          <t>Ph3 POS - M2 &amp; A3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 xml:space="preserve">Ph4 POS - M2, A3 &amp; </t>
        </r>
      </text>
    </comment>
    <comment ref="U97" authorId="0">
      <text>
        <r>
          <rPr>
            <b/>
            <sz val="9"/>
            <color indexed="81"/>
            <rFont val="Tahoma"/>
            <family val="2"/>
          </rPr>
          <t>AW14 Lightbbox update</t>
        </r>
      </text>
    </comment>
  </commentList>
</comments>
</file>

<file path=xl/sharedStrings.xml><?xml version="1.0" encoding="utf-8"?>
<sst xmlns="http://schemas.openxmlformats.org/spreadsheetml/2006/main" count="1140" uniqueCount="263">
  <si>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</si>
  <si>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</si>
  <si>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</si>
  <si>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</si>
  <si>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</si>
  <si>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</si>
  <si>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</si>
  <si>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</si>
  <si>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</si>
  <si>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</si>
  <si>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</si>
  <si>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</si>
  <si>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</si>
  <si>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</si>
  <si>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</si>
  <si>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</si>
  <si>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</si>
  <si>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</si>
  <si>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</si>
  <si>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</si>
  <si>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</si>
  <si>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</si>
  <si>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</si>
  <si>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</si>
  <si>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</si>
  <si>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</si>
  <si>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</si>
  <si>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</si>
  <si>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</si>
  <si>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</si>
  <si>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</si>
  <si>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</si>
  <si>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</si>
  <si>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</si>
  <si>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</si>
  <si>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</si>
  <si>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</si>
  <si>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</si>
  <si>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</si>
  <si>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</si>
  <si>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</si>
  <si>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</si>
  <si>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</si>
  <si>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</si>
  <si>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</si>
  <si>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</si>
  <si>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</si>
  <si>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</si>
  <si>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</si>
  <si>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</si>
  <si>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</si>
  <si>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</si>
  <si>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</si>
  <si>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</si>
  <si>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</si>
  <si>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</si>
  <si>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</si>
  <si>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</si>
  <si>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</si>
  <si>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</si>
  <si>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</si>
  <si>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</si>
  <si>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</si>
  <si>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</si>
  <si>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</si>
  <si>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</si>
  <si>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</si>
  <si>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</si>
  <si>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</si>
  <si>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</si>
  <si>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</si>
  <si>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</si>
  <si>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</si>
  <si>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</si>
  <si>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sales return ( 1 %)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</si>
  <si>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</si>
  <si>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</si>
  <si>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</si>
  <si>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</si>
  <si>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</si>
  <si>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</si>
  <si>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</si>
  <si>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</si>
  <si>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</si>
  <si>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</si>
  <si>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</si>
  <si>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</si>
  <si>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</si>
  <si>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</si>
  <si>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</si>
  <si>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</si>
  <si>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Staff Benefits</t>
  </si>
  <si>
    <t>Cash collection service charges</t>
  </si>
  <si>
    <t>Interest on loan</t>
  </si>
  <si>
    <t>QAR</t>
  </si>
  <si>
    <t>QR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</si>
  <si>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</si>
  <si>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</si>
  <si>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</si>
  <si>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</si>
  <si>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</si>
  <si>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</si>
  <si>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Salaries &amp; Allowances - Total</t>
  </si>
  <si>
    <t>Selling &amp; Distribution - Total</t>
  </si>
  <si>
    <t>Finance Expenses - Total</t>
  </si>
  <si>
    <t>Vehicle Maintainance</t>
  </si>
  <si>
    <t>Loan Mangement Fees</t>
  </si>
  <si>
    <t>LC Commision &amp; Charge</t>
  </si>
  <si>
    <t>HO</t>
  </si>
  <si>
    <t>TOTAL</t>
  </si>
  <si>
    <t>AVERAGE</t>
  </si>
  <si>
    <t>QR`</t>
  </si>
  <si>
    <t>OCT</t>
  </si>
  <si>
    <t>NOV</t>
  </si>
  <si>
    <t>DEC</t>
  </si>
  <si>
    <t>Sales Promotion - Gift Vouchers</t>
  </si>
  <si>
    <t>EBDIT</t>
  </si>
  <si>
    <t>TOTAL INDIRECT EXPENSES</t>
  </si>
  <si>
    <t>Depreciation - Furniture &amp; Fix</t>
  </si>
  <si>
    <t>Depreciation -trolleys and car</t>
  </si>
  <si>
    <t>Stores Accessory Depreciation</t>
  </si>
  <si>
    <t>Depreciation -Hardware &amp; softw</t>
  </si>
  <si>
    <t>NET PROFIT BEFORE DEP &amp; TAX</t>
  </si>
  <si>
    <t>NET PROFIT BEFORE TAXATION</t>
  </si>
  <si>
    <t>Preleminary Expenses</t>
  </si>
  <si>
    <t>Interst on Loan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</si>
  <si>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</si>
  <si>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</si>
  <si>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</si>
  <si>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</si>
  <si>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</si>
  <si>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</si>
  <si>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average upto october</t>
  </si>
  <si>
    <t>Monthly</t>
  </si>
  <si>
    <t>average of last year</t>
  </si>
  <si>
    <t>new stores in different countries</t>
  </si>
  <si>
    <t>average for last year + new store</t>
  </si>
  <si>
    <t>Actual as per agreement</t>
  </si>
  <si>
    <t>Actual as per Last invoice - jan to april 2012</t>
  </si>
  <si>
    <t>just standard</t>
  </si>
  <si>
    <t>Actual as per auditor + renewal of loan agreement</t>
  </si>
  <si>
    <t>as per last year + new estimated staff</t>
  </si>
  <si>
    <t>calculations with new store drawing plan.</t>
  </si>
  <si>
    <t>same as last year</t>
  </si>
  <si>
    <t>average of the last year</t>
  </si>
  <si>
    <t>remarks</t>
  </si>
  <si>
    <t>Withholding tax</t>
  </si>
  <si>
    <t>DEPRECIATION &amp; PROVISOINS</t>
  </si>
  <si>
    <t>NET PROFIT AFTER TAXATION.</t>
  </si>
  <si>
    <t>NB - IT hardware and software investment of 1 million qr, to be purchased in February and depreciated over 3 years, needs to be noted in cash flow also</t>
  </si>
  <si>
    <t>??? These will change after calculating total costs,</t>
  </si>
  <si>
    <t>3,000 per month total charge due to refresh of offfice planned for 2012</t>
  </si>
  <si>
    <t>500,000 Rent Charge Payable to BTC Group each month</t>
  </si>
  <si>
    <t>April</t>
  </si>
  <si>
    <t>March</t>
  </si>
  <si>
    <t>DC</t>
  </si>
  <si>
    <t>Employees Insurance</t>
  </si>
  <si>
    <t>Staff Visa &amp; Medical charges</t>
  </si>
  <si>
    <t>Staff Accomodation</t>
  </si>
  <si>
    <t>Voucher Sales - Promotion</t>
  </si>
  <si>
    <t xml:space="preserve">Depreciation-Trafic counters </t>
  </si>
  <si>
    <t>Management Fee</t>
  </si>
  <si>
    <t>Warehouse &amp; Signage Rent</t>
  </si>
  <si>
    <t>Vehicle maintenance</t>
  </si>
  <si>
    <t>Loan management fees</t>
  </si>
  <si>
    <t>LC comm</t>
  </si>
  <si>
    <t>Depreciation -Hardware &amp; Softw</t>
  </si>
  <si>
    <t>Head Office Apportionment</t>
  </si>
  <si>
    <t>MATALAN MIDDLE EAST - BUDGETED CASH PROFIT &amp; LOSS ACCOUNT FOR Gulf  MALL FOR 2013</t>
  </si>
  <si>
    <t>December</t>
  </si>
  <si>
    <t>October</t>
  </si>
  <si>
    <t>Khalidiya</t>
  </si>
  <si>
    <t>September</t>
  </si>
  <si>
    <t>Al Ghurair</t>
  </si>
  <si>
    <t>June</t>
  </si>
  <si>
    <t>Sahara</t>
  </si>
  <si>
    <t>Galleria</t>
  </si>
  <si>
    <t>July</t>
  </si>
  <si>
    <t>Gulf Mall</t>
  </si>
  <si>
    <t>october month + new server etc. 1 Million</t>
  </si>
  <si>
    <t>Back office Income</t>
  </si>
  <si>
    <t>Jan</t>
  </si>
  <si>
    <t>Feb</t>
  </si>
  <si>
    <t>Al Baraka</t>
  </si>
  <si>
    <t>Arabian</t>
  </si>
  <si>
    <t>Dalma</t>
  </si>
  <si>
    <t>Lamcy</t>
  </si>
  <si>
    <t>Arabella</t>
  </si>
  <si>
    <t>Mushrif</t>
  </si>
  <si>
    <t>Century</t>
  </si>
  <si>
    <t>Markaz</t>
  </si>
  <si>
    <t>Mirdiff</t>
  </si>
  <si>
    <t>BCC</t>
  </si>
  <si>
    <t>Ramli</t>
  </si>
  <si>
    <t>Al Foah</t>
  </si>
  <si>
    <t>Floah</t>
  </si>
  <si>
    <t>Rak</t>
  </si>
  <si>
    <t>Matalan license renewal and other lawyer fees)</t>
  </si>
  <si>
    <t>Budgeted by Nikhil + Internet (2K) + Website desig (1.2K)</t>
  </si>
  <si>
    <t>Agreement</t>
  </si>
  <si>
    <t>15% on Rent</t>
  </si>
  <si>
    <t>917 - 3rd party &amp; other estimated</t>
  </si>
  <si>
    <t>2096 Sq.Mt.</t>
  </si>
  <si>
    <t>Qatar HO, UAE HO, Oman HO, Bahrain HO</t>
  </si>
  <si>
    <t>May</t>
  </si>
  <si>
    <t>Sl.No.</t>
  </si>
  <si>
    <t>Name</t>
  </si>
  <si>
    <t>Code</t>
  </si>
  <si>
    <t>Aug.</t>
  </si>
  <si>
    <t>Sept.</t>
  </si>
  <si>
    <t>External Bill Boards</t>
  </si>
  <si>
    <t xml:space="preserve"> </t>
  </si>
  <si>
    <t>Cash Receivable from stores</t>
  </si>
  <si>
    <t>Year</t>
  </si>
  <si>
    <t>HO Exp.</t>
  </si>
  <si>
    <t>Group transfer</t>
  </si>
  <si>
    <t>Loan</t>
  </si>
  <si>
    <t>Per Stores</t>
  </si>
  <si>
    <t>2014 - Sept.</t>
  </si>
  <si>
    <t>average of last year upto Sept.</t>
  </si>
  <si>
    <t>pantry exp. 1200 + 750 (B'day exp.)</t>
  </si>
  <si>
    <t>Advt. to paper</t>
  </si>
  <si>
    <t>car rent 1600/m + petrol 316</t>
  </si>
  <si>
    <t>latest from last year ( L.C.commission)</t>
  </si>
  <si>
    <t>Al Foha</t>
  </si>
  <si>
    <t>Wafi</t>
  </si>
  <si>
    <t>Rak mall</t>
  </si>
  <si>
    <t>Avenue</t>
  </si>
  <si>
    <t>No</t>
  </si>
  <si>
    <t>November</t>
  </si>
  <si>
    <t>August</t>
  </si>
  <si>
    <t>average of last year upto Sept. 20% increase</t>
  </si>
  <si>
    <t>new stores in different countries - 128 added</t>
  </si>
  <si>
    <t>Sept. 2014</t>
  </si>
  <si>
    <t>Internet fully maintained by Matalan from yr 2015</t>
  </si>
  <si>
    <t>Sonicwall Renewals</t>
  </si>
  <si>
    <t>DynDNS Renewals</t>
  </si>
  <si>
    <t>Printer Cartridge</t>
  </si>
  <si>
    <t>Nedap EAS Renewal</t>
  </si>
  <si>
    <t>Email &amp; Internet VPN-BTC</t>
  </si>
  <si>
    <t>MATALAN MIDDLE EAST - BUDGETED CASH PROFIT &amp; LOSS ACCOUNT FOR HEAD OFFICE FOR 2016</t>
  </si>
  <si>
    <t>average of last year upto Oct</t>
  </si>
  <si>
    <t>average of last year upto Oct. 600x3x4=7200</t>
  </si>
  <si>
    <t>pantry exp. 1400 + 1000 (B'day exp.)</t>
  </si>
  <si>
    <t xml:space="preserve">car rent 1600/m + petrol </t>
  </si>
  <si>
    <t>avg</t>
  </si>
  <si>
    <t>contract</t>
  </si>
  <si>
    <t>as actual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</si>
  <si>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</si>
  <si>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</si>
  <si>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</si>
  <si>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</si>
  <si>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</si>
  <si>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</si>
  <si>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</si>
  <si>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</si>
  <si>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</si>
  <si>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RMC Connect</t>
  </si>
  <si>
    <t>stores</t>
  </si>
  <si>
    <t>month</t>
  </si>
  <si>
    <t>Unrealised exchange gain/loss</t>
  </si>
  <si>
    <t>250 K NAV upgrade added</t>
  </si>
  <si>
    <t>MATALAN MIDDLE EAST - BUDGETED CASH PROFIT &amp; LOSS ACCOUNT FOR Matalan Gulf  MALL FOR THE YEAR 2017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</si>
</sst>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#,##0.00;[Red]\-#,##0.00"/>
    <numFmt numFmtId="168" formatCode="_(&quot; &quot;* #,##0.00_);_(&quot; &quot;* \(#,##0.00\);_(&quot; &quot;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sz val="10"/>
      <color rgb="FFFF0000"/>
      <name val="Verdana"/>
      <family val="2"/>
    </font>
    <font>
      <b/>
      <sz val="11"/>
      <name val="Calibri"/>
      <family val="2"/>
      <scheme val="minor"/>
    </font>
    <font>
      <b/>
      <sz val="10"/>
      <name val="Verdana"/>
      <family val="2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45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14" fillId="0" borderId="0" xfId="0" applyFont="1" applyFill="1"/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43" fontId="0" fillId="0" borderId="0" xfId="43" applyFont="1" applyFill="1"/>
    <xf numFmtId="43" fontId="14" fillId="0" borderId="0" xfId="43" applyFont="1" applyFill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17" fillId="35" borderId="0" xfId="0" applyFont="1" applyFill="1"/>
    <xf numFmtId="165" fontId="0" fillId="33" borderId="10" xfId="43" applyNumberFormat="1" applyFont="1" applyFill="1" applyBorder="1"/>
    <xf numFmtId="165" fontId="0" fillId="38" borderId="10" xfId="43" applyNumberFormat="1" applyFont="1" applyFill="1" applyBorder="1"/>
    <xf numFmtId="0" fontId="21" fillId="36" borderId="25" xfId="0" applyFont="1" applyFill="1" applyBorder="1"/>
    <xf numFmtId="0" fontId="20" fillId="33" borderId="12" xfId="42" applyFont="1" applyFill="1" applyBorder="1" applyAlignment="1">
      <alignment horizontal="left"/>
    </xf>
    <xf numFmtId="0" fontId="0" fillId="34" borderId="13" xfId="0" applyFill="1" applyBorder="1"/>
    <xf numFmtId="10" fontId="14" fillId="0" borderId="14" xfId="44" applyNumberFormat="1" applyFont="1" applyFill="1" applyBorder="1"/>
    <xf numFmtId="43" fontId="25" fillId="34" borderId="13" xfId="43" applyFont="1" applyFill="1" applyBorder="1" applyAlignment="1">
      <alignment horizontal="center"/>
    </xf>
    <xf numFmtId="0" fontId="21" fillId="40" borderId="10" xfId="0" applyFont="1" applyFill="1" applyBorder="1"/>
    <xf numFmtId="43" fontId="0" fillId="40" borderId="10" xfId="43" applyFont="1" applyFill="1" applyBorder="1"/>
    <xf numFmtId="43" fontId="0" fillId="40" borderId="12" xfId="43" applyFont="1" applyFill="1" applyBorder="1"/>
    <xf numFmtId="0" fontId="20" fillId="40" borderId="10" xfId="0" applyFont="1" applyFill="1" applyBorder="1" applyAlignment="1">
      <alignment horizontal="left"/>
    </xf>
    <xf numFmtId="0" fontId="20" fillId="40" borderId="12" xfId="0" applyFont="1" applyFill="1" applyBorder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20" fillId="36" borderId="25" xfId="0" applyFont="1" applyFill="1" applyBorder="1" applyAlignment="1">
      <alignment horizontal="center"/>
    </xf>
    <xf numFmtId="0" fontId="20" fillId="41" borderId="10" xfId="42" applyFont="1" applyFill="1" applyBorder="1" applyAlignment="1">
      <alignment horizontal="left"/>
    </xf>
    <xf numFmtId="43" fontId="0" fillId="41" borderId="10" xfId="43" applyFont="1" applyFill="1" applyBorder="1"/>
    <xf numFmtId="0" fontId="20" fillId="40" borderId="10" xfId="42" applyFont="1" applyFill="1" applyBorder="1" applyAlignment="1">
      <alignment horizontal="left"/>
    </xf>
    <xf numFmtId="0" fontId="20" fillId="40" borderId="12" xfId="42" applyFont="1" applyFill="1" applyBorder="1" applyAlignment="1">
      <alignment horizontal="left"/>
    </xf>
    <xf numFmtId="43" fontId="0" fillId="0" borderId="0" xfId="0" applyNumberFormat="1" applyFill="1"/>
    <xf numFmtId="43" fontId="0" fillId="36" borderId="1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5" fontId="16" fillId="0" borderId="0" xfId="0" applyNumberFormat="1" applyFont="1"/>
    <xf numFmtId="10" fontId="14" fillId="36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0" borderId="14" xfId="44" applyNumberFormat="1" applyFont="1" applyBorder="1"/>
    <xf numFmtId="9" fontId="14" fillId="40" borderId="16" xfId="44" applyFont="1" applyFill="1" applyBorder="1"/>
    <xf numFmtId="10" fontId="14" fillId="40" borderId="16" xfId="44" applyNumberFormat="1" applyFont="1" applyFill="1" applyBorder="1"/>
    <xf numFmtId="10" fontId="14" fillId="40" borderId="17" xfId="44" applyNumberFormat="1" applyFont="1" applyFill="1" applyBorder="1"/>
    <xf numFmtId="10" fontId="14" fillId="41" borderId="16" xfId="44" applyNumberFormat="1" applyFont="1" applyFill="1" applyBorder="1"/>
    <xf numFmtId="0" fontId="0" fillId="0" borderId="27" xfId="0" applyBorder="1"/>
    <xf numFmtId="0" fontId="16" fillId="0" borderId="27" xfId="0" applyFont="1" applyBorder="1"/>
    <xf numFmtId="0" fontId="21" fillId="42" borderId="13" xfId="0" applyFont="1" applyFill="1" applyBorder="1" applyAlignment="1">
      <alignment horizontal="center"/>
    </xf>
    <xf numFmtId="0" fontId="0" fillId="42" borderId="0" xfId="0" applyFill="1"/>
    <xf numFmtId="165" fontId="22" fillId="42" borderId="0" xfId="43" applyNumberFormat="1" applyFont="1" applyFill="1"/>
    <xf numFmtId="10" fontId="14" fillId="42" borderId="14" xfId="44" applyNumberFormat="1" applyFont="1" applyFill="1" applyBorder="1"/>
    <xf numFmtId="165" fontId="0" fillId="42" borderId="10" xfId="43" applyNumberFormat="1" applyFont="1" applyFill="1" applyBorder="1"/>
    <xf numFmtId="165" fontId="0" fillId="42" borderId="25" xfId="43" applyNumberFormat="1" applyFont="1" applyFill="1" applyBorder="1"/>
    <xf numFmtId="165" fontId="0" fillId="42" borderId="12" xfId="43" applyNumberFormat="1" applyFont="1" applyFill="1" applyBorder="1"/>
    <xf numFmtId="165" fontId="0" fillId="42" borderId="0" xfId="43" applyNumberFormat="1" applyFont="1" applyFill="1" applyBorder="1"/>
    <xf numFmtId="0" fontId="21" fillId="38" borderId="13" xfId="0" applyFont="1" applyFill="1" applyBorder="1" applyAlignment="1">
      <alignment horizontal="center"/>
    </xf>
    <xf numFmtId="0" fontId="0" fillId="38" borderId="0" xfId="0" applyFill="1"/>
    <xf numFmtId="165" fontId="22" fillId="38" borderId="0" xfId="43" applyNumberFormat="1" applyFont="1" applyFill="1"/>
    <xf numFmtId="10" fontId="14" fillId="38" borderId="14" xfId="44" applyNumberFormat="1" applyFont="1" applyFill="1" applyBorder="1"/>
    <xf numFmtId="165" fontId="0" fillId="38" borderId="25" xfId="43" applyNumberFormat="1" applyFont="1" applyFill="1" applyBorder="1"/>
    <xf numFmtId="165" fontId="0" fillId="38" borderId="12" xfId="43" applyNumberFormat="1" applyFont="1" applyFill="1" applyBorder="1"/>
    <xf numFmtId="165" fontId="0" fillId="42" borderId="20" xfId="43" applyNumberFormat="1" applyFont="1" applyFill="1" applyBorder="1"/>
    <xf numFmtId="10" fontId="0" fillId="42" borderId="14" xfId="44" applyNumberFormat="1" applyFont="1" applyFill="1" applyBorder="1"/>
    <xf numFmtId="10" fontId="14" fillId="42" borderId="17" xfId="44" applyNumberFormat="1" applyFont="1" applyFill="1" applyBorder="1"/>
    <xf numFmtId="10" fontId="14" fillId="42" borderId="16" xfId="44" applyNumberFormat="1" applyFont="1" applyFill="1" applyBorder="1"/>
    <xf numFmtId="10" fontId="25" fillId="38" borderId="15" xfId="44" applyNumberFormat="1" applyFont="1" applyFill="1" applyBorder="1" applyAlignment="1">
      <alignment horizontal="center"/>
    </xf>
    <xf numFmtId="10" fontId="0" fillId="38" borderId="14" xfId="44" applyNumberFormat="1" applyFont="1" applyFill="1" applyBorder="1"/>
    <xf numFmtId="10" fontId="14" fillId="38" borderId="16" xfId="44" applyNumberFormat="1" applyFont="1" applyFill="1" applyBorder="1"/>
    <xf numFmtId="10" fontId="14" fillId="38" borderId="17" xfId="44" applyNumberFormat="1" applyFont="1" applyFill="1" applyBorder="1"/>
    <xf numFmtId="9" fontId="14" fillId="38" borderId="16" xfId="44" applyFont="1" applyFill="1" applyBorder="1"/>
    <xf numFmtId="10" fontId="25" fillId="42" borderId="15" xfId="44" applyNumberFormat="1" applyFont="1" applyFill="1" applyBorder="1" applyAlignment="1">
      <alignment horizontal="center"/>
    </xf>
    <xf numFmtId="9" fontId="14" fillId="42" borderId="16" xfId="44" applyFont="1" applyFill="1" applyBorder="1"/>
    <xf numFmtId="0" fontId="19" fillId="0" borderId="0" xfId="42" applyFont="1" applyFill="1" applyAlignment="1">
      <alignment horizontal="left"/>
    </xf>
    <xf numFmtId="0" fontId="16" fillId="0" borderId="0" xfId="0" applyFont="1"/>
    <xf numFmtId="0" fontId="0" fillId="0" borderId="0" xfId="0" applyFill="1" applyBorder="1"/>
    <xf numFmtId="165" fontId="22" fillId="0" borderId="0" xfId="43" applyNumberFormat="1" applyFont="1" applyFill="1" applyBorder="1"/>
    <xf numFmtId="0" fontId="0" fillId="0" borderId="0" xfId="0" applyBorder="1"/>
    <xf numFmtId="43" fontId="0" fillId="0" borderId="0" xfId="43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10" fontId="14" fillId="0" borderId="0" xfId="44" applyNumberFormat="1" applyFont="1" applyFill="1" applyBorder="1"/>
    <xf numFmtId="0" fontId="19" fillId="0" borderId="0" xfId="42" applyFont="1" applyBorder="1" applyAlignment="1">
      <alignment horizontal="left"/>
    </xf>
    <xf numFmtId="0" fontId="16" fillId="36" borderId="10" xfId="0" applyFont="1" applyFill="1" applyBorder="1"/>
    <xf numFmtId="43" fontId="0" fillId="35" borderId="10" xfId="0" applyNumberFormat="1" applyFill="1" applyBorder="1"/>
    <xf numFmtId="10" fontId="0" fillId="35" borderId="16" xfId="44" applyNumberFormat="1" applyFont="1" applyFill="1" applyBorder="1"/>
    <xf numFmtId="165" fontId="0" fillId="38" borderId="0" xfId="43" applyNumberFormat="1" applyFont="1" applyFill="1" applyBorder="1"/>
    <xf numFmtId="43" fontId="0" fillId="35" borderId="10" xfId="43" applyFont="1" applyFill="1" applyBorder="1"/>
    <xf numFmtId="165" fontId="0" fillId="37" borderId="10" xfId="43" applyNumberFormat="1" applyFont="1" applyFill="1" applyBorder="1"/>
    <xf numFmtId="43" fontId="0" fillId="0" borderId="0" xfId="0" applyNumberFormat="1" applyBorder="1"/>
    <xf numFmtId="43" fontId="0" fillId="0" borderId="0" xfId="0" applyNumberFormat="1" applyFill="1" applyBorder="1"/>
    <xf numFmtId="165" fontId="22" fillId="42" borderId="20" xfId="43" applyNumberFormat="1" applyFont="1" applyFill="1" applyBorder="1"/>
    <xf numFmtId="164" fontId="0" fillId="0" borderId="0" xfId="0" applyNumberFormat="1"/>
    <xf numFmtId="43" fontId="0" fillId="36" borderId="23" xfId="43" applyFont="1" applyFill="1" applyBorder="1"/>
    <xf numFmtId="0" fontId="0" fillId="0" borderId="0" xfId="0" applyNumberFormat="1" applyFill="1" applyBorder="1"/>
    <xf numFmtId="43" fontId="0" fillId="37" borderId="10" xfId="43" applyFont="1" applyFill="1" applyBorder="1"/>
    <xf numFmtId="9" fontId="14" fillId="40" borderId="17" xfId="44" applyNumberFormat="1" applyFont="1" applyFill="1" applyBorder="1"/>
    <xf numFmtId="9" fontId="14" fillId="42" borderId="17" xfId="44" applyNumberFormat="1" applyFont="1" applyFill="1" applyBorder="1"/>
    <xf numFmtId="10" fontId="14" fillId="33" borderId="24" xfId="44" applyNumberFormat="1" applyFont="1" applyFill="1" applyBorder="1"/>
    <xf numFmtId="165" fontId="22" fillId="33" borderId="23" xfId="43" applyNumberFormat="1" applyFont="1" applyFill="1" applyBorder="1"/>
    <xf numFmtId="3" fontId="0" fillId="0" borderId="0" xfId="0" applyNumberFormat="1"/>
    <xf numFmtId="2" fontId="0" fillId="0" borderId="0" xfId="43" applyNumberFormat="1" applyFont="1"/>
    <xf numFmtId="2" fontId="0" fillId="43" borderId="0" xfId="43" applyNumberFormat="1" applyFont="1" applyFill="1"/>
    <xf numFmtId="2" fontId="0" fillId="35" borderId="0" xfId="43" applyNumberFormat="1" applyFont="1" applyFill="1"/>
    <xf numFmtId="2" fontId="0" fillId="44" borderId="0" xfId="43" applyNumberFormat="1" applyFont="1" applyFill="1"/>
    <xf numFmtId="43" fontId="0" fillId="0" borderId="20" xfId="43" applyFont="1" applyBorder="1"/>
    <xf numFmtId="2" fontId="0" fillId="0" borderId="20" xfId="43" applyNumberFormat="1" applyFont="1" applyBorder="1"/>
    <xf numFmtId="165" fontId="22" fillId="38" borderId="20" xfId="43" applyNumberFormat="1" applyFont="1" applyFill="1" applyBorder="1"/>
    <xf numFmtId="0" fontId="0" fillId="0" borderId="0" xfId="0" applyAlignment="1">
      <alignment horizontal="center"/>
    </xf>
    <xf numFmtId="2" fontId="0" fillId="0" borderId="0" xfId="43" applyNumberFormat="1" applyFont="1" applyAlignment="1">
      <alignment horizontal="center"/>
    </xf>
    <xf numFmtId="43" fontId="0" fillId="36" borderId="10" xfId="44" applyNumberFormat="1" applyFont="1" applyFill="1" applyBorder="1"/>
    <xf numFmtId="0" fontId="26" fillId="39" borderId="10" xfId="42" applyFont="1" applyFill="1" applyBorder="1" applyAlignment="1">
      <alignment horizontal="left"/>
    </xf>
    <xf numFmtId="165" fontId="0" fillId="0" borderId="0" xfId="0" applyNumberFormat="1" applyFill="1" applyBorder="1"/>
    <xf numFmtId="43" fontId="0" fillId="0" borderId="23" xfId="0" applyNumberFormat="1" applyBorder="1"/>
    <xf numFmtId="4" fontId="0" fillId="0" borderId="0" xfId="0" applyNumberFormat="1"/>
    <xf numFmtId="43" fontId="16" fillId="0" borderId="27" xfId="43" applyFont="1" applyBorder="1"/>
    <xf numFmtId="43" fontId="16" fillId="0" borderId="27" xfId="0" applyNumberFormat="1" applyFont="1" applyBorder="1"/>
    <xf numFmtId="43" fontId="0" fillId="40" borderId="22" xfId="43" applyFont="1" applyFill="1" applyBorder="1"/>
    <xf numFmtId="10" fontId="14" fillId="40" borderId="24" xfId="44" applyNumberFormat="1" applyFont="1" applyFill="1" applyBorder="1"/>
    <xf numFmtId="165" fontId="20" fillId="36" borderId="10" xfId="0" applyNumberFormat="1" applyFont="1" applyFill="1" applyBorder="1"/>
    <xf numFmtId="0" fontId="0" fillId="36" borderId="10" xfId="0" applyFill="1" applyBorder="1"/>
    <xf numFmtId="10" fontId="0" fillId="36" borderId="16" xfId="44" applyNumberFormat="1" applyFont="1" applyFill="1" applyBorder="1"/>
    <xf numFmtId="0" fontId="0" fillId="0" borderId="11" xfId="0" applyFill="1" applyBorder="1" applyAlignment="1"/>
    <xf numFmtId="0" fontId="13" fillId="35" borderId="18" xfId="0" applyFont="1" applyFill="1" applyBorder="1" applyAlignment="1">
      <alignment horizontal="center"/>
    </xf>
    <xf numFmtId="0" fontId="13" fillId="35" borderId="26" xfId="0" applyFont="1" applyFill="1" applyBorder="1" applyAlignment="1">
      <alignment horizontal="center"/>
    </xf>
    <xf numFmtId="0" fontId="21" fillId="45" borderId="11" xfId="0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/>
    </xf>
    <xf numFmtId="43" fontId="25" fillId="34" borderId="13" xfId="0" applyNumberFormat="1" applyFont="1" applyFill="1" applyBorder="1" applyAlignment="1">
      <alignment horizontal="center"/>
    </xf>
    <xf numFmtId="0" fontId="25" fillId="34" borderId="15" xfId="0" applyFont="1" applyFill="1" applyBorder="1" applyAlignment="1">
      <alignment horizontal="center"/>
    </xf>
    <xf numFmtId="10" fontId="25" fillId="34" borderId="15" xfId="0" applyNumberFormat="1" applyFont="1" applyFill="1" applyBorder="1" applyAlignment="1">
      <alignment horizontal="center"/>
    </xf>
    <xf numFmtId="10" fontId="21" fillId="42" borderId="15" xfId="0" applyNumberFormat="1" applyFont="1" applyFill="1" applyBorder="1" applyAlignment="1">
      <alignment horizontal="center"/>
    </xf>
    <xf numFmtId="10" fontId="21" fillId="45" borderId="15" xfId="0" applyNumberFormat="1" applyFont="1" applyFill="1" applyBorder="1" applyAlignment="1">
      <alignment horizontal="center"/>
    </xf>
    <xf numFmtId="0" fontId="0" fillId="0" borderId="14" xfId="0" applyFill="1" applyBorder="1"/>
    <xf numFmtId="43" fontId="0" fillId="0" borderId="19" xfId="0" applyNumberFormat="1" applyFill="1" applyBorder="1"/>
    <xf numFmtId="10" fontId="0" fillId="0" borderId="14" xfId="0" applyNumberFormat="1" applyFill="1" applyBorder="1"/>
    <xf numFmtId="10" fontId="0" fillId="42" borderId="14" xfId="0" applyNumberFormat="1" applyFill="1" applyBorder="1"/>
    <xf numFmtId="0" fontId="0" fillId="45" borderId="0" xfId="0" applyFill="1"/>
    <xf numFmtId="10" fontId="0" fillId="45" borderId="14" xfId="0" applyNumberFormat="1" applyFill="1" applyBorder="1"/>
    <xf numFmtId="0" fontId="14" fillId="39" borderId="0" xfId="0" applyFont="1" applyFill="1"/>
    <xf numFmtId="0" fontId="22" fillId="39" borderId="14" xfId="0" applyFont="1" applyFill="1" applyBorder="1"/>
    <xf numFmtId="43" fontId="22" fillId="39" borderId="0" xfId="43" applyNumberFormat="1" applyFont="1" applyFill="1"/>
    <xf numFmtId="165" fontId="14" fillId="39" borderId="14" xfId="43" applyNumberFormat="1" applyFont="1" applyFill="1" applyBorder="1"/>
    <xf numFmtId="43" fontId="22" fillId="39" borderId="19" xfId="43" applyNumberFormat="1" applyFont="1" applyFill="1" applyBorder="1"/>
    <xf numFmtId="43" fontId="22" fillId="39" borderId="0" xfId="43" applyFont="1" applyFill="1"/>
    <xf numFmtId="165" fontId="22" fillId="39" borderId="0" xfId="43" applyNumberFormat="1" applyFont="1" applyFill="1"/>
    <xf numFmtId="43" fontId="22" fillId="0" borderId="0" xfId="43" applyNumberFormat="1" applyFont="1" applyFill="1"/>
    <xf numFmtId="165" fontId="0" fillId="0" borderId="14" xfId="43" applyNumberFormat="1" applyFont="1" applyFill="1" applyBorder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9" fontId="14" fillId="0" borderId="14" xfId="44" applyFont="1" applyFill="1" applyBorder="1"/>
    <xf numFmtId="165" fontId="22" fillId="45" borderId="0" xfId="43" applyNumberFormat="1" applyFont="1" applyFill="1"/>
    <xf numFmtId="0" fontId="22" fillId="0" borderId="14" xfId="0" applyFont="1" applyBorder="1"/>
    <xf numFmtId="43" fontId="22" fillId="0" borderId="19" xfId="43" applyNumberFormat="1" applyFont="1" applyFill="1" applyBorder="1"/>
    <xf numFmtId="43" fontId="14" fillId="0" borderId="0" xfId="43" applyNumberFormat="1" applyFont="1" applyFill="1"/>
    <xf numFmtId="0" fontId="21" fillId="33" borderId="10" xfId="0" applyFont="1" applyFill="1" applyBorder="1"/>
    <xf numFmtId="0" fontId="21" fillId="33" borderId="16" xfId="0" applyFont="1" applyFill="1" applyBorder="1"/>
    <xf numFmtId="43" fontId="0" fillId="33" borderId="20" xfId="43" applyNumberFormat="1" applyFont="1" applyFill="1" applyBorder="1"/>
    <xf numFmtId="9" fontId="0" fillId="33" borderId="16" xfId="44" applyFont="1" applyFill="1" applyBorder="1"/>
    <xf numFmtId="43" fontId="0" fillId="33" borderId="10" xfId="43" applyNumberFormat="1" applyFont="1" applyFill="1" applyBorder="1"/>
    <xf numFmtId="0" fontId="21" fillId="33" borderId="12" xfId="0" applyFont="1" applyFill="1" applyBorder="1"/>
    <xf numFmtId="0" fontId="21" fillId="33" borderId="17" xfId="0" applyFont="1" applyFill="1" applyBorder="1"/>
    <xf numFmtId="43" fontId="0" fillId="33" borderId="12" xfId="43" applyNumberFormat="1" applyFont="1" applyFill="1" applyBorder="1"/>
    <xf numFmtId="165" fontId="0" fillId="33" borderId="17" xfId="43" applyNumberFormat="1" applyFont="1" applyFill="1" applyBorder="1"/>
    <xf numFmtId="43" fontId="0" fillId="33" borderId="21" xfId="43" applyNumberFormat="1" applyFont="1" applyFill="1" applyBorder="1"/>
    <xf numFmtId="43" fontId="0" fillId="33" borderId="12" xfId="43" applyFont="1" applyFill="1" applyBorder="1"/>
    <xf numFmtId="165" fontId="0" fillId="33" borderId="12" xfId="43" applyNumberFormat="1" applyFont="1" applyFill="1" applyBorder="1"/>
    <xf numFmtId="0" fontId="21" fillId="36" borderId="10" xfId="0" applyFont="1" applyFill="1" applyBorder="1"/>
    <xf numFmtId="0" fontId="21" fillId="36" borderId="16" xfId="0" applyFont="1" applyFill="1" applyBorder="1"/>
    <xf numFmtId="9" fontId="0" fillId="36" borderId="16" xfId="44" applyFont="1" applyFill="1" applyBorder="1"/>
    <xf numFmtId="43" fontId="0" fillId="36" borderId="20" xfId="43" applyNumberFormat="1" applyFont="1" applyFill="1" applyBorder="1"/>
    <xf numFmtId="165" fontId="0" fillId="36" borderId="20" xfId="43" applyNumberFormat="1" applyFont="1" applyFill="1" applyBorder="1"/>
    <xf numFmtId="165" fontId="0" fillId="36" borderId="10" xfId="43" applyNumberFormat="1" applyFont="1" applyFill="1" applyBorder="1"/>
    <xf numFmtId="43" fontId="0" fillId="0" borderId="19" xfId="43" applyFont="1" applyFill="1" applyBorder="1"/>
    <xf numFmtId="43" fontId="0" fillId="0" borderId="0" xfId="43" applyNumberFormat="1" applyFont="1" applyFill="1" applyBorder="1"/>
    <xf numFmtId="0" fontId="19" fillId="0" borderId="14" xfId="0" applyFont="1" applyBorder="1" applyAlignment="1">
      <alignment horizontal="left"/>
    </xf>
    <xf numFmtId="165" fontId="0" fillId="0" borderId="0" xfId="43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6" xfId="0" applyFont="1" applyFill="1" applyBorder="1" applyAlignment="1">
      <alignment horizontal="left"/>
    </xf>
    <xf numFmtId="43" fontId="0" fillId="33" borderId="10" xfId="43" applyFont="1" applyFill="1" applyBorder="1"/>
    <xf numFmtId="165" fontId="0" fillId="33" borderId="20" xfId="43" applyNumberFormat="1" applyFont="1" applyFill="1" applyBorder="1"/>
    <xf numFmtId="0" fontId="19" fillId="0" borderId="0" xfId="0" applyFont="1" applyFill="1" applyAlignment="1">
      <alignment horizontal="left"/>
    </xf>
    <xf numFmtId="9" fontId="14" fillId="0" borderId="14" xfId="44" applyNumberFormat="1" applyFont="1" applyFill="1" applyBorder="1"/>
    <xf numFmtId="0" fontId="19" fillId="0" borderId="11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43" fontId="0" fillId="0" borderId="11" xfId="43" applyNumberFormat="1" applyFont="1" applyFill="1" applyBorder="1"/>
    <xf numFmtId="9" fontId="14" fillId="0" borderId="26" xfId="44" applyNumberFormat="1" applyFont="1" applyFill="1" applyBorder="1"/>
    <xf numFmtId="43" fontId="0" fillId="0" borderId="18" xfId="43" applyNumberFormat="1" applyFont="1" applyFill="1" applyBorder="1"/>
    <xf numFmtId="43" fontId="0" fillId="0" borderId="11" xfId="43" applyFont="1" applyFill="1" applyBorder="1"/>
    <xf numFmtId="165" fontId="22" fillId="42" borderId="11" xfId="43" applyNumberFormat="1" applyFont="1" applyFill="1" applyBorder="1"/>
    <xf numFmtId="0" fontId="20" fillId="33" borderId="11" xfId="0" applyFont="1" applyFill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43" fontId="0" fillId="33" borderId="22" xfId="43" applyNumberFormat="1" applyFont="1" applyFill="1" applyBorder="1"/>
    <xf numFmtId="10" fontId="0" fillId="33" borderId="26" xfId="44" applyNumberFormat="1" applyFont="1" applyFill="1" applyBorder="1"/>
    <xf numFmtId="43" fontId="0" fillId="33" borderId="18" xfId="43" applyNumberFormat="1" applyFont="1" applyFill="1" applyBorder="1"/>
    <xf numFmtId="43" fontId="0" fillId="33" borderId="11" xfId="43" applyNumberFormat="1" applyFont="1" applyFill="1" applyBorder="1"/>
    <xf numFmtId="43" fontId="0" fillId="33" borderId="11" xfId="43" applyFont="1" applyFill="1" applyBorder="1"/>
    <xf numFmtId="165" fontId="0" fillId="42" borderId="18" xfId="43" applyNumberFormat="1" applyFont="1" applyFill="1" applyBorder="1"/>
    <xf numFmtId="165" fontId="0" fillId="45" borderId="11" xfId="43" applyNumberFormat="1" applyFont="1" applyFill="1" applyBorder="1"/>
    <xf numFmtId="0" fontId="20" fillId="33" borderId="0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43" fontId="0" fillId="33" borderId="0" xfId="43" applyNumberFormat="1" applyFont="1" applyFill="1" applyBorder="1"/>
    <xf numFmtId="10" fontId="0" fillId="33" borderId="14" xfId="44" applyNumberFormat="1" applyFont="1" applyFill="1" applyBorder="1"/>
    <xf numFmtId="43" fontId="0" fillId="33" borderId="19" xfId="43" applyNumberFormat="1" applyFont="1" applyFill="1" applyBorder="1"/>
    <xf numFmtId="43" fontId="0" fillId="33" borderId="0" xfId="43" applyFont="1" applyFill="1" applyBorder="1"/>
    <xf numFmtId="165" fontId="0" fillId="45" borderId="0" xfId="43" applyNumberFormat="1" applyFont="1" applyFill="1" applyBorder="1"/>
    <xf numFmtId="0" fontId="20" fillId="36" borderId="16" xfId="0" applyFont="1" applyFill="1" applyBorder="1" applyAlignment="1">
      <alignment horizontal="center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10" fontId="0" fillId="33" borderId="16" xfId="43" applyNumberFormat="1" applyFont="1" applyFill="1" applyBorder="1"/>
    <xf numFmtId="0" fontId="19" fillId="0" borderId="14" xfId="42" applyFont="1" applyFill="1" applyBorder="1" applyAlignment="1">
      <alignment horizontal="left"/>
    </xf>
    <xf numFmtId="10" fontId="0" fillId="33" borderId="16" xfId="44" applyNumberFormat="1" applyFont="1" applyFill="1" applyBorder="1"/>
    <xf numFmtId="9" fontId="14" fillId="0" borderId="0" xfId="44" applyNumberFormat="1" applyFont="1" applyFill="1" applyBorder="1"/>
    <xf numFmtId="43" fontId="22" fillId="0" borderId="0" xfId="43" applyFont="1" applyFill="1" applyBorder="1"/>
    <xf numFmtId="4" fontId="0" fillId="0" borderId="21" xfId="0" applyNumberFormat="1" applyFont="1" applyBorder="1"/>
    <xf numFmtId="9" fontId="14" fillId="0" borderId="17" xfId="44" applyNumberFormat="1" applyFont="1" applyFill="1" applyBorder="1"/>
    <xf numFmtId="9" fontId="14" fillId="0" borderId="12" xfId="44" applyNumberFormat="1" applyFont="1" applyFill="1" applyBorder="1"/>
    <xf numFmtId="4" fontId="0" fillId="0" borderId="12" xfId="0" applyNumberFormat="1" applyFont="1" applyBorder="1"/>
    <xf numFmtId="4" fontId="0" fillId="0" borderId="19" xfId="0" applyNumberFormat="1" applyFont="1" applyBorder="1"/>
    <xf numFmtId="4" fontId="0" fillId="0" borderId="0" xfId="0" applyNumberFormat="1" applyFont="1" applyBorder="1"/>
    <xf numFmtId="4" fontId="0" fillId="0" borderId="19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28" fillId="0" borderId="0" xfId="42" applyFont="1" applyAlignment="1">
      <alignment horizontal="left"/>
    </xf>
    <xf numFmtId="0" fontId="20" fillId="0" borderId="14" xfId="42" applyFont="1" applyFill="1" applyBorder="1" applyAlignment="1">
      <alignment horizontal="left"/>
    </xf>
    <xf numFmtId="9" fontId="0" fillId="0" borderId="14" xfId="44" applyFont="1" applyFill="1" applyBorder="1"/>
    <xf numFmtId="165" fontId="0" fillId="33" borderId="0" xfId="43" applyNumberFormat="1" applyFont="1" applyFill="1" applyBorder="1"/>
    <xf numFmtId="10" fontId="0" fillId="37" borderId="10" xfId="44" applyNumberFormat="1" applyFont="1" applyFill="1" applyBorder="1"/>
    <xf numFmtId="165" fontId="0" fillId="37" borderId="10" xfId="0" applyNumberFormat="1" applyFill="1" applyBorder="1"/>
    <xf numFmtId="0" fontId="0" fillId="41" borderId="10" xfId="0" applyFill="1" applyBorder="1"/>
    <xf numFmtId="165" fontId="22" fillId="33" borderId="10" xfId="43" applyNumberFormat="1" applyFont="1" applyFill="1" applyBorder="1"/>
    <xf numFmtId="165" fontId="0" fillId="40" borderId="10" xfId="43" applyNumberFormat="1" applyFont="1" applyFill="1" applyBorder="1"/>
    <xf numFmtId="166" fontId="14" fillId="0" borderId="14" xfId="44" applyNumberFormat="1" applyFont="1" applyFill="1" applyBorder="1"/>
    <xf numFmtId="10" fontId="14" fillId="0" borderId="14" xfId="44" applyNumberFormat="1" applyFont="1" applyBorder="1"/>
    <xf numFmtId="10" fontId="0" fillId="33" borderId="17" xfId="44" applyNumberFormat="1" applyFont="1" applyFill="1" applyBorder="1"/>
    <xf numFmtId="10" fontId="0" fillId="42" borderId="17" xfId="44" applyNumberFormat="1" applyFont="1" applyFill="1" applyBorder="1"/>
    <xf numFmtId="165" fontId="0" fillId="45" borderId="12" xfId="43" applyNumberFormat="1" applyFont="1" applyFill="1" applyBorder="1"/>
    <xf numFmtId="10" fontId="0" fillId="45" borderId="17" xfId="44" applyNumberFormat="1" applyFont="1" applyFill="1" applyBorder="1"/>
    <xf numFmtId="0" fontId="20" fillId="33" borderId="0" xfId="42" applyFont="1" applyFill="1" applyBorder="1" applyAlignment="1">
      <alignment horizontal="left"/>
    </xf>
    <xf numFmtId="9" fontId="0" fillId="33" borderId="14" xfId="44" applyFont="1" applyFill="1" applyBorder="1"/>
    <xf numFmtId="165" fontId="29" fillId="36" borderId="10" xfId="43" applyNumberFormat="1" applyFont="1" applyFill="1" applyBorder="1"/>
    <xf numFmtId="165" fontId="22" fillId="42" borderId="10" xfId="43" applyNumberFormat="1" applyFont="1" applyFill="1" applyBorder="1"/>
    <xf numFmtId="165" fontId="0" fillId="45" borderId="10" xfId="43" applyNumberFormat="1" applyFont="1" applyFill="1" applyBorder="1"/>
    <xf numFmtId="165" fontId="0" fillId="0" borderId="14" xfId="43" applyNumberFormat="1" applyFont="1" applyBorder="1"/>
    <xf numFmtId="165" fontId="0" fillId="45" borderId="0" xfId="43" applyNumberFormat="1" applyFont="1" applyFill="1"/>
    <xf numFmtId="10" fontId="14" fillId="35" borderId="16" xfId="44" applyNumberFormat="1" applyFont="1" applyFill="1" applyBorder="1"/>
    <xf numFmtId="43" fontId="0" fillId="42" borderId="10" xfId="43" applyFont="1" applyFill="1" applyBorder="1"/>
    <xf numFmtId="2" fontId="0" fillId="45" borderId="10" xfId="0" applyNumberFormat="1" applyFill="1" applyBorder="1"/>
    <xf numFmtId="0" fontId="0" fillId="36" borderId="16" xfId="0" applyFill="1" applyBorder="1"/>
    <xf numFmtId="43" fontId="0" fillId="36" borderId="10" xfId="0" applyNumberFormat="1" applyFill="1" applyBorder="1"/>
    <xf numFmtId="10" fontId="0" fillId="36" borderId="16" xfId="0" applyNumberFormat="1" applyFill="1" applyBorder="1"/>
    <xf numFmtId="165" fontId="0" fillId="46" borderId="10" xfId="0" applyNumberFormat="1" applyFill="1" applyBorder="1"/>
    <xf numFmtId="165" fontId="14" fillId="33" borderId="10" xfId="44" applyNumberFormat="1" applyFont="1" applyFill="1" applyBorder="1"/>
    <xf numFmtId="10" fontId="0" fillId="0" borderId="14" xfId="0" applyNumberFormat="1" applyBorder="1"/>
    <xf numFmtId="0" fontId="17" fillId="0" borderId="0" xfId="0" applyFont="1"/>
    <xf numFmtId="43" fontId="17" fillId="0" borderId="0" xfId="43" applyFont="1"/>
    <xf numFmtId="165" fontId="16" fillId="0" borderId="0" xfId="0" applyNumberFormat="1" applyFont="1" applyFill="1" applyBorder="1"/>
    <xf numFmtId="0" fontId="27" fillId="0" borderId="11" xfId="0" applyFont="1" applyFill="1" applyBorder="1" applyAlignment="1"/>
    <xf numFmtId="0" fontId="27" fillId="0" borderId="26" xfId="0" applyFont="1" applyFill="1" applyBorder="1" applyAlignment="1"/>
    <xf numFmtId="165" fontId="27" fillId="0" borderId="0" xfId="43" applyNumberFormat="1" applyFont="1" applyFill="1" applyBorder="1"/>
    <xf numFmtId="43" fontId="16" fillId="0" borderId="0" xfId="0" applyNumberFormat="1" applyFont="1" applyFill="1" applyBorder="1"/>
    <xf numFmtId="0" fontId="0" fillId="0" borderId="0" xfId="0" applyFont="1"/>
    <xf numFmtId="43" fontId="1" fillId="0" borderId="0" xfId="43" applyFont="1"/>
    <xf numFmtId="43" fontId="0" fillId="0" borderId="0" xfId="0" applyNumberFormat="1" applyFont="1"/>
    <xf numFmtId="4" fontId="0" fillId="0" borderId="18" xfId="0" applyNumberFormat="1" applyFont="1" applyBorder="1"/>
    <xf numFmtId="10" fontId="22" fillId="0" borderId="26" xfId="44" applyNumberFormat="1" applyFont="1" applyFill="1" applyBorder="1"/>
    <xf numFmtId="4" fontId="0" fillId="0" borderId="11" xfId="0" applyNumberFormat="1" applyFont="1" applyBorder="1"/>
    <xf numFmtId="10" fontId="22" fillId="0" borderId="11" xfId="44" applyNumberFormat="1" applyFont="1" applyFill="1" applyBorder="1"/>
    <xf numFmtId="167" fontId="0" fillId="0" borderId="11" xfId="0" applyNumberFormat="1" applyFont="1" applyBorder="1"/>
    <xf numFmtId="167" fontId="0" fillId="0" borderId="18" xfId="0" applyNumberFormat="1" applyFont="1" applyBorder="1"/>
    <xf numFmtId="10" fontId="0" fillId="0" borderId="0" xfId="0" applyNumberFormat="1" applyFill="1" applyBorder="1"/>
    <xf numFmtId="4" fontId="0" fillId="0" borderId="0" xfId="0" applyNumberFormat="1" applyBorder="1" applyAlignment="1">
      <alignment horizontal="right"/>
    </xf>
    <xf numFmtId="4" fontId="0" fillId="0" borderId="19" xfId="0" applyNumberFormat="1" applyFont="1" applyFill="1" applyBorder="1"/>
    <xf numFmtId="4" fontId="0" fillId="47" borderId="0" xfId="0" applyNumberFormat="1" applyFont="1" applyFill="1" applyBorder="1"/>
    <xf numFmtId="4" fontId="0" fillId="0" borderId="27" xfId="0" applyNumberFormat="1" applyFill="1" applyBorder="1" applyAlignment="1">
      <alignment horizontal="right"/>
    </xf>
    <xf numFmtId="4" fontId="0" fillId="0" borderId="27" xfId="0" applyNumberFormat="1" applyFont="1" applyBorder="1"/>
    <xf numFmtId="4" fontId="0" fillId="0" borderId="28" xfId="0" applyNumberFormat="1" applyFont="1" applyBorder="1"/>
    <xf numFmtId="10" fontId="22" fillId="0" borderId="14" xfId="44" applyNumberFormat="1" applyFont="1" applyFill="1" applyBorder="1"/>
    <xf numFmtId="10" fontId="22" fillId="0" borderId="0" xfId="44" applyNumberFormat="1" applyFont="1" applyFill="1" applyBorder="1"/>
    <xf numFmtId="43" fontId="0" fillId="42" borderId="0" xfId="0" applyNumberFormat="1" applyFill="1"/>
    <xf numFmtId="3" fontId="0" fillId="39" borderId="0" xfId="0" applyNumberFormat="1" applyFont="1" applyFill="1"/>
    <xf numFmtId="0" fontId="0" fillId="39" borderId="0" xfId="0" applyFont="1" applyFill="1"/>
    <xf numFmtId="43" fontId="0" fillId="39" borderId="0" xfId="43" applyFont="1" applyFill="1"/>
    <xf numFmtId="43" fontId="16" fillId="0" borderId="23" xfId="0" applyNumberFormat="1" applyFont="1" applyFill="1" applyBorder="1"/>
    <xf numFmtId="43" fontId="0" fillId="39" borderId="10" xfId="43" applyFont="1" applyFill="1" applyBorder="1"/>
    <xf numFmtId="0" fontId="16" fillId="39" borderId="0" xfId="0" applyFont="1" applyFill="1"/>
    <xf numFmtId="0" fontId="0" fillId="39" borderId="0" xfId="0" applyFill="1"/>
    <xf numFmtId="43" fontId="16" fillId="39" borderId="0" xfId="43" applyFont="1" applyFill="1"/>
    <xf numFmtId="17" fontId="0" fillId="39" borderId="0" xfId="0" applyNumberFormat="1" applyFill="1"/>
    <xf numFmtId="43" fontId="1" fillId="0" borderId="0" xfId="43" applyFont="1" applyFill="1"/>
    <xf numFmtId="43" fontId="16" fillId="0" borderId="0" xfId="43" applyFont="1"/>
    <xf numFmtId="43" fontId="0" fillId="39" borderId="0" xfId="0" applyNumberFormat="1" applyFill="1"/>
    <xf numFmtId="0" fontId="21" fillId="42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1" fillId="42" borderId="11" xfId="0" applyFont="1" applyFill="1" applyBorder="1" applyAlignment="1">
      <alignment horizontal="center"/>
    </xf>
    <xf numFmtId="43" fontId="0" fillId="48" borderId="0" xfId="43" applyFont="1" applyFill="1"/>
    <xf numFmtId="0" fontId="27" fillId="0" borderId="0" xfId="0" applyFont="1" applyFill="1" applyBorder="1" applyAlignment="1"/>
    <xf numFmtId="43" fontId="22" fillId="42" borderId="0" xfId="43" applyNumberFormat="1" applyFont="1" applyFill="1"/>
    <xf numFmtId="165" fontId="0" fillId="35" borderId="10" xfId="43" applyNumberFormat="1" applyFont="1" applyFill="1" applyBorder="1"/>
    <xf numFmtId="165" fontId="0" fillId="0" borderId="0" xfId="0" applyNumberFormat="1"/>
    <xf numFmtId="165" fontId="0" fillId="0" borderId="0" xfId="0" applyNumberFormat="1" applyBorder="1"/>
    <xf numFmtId="40" fontId="0" fillId="0" borderId="29" xfId="43" applyNumberFormat="1" applyFont="1" applyBorder="1"/>
    <xf numFmtId="43" fontId="1" fillId="0" borderId="0" xfId="43" applyNumberFormat="1" applyFont="1" applyFill="1"/>
    <xf numFmtId="43" fontId="0" fillId="33" borderId="25" xfId="43" applyNumberFormat="1" applyFont="1" applyFill="1" applyBorder="1"/>
    <xf numFmtId="4" fontId="0" fillId="0" borderId="0" xfId="0" applyNumberFormat="1" applyBorder="1"/>
    <xf numFmtId="4" fontId="0" fillId="0" borderId="0" xfId="43" applyNumberFormat="1" applyFont="1" applyFill="1" applyBorder="1"/>
    <xf numFmtId="4" fontId="30" fillId="0" borderId="0" xfId="0" applyNumberFormat="1" applyFont="1" applyFill="1" applyBorder="1"/>
    <xf numFmtId="10" fontId="14" fillId="0" borderId="27" xfId="44" applyNumberFormat="1" applyFont="1" applyFill="1" applyBorder="1"/>
    <xf numFmtId="165" fontId="22" fillId="45" borderId="27" xfId="43" applyNumberFormat="1" applyFont="1" applyFill="1" applyBorder="1"/>
    <xf numFmtId="9" fontId="14" fillId="0" borderId="27" xfId="44" applyNumberFormat="1" applyFont="1" applyFill="1" applyBorder="1"/>
    <xf numFmtId="165" fontId="22" fillId="42" borderId="27" xfId="43" applyNumberFormat="1" applyFont="1" applyFill="1" applyBorder="1"/>
    <xf numFmtId="43" fontId="0" fillId="33" borderId="27" xfId="43" applyFont="1" applyFill="1" applyBorder="1"/>
    <xf numFmtId="10" fontId="14" fillId="33" borderId="27" xfId="44" applyNumberFormat="1" applyFont="1" applyFill="1" applyBorder="1"/>
    <xf numFmtId="165" fontId="0" fillId="45" borderId="27" xfId="43" applyNumberFormat="1" applyFont="1" applyFill="1" applyBorder="1"/>
    <xf numFmtId="0" fontId="31" fillId="0" borderId="11" xfId="0" applyFont="1" applyFill="1" applyBorder="1" applyAlignment="1"/>
    <xf numFmtId="0" fontId="20" fillId="33" borderId="12" xfId="0" applyFont="1" applyFill="1" applyBorder="1" applyAlignment="1">
      <alignment horizontal="center"/>
    </xf>
    <xf numFmtId="0" fontId="20" fillId="33" borderId="12" xfId="0" applyFont="1" applyFill="1" applyBorder="1" applyAlignment="1"/>
    <xf numFmtId="0" fontId="14" fillId="0" borderId="27" xfId="44" applyNumberFormat="1" applyFont="1" applyFill="1" applyBorder="1"/>
    <xf numFmtId="43" fontId="0" fillId="0" borderId="23" xfId="0" applyNumberFormat="1" applyFill="1" applyBorder="1"/>
    <xf numFmtId="0" fontId="22" fillId="0" borderId="14" xfId="0" applyFont="1" applyFill="1" applyBorder="1"/>
    <xf numFmtId="165" fontId="14" fillId="0" borderId="14" xfId="43" applyNumberFormat="1" applyFont="1" applyFill="1" applyBorder="1"/>
    <xf numFmtId="165" fontId="22" fillId="0" borderId="0" xfId="43" applyNumberFormat="1" applyFont="1" applyFill="1"/>
    <xf numFmtId="4" fontId="0" fillId="0" borderId="0" xfId="0" applyNumberFormat="1" applyFill="1" applyBorder="1"/>
    <xf numFmtId="4" fontId="0" fillId="0" borderId="30" xfId="0" applyNumberFormat="1" applyFont="1" applyBorder="1"/>
    <xf numFmtId="10" fontId="14" fillId="0" borderId="26" xfId="44" applyNumberFormat="1" applyFont="1" applyFill="1" applyBorder="1"/>
    <xf numFmtId="0" fontId="13" fillId="35" borderId="22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1" fillId="42" borderId="11" xfId="0" applyFont="1" applyFill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43" fontId="16" fillId="0" borderId="23" xfId="43" applyFont="1" applyFill="1" applyBorder="1" applyAlignment="1">
      <alignment horizontal="center"/>
    </xf>
    <xf numFmtId="0" fontId="31" fillId="0" borderId="11" xfId="0" applyFont="1" applyFill="1" applyBorder="1" applyAlignment="1">
      <alignment horizontal="center"/>
    </xf>
    <xf numFmtId="0" fontId="31" fillId="0" borderId="26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26" xfId="0" applyFont="1" applyFill="1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 2" xfId="46"/>
    <cellStyle name="Currency 3" xfId="47"/>
    <cellStyle name="Currency 4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63"/>
  <sheetViews>
    <sheetView zoomScale="85" zoomScaleNormal="85" workbookViewId="0">
      <pane xSplit="2" ySplit="3" topLeftCell="C120" activePane="bottomRight" state="frozen"/>
      <selection pane="topRight" activeCell="C1" sqref="C1"/>
      <selection pane="bottomLeft" activeCell="A4" sqref="A4"/>
      <selection pane="bottomRight" activeCell="A142" sqref="A142"/>
    </sheetView>
  </sheetViews>
  <sheetFormatPr defaultColWidth="9.140625" defaultRowHeight="15"/>
  <cols>
    <col min="1" max="1" width="6.42578125" style="84" customWidth="1"/>
    <col min="2" max="2" width="34.42578125" style="84" bestFit="1" customWidth="1"/>
    <col min="3" max="3" width="17.140625" style="20" bestFit="1" customWidth="1"/>
    <col min="4" max="4" width="10.85546875" style="88" bestFit="1" customWidth="1"/>
    <col min="5" max="5" width="17.140625" style="20" bestFit="1" customWidth="1"/>
    <col min="6" max="6" width="9.85546875" style="88" bestFit="1" customWidth="1"/>
    <col min="7" max="7" width="15.85546875" style="20" customWidth="1"/>
    <col min="8" max="8" width="12.5703125" style="88" customWidth="1"/>
    <col min="9" max="9" width="18.28515625" style="20" bestFit="1" customWidth="1"/>
    <col min="10" max="10" width="9.85546875" style="88" bestFit="1" customWidth="1"/>
    <col min="11" max="11" width="14.7109375" style="20" customWidth="1"/>
    <col min="12" max="12" width="10.85546875" style="88" bestFit="1" customWidth="1"/>
    <col min="13" max="13" width="18.7109375" style="20" bestFit="1" customWidth="1"/>
    <col min="14" max="14" width="9.85546875" style="88" bestFit="1" customWidth="1"/>
    <col min="15" max="15" width="15.42578125" style="20" customWidth="1"/>
    <col min="16" max="16" width="10.85546875" style="88" bestFit="1" customWidth="1"/>
    <col min="17" max="17" width="17.85546875" style="20" customWidth="1"/>
    <col min="18" max="18" width="10.85546875" style="88" bestFit="1" customWidth="1"/>
    <col min="19" max="19" width="18.28515625" style="20" bestFit="1" customWidth="1"/>
    <col min="20" max="20" width="10.85546875" style="88" bestFit="1" customWidth="1"/>
    <col min="21" max="21" width="17.85546875" style="20" bestFit="1" customWidth="1"/>
    <col min="22" max="22" width="9.85546875" style="88" bestFit="1" customWidth="1"/>
    <col min="23" max="23" width="14" style="20" bestFit="1" customWidth="1"/>
    <col min="24" max="24" width="9.85546875" style="88" bestFit="1" customWidth="1"/>
    <col min="25" max="25" width="18.7109375" style="20" bestFit="1" customWidth="1"/>
    <col min="26" max="26" width="11" style="88" bestFit="1" customWidth="1"/>
    <col min="27" max="27" width="16" style="84" bestFit="1" customWidth="1"/>
    <col min="28" max="28" width="10.85546875" style="88" bestFit="1" customWidth="1"/>
    <col min="29" max="29" width="16" style="84" customWidth="1"/>
    <col min="30" max="30" width="9.85546875" style="88" bestFit="1" customWidth="1"/>
    <col min="31" max="31" width="14" style="86" hidden="1" customWidth="1"/>
    <col min="32" max="32" width="15.28515625" style="87" hidden="1" customWidth="1"/>
    <col min="33" max="33" width="11.42578125" style="111" customWidth="1"/>
    <col min="34" max="34" width="52.42578125" style="1" customWidth="1"/>
    <col min="35" max="35" width="9.5703125" style="1" hidden="1" customWidth="1"/>
    <col min="36" max="36" width="50.140625" style="1" hidden="1" customWidth="1"/>
    <col min="37" max="48" width="9.140625" style="1" customWidth="1"/>
    <col min="49" max="49" width="15" style="1" customWidth="1"/>
    <col min="50" max="50" width="15" style="1" bestFit="1" customWidth="1"/>
    <col min="51" max="16384" width="9.140625" style="1"/>
  </cols>
  <sheetData>
    <row r="1" spans="1:50">
      <c r="A1" s="265" t="s">
        <v>240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1"/>
      <c r="AF1" s="21"/>
      <c r="AG1" s="265"/>
      <c r="AH1" s="265"/>
      <c r="AI1" s="265"/>
      <c r="AJ1" s="265"/>
      <c r="AK1" s="265"/>
      <c r="AL1" s="265"/>
      <c r="AM1" s="265"/>
      <c r="AN1" s="265"/>
      <c r="AO1" s="266"/>
    </row>
    <row r="2" spans="1:50">
      <c r="A2" s="22"/>
      <c r="B2" s="22"/>
      <c r="C2" s="334" t="s">
        <v>64</v>
      </c>
      <c r="D2" s="336"/>
      <c r="E2" s="337" t="s">
        <v>65</v>
      </c>
      <c r="F2" s="337"/>
      <c r="G2" s="334" t="s">
        <v>81</v>
      </c>
      <c r="H2" s="336"/>
      <c r="I2" s="334" t="s">
        <v>82</v>
      </c>
      <c r="J2" s="336"/>
      <c r="K2" s="334" t="s">
        <v>83</v>
      </c>
      <c r="L2" s="336"/>
      <c r="M2" s="334" t="s">
        <v>84</v>
      </c>
      <c r="N2" s="335"/>
      <c r="O2" s="334" t="s">
        <v>85</v>
      </c>
      <c r="P2" s="336"/>
      <c r="Q2" s="334" t="s">
        <v>86</v>
      </c>
      <c r="R2" s="336"/>
      <c r="S2" s="337" t="s">
        <v>87</v>
      </c>
      <c r="T2" s="337"/>
      <c r="U2" s="334" t="s">
        <v>112</v>
      </c>
      <c r="V2" s="336"/>
      <c r="W2" s="334" t="s">
        <v>113</v>
      </c>
      <c r="X2" s="336"/>
      <c r="Y2" s="337" t="s">
        <v>114</v>
      </c>
      <c r="Z2" s="337"/>
      <c r="AA2" s="338" t="s">
        <v>109</v>
      </c>
      <c r="AB2" s="338"/>
      <c r="AC2" s="339" t="s">
        <v>110</v>
      </c>
      <c r="AD2" s="339"/>
      <c r="AE2" s="262"/>
      <c r="AF2" s="263"/>
    </row>
    <row r="3" spans="1:50" ht="15.75" thickBot="1">
      <c r="A3" s="27"/>
      <c r="B3" s="9" t="s">
        <v>69</v>
      </c>
      <c r="C3" s="29" t="s">
        <v>94</v>
      </c>
      <c r="D3" s="48" t="s">
        <v>80</v>
      </c>
      <c r="E3" s="29" t="s">
        <v>94</v>
      </c>
      <c r="F3" s="48" t="s">
        <v>80</v>
      </c>
      <c r="G3" s="29" t="s">
        <v>94</v>
      </c>
      <c r="H3" s="48" t="s">
        <v>80</v>
      </c>
      <c r="I3" s="29" t="s">
        <v>94</v>
      </c>
      <c r="J3" s="48" t="s">
        <v>80</v>
      </c>
      <c r="K3" s="29" t="s">
        <v>94</v>
      </c>
      <c r="L3" s="48" t="s">
        <v>80</v>
      </c>
      <c r="M3" s="29" t="s">
        <v>94</v>
      </c>
      <c r="N3" s="48" t="s">
        <v>80</v>
      </c>
      <c r="O3" s="29" t="s">
        <v>94</v>
      </c>
      <c r="P3" s="48" t="s">
        <v>80</v>
      </c>
      <c r="Q3" s="29" t="s">
        <v>94</v>
      </c>
      <c r="R3" s="48" t="s">
        <v>80</v>
      </c>
      <c r="S3" s="29" t="s">
        <v>94</v>
      </c>
      <c r="T3" s="48" t="s">
        <v>80</v>
      </c>
      <c r="U3" s="29" t="s">
        <v>94</v>
      </c>
      <c r="V3" s="48" t="s">
        <v>80</v>
      </c>
      <c r="W3" s="29" t="s">
        <v>94</v>
      </c>
      <c r="X3" s="48" t="s">
        <v>80</v>
      </c>
      <c r="Y3" s="29" t="s">
        <v>94</v>
      </c>
      <c r="Z3" s="48" t="s">
        <v>80</v>
      </c>
      <c r="AA3" s="57" t="s">
        <v>111</v>
      </c>
      <c r="AB3" s="80" t="s">
        <v>80</v>
      </c>
      <c r="AC3" s="65" t="s">
        <v>95</v>
      </c>
      <c r="AD3" s="75" t="s">
        <v>80</v>
      </c>
      <c r="AE3" s="1"/>
      <c r="AF3" s="21"/>
      <c r="AG3" s="119" t="s">
        <v>218</v>
      </c>
      <c r="AH3" s="118" t="s">
        <v>145</v>
      </c>
    </row>
    <row r="4" spans="1:50">
      <c r="A4" s="1"/>
      <c r="B4" s="1"/>
      <c r="C4" s="16"/>
      <c r="D4" s="49"/>
      <c r="E4" s="16"/>
      <c r="F4" s="49"/>
      <c r="G4" s="16"/>
      <c r="H4" s="49"/>
      <c r="I4" s="16"/>
      <c r="J4" s="49"/>
      <c r="K4" s="16"/>
      <c r="L4" s="49"/>
      <c r="M4" s="16"/>
      <c r="N4" s="49"/>
      <c r="O4" s="16"/>
      <c r="P4" s="49"/>
      <c r="Q4" s="16"/>
      <c r="R4" s="49"/>
      <c r="S4" s="16"/>
      <c r="T4" s="49"/>
      <c r="U4" s="16"/>
      <c r="V4" s="49"/>
      <c r="W4" s="16"/>
      <c r="X4" s="49"/>
      <c r="Y4" s="16"/>
      <c r="Z4" s="49"/>
      <c r="AA4" s="58"/>
      <c r="AB4" s="72"/>
      <c r="AC4" s="66"/>
      <c r="AD4" s="76"/>
      <c r="AE4" s="1"/>
      <c r="AF4" s="21"/>
      <c r="AW4" s="44"/>
      <c r="AX4" s="44"/>
    </row>
    <row r="5" spans="1:50">
      <c r="A5" s="6">
        <v>5004</v>
      </c>
      <c r="B5" s="13" t="s">
        <v>71</v>
      </c>
      <c r="C5" s="19">
        <f>HO!C5+'Gulf Mall'!C5+BTC!C5</f>
        <v>2160201.5441160342</v>
      </c>
      <c r="D5" s="28"/>
      <c r="E5" s="19">
        <f>HO!E5+'Gulf Mall'!E5+BTC!E5</f>
        <v>1680639.9634250789</v>
      </c>
      <c r="F5" s="28"/>
      <c r="G5" s="19">
        <f>HO!G5+'Gulf Mall'!G5+BTC!G5</f>
        <v>2787807.9161524619</v>
      </c>
      <c r="H5" s="28"/>
      <c r="I5" s="19">
        <f>HO!I5+'Gulf Mall'!I5+BTC!I5</f>
        <v>2461618.4049517303</v>
      </c>
      <c r="J5" s="28"/>
      <c r="K5" s="19">
        <f>HO!K5+'Gulf Mall'!K5+BTC!K5</f>
        <v>2251400.7985499576</v>
      </c>
      <c r="L5" s="28"/>
      <c r="M5" s="19">
        <f>HO!M5+'Gulf Mall'!M5+BTC!M5</f>
        <v>3192455.1612022901</v>
      </c>
      <c r="N5" s="28"/>
      <c r="O5" s="19">
        <f>HO!O5+'Gulf Mall'!O5+BTC!O5</f>
        <v>2021176.9506798009</v>
      </c>
      <c r="P5" s="28"/>
      <c r="Q5" s="19">
        <f>HO!Q5+'Gulf Mall'!Q5+BTC!Q5</f>
        <v>2509774.324365017</v>
      </c>
      <c r="R5" s="28"/>
      <c r="S5" s="19">
        <f>HO!S5+'Gulf Mall'!S5+BTC!S5</f>
        <v>2528294.6412565736</v>
      </c>
      <c r="T5" s="28"/>
      <c r="U5" s="19">
        <f>HO!U5+'Gulf Mall'!U5+BTC!U5</f>
        <v>2005459.8173527401</v>
      </c>
      <c r="V5" s="28"/>
      <c r="W5" s="19">
        <f>HO!W5+'Gulf Mall'!W5+BTC!W5</f>
        <v>2040438.103557033</v>
      </c>
      <c r="X5" s="28"/>
      <c r="Y5" s="19">
        <f>HO!Y5+'Gulf Mall'!Y5+BTC!Y5</f>
        <v>3082415.3308377075</v>
      </c>
      <c r="Z5" s="28"/>
      <c r="AA5" s="59">
        <f>C5+E5+G5+I5+K5+M5+O5+Q5+S5+U5+W5+Y5</f>
        <v>28721682.956446424</v>
      </c>
      <c r="AB5" s="60"/>
      <c r="AC5" s="67">
        <f>AA5/12</f>
        <v>2393473.5797038688</v>
      </c>
      <c r="AD5" s="68"/>
      <c r="AE5" s="44">
        <f>C5+E5+G5+I5+K5+M5+O5+Q5+S5+U5+W5+Y5</f>
        <v>28721682.956446424</v>
      </c>
      <c r="AF5" s="21">
        <f>AA5-AE5</f>
        <v>0</v>
      </c>
      <c r="AG5" s="112"/>
      <c r="AW5" s="44"/>
      <c r="AX5" s="44"/>
    </row>
    <row r="6" spans="1:50">
      <c r="A6" s="1">
        <v>5005</v>
      </c>
      <c r="B6" s="1" t="s">
        <v>67</v>
      </c>
      <c r="C6" s="19">
        <f>HO!C6+'Gulf Mall'!C6+BTC!C6</f>
        <v>0</v>
      </c>
      <c r="D6" s="28"/>
      <c r="E6" s="19">
        <f>HO!E6+'Gulf Mall'!E6+BTC!E6</f>
        <v>0</v>
      </c>
      <c r="F6" s="28"/>
      <c r="G6" s="19">
        <f>HO!G6+'Gulf Mall'!G6+BTC!G6</f>
        <v>0</v>
      </c>
      <c r="H6" s="28"/>
      <c r="I6" s="19">
        <f>HO!I6+'Gulf Mall'!I6+BTC!I6</f>
        <v>0</v>
      </c>
      <c r="J6" s="49"/>
      <c r="K6" s="19">
        <f>HO!K6+'Gulf Mall'!K6+BTC!K6</f>
        <v>0</v>
      </c>
      <c r="L6" s="49"/>
      <c r="M6" s="19">
        <f>HO!M6+'Gulf Mall'!M6+BTC!M6</f>
        <v>0</v>
      </c>
      <c r="N6" s="49"/>
      <c r="O6" s="19">
        <f>HO!O6+'Gulf Mall'!O6+BTC!O6</f>
        <v>0</v>
      </c>
      <c r="P6" s="28"/>
      <c r="Q6" s="19">
        <f>HO!Q6+'Gulf Mall'!Q6+BTC!Q6</f>
        <v>0</v>
      </c>
      <c r="R6" s="28"/>
      <c r="S6" s="19">
        <f>HO!S6+'Gulf Mall'!S6+BTC!S6</f>
        <v>0</v>
      </c>
      <c r="T6" s="28"/>
      <c r="U6" s="19">
        <f>HO!U6+'Gulf Mall'!U6+BTC!U6</f>
        <v>0</v>
      </c>
      <c r="V6" s="28"/>
      <c r="W6" s="19">
        <f>HO!W6+'Gulf Mall'!W6+BTC!W6</f>
        <v>0</v>
      </c>
      <c r="X6" s="28"/>
      <c r="Y6" s="19">
        <f>HO!Y6+'Gulf Mall'!Y6+BTC!Y6</f>
        <v>0</v>
      </c>
      <c r="Z6" s="28"/>
      <c r="AA6" s="59">
        <f t="shared" ref="AA6:AA11" si="0">C6+E6+G6+I6+K6+M6+O6+Q6+S6+U6+W6+Y6</f>
        <v>0</v>
      </c>
      <c r="AB6" s="60"/>
      <c r="AC6" s="67">
        <f t="shared" ref="AC6:AC42" si="1">AA6/12</f>
        <v>0</v>
      </c>
      <c r="AD6" s="68"/>
      <c r="AE6" s="44">
        <f t="shared" ref="AE6:AE69" si="2">C6+E6+G6+I6+K6+M6+O6+Q6+S6+U6+W6+Y6</f>
        <v>0</v>
      </c>
      <c r="AF6" s="21">
        <f t="shared" ref="AF6:AF69" si="3">AA6-AE6</f>
        <v>0</v>
      </c>
      <c r="AW6" s="44"/>
      <c r="AX6" s="44"/>
    </row>
    <row r="7" spans="1:50">
      <c r="A7" s="11">
        <v>5051</v>
      </c>
      <c r="B7" s="12" t="s">
        <v>74</v>
      </c>
      <c r="C7" s="19">
        <f>HO!C7+'Gulf Mall'!C7+BTC!C7</f>
        <v>0</v>
      </c>
      <c r="D7" s="28"/>
      <c r="E7" s="19">
        <f>HO!E7+'Gulf Mall'!E7+BTC!E7</f>
        <v>0</v>
      </c>
      <c r="F7" s="28"/>
      <c r="G7" s="19">
        <f>HO!G7+'Gulf Mall'!G7+BTC!G7</f>
        <v>0</v>
      </c>
      <c r="H7" s="28"/>
      <c r="I7" s="19">
        <f>HO!I7+'Gulf Mall'!I7+BTC!I7</f>
        <v>0</v>
      </c>
      <c r="J7" s="28"/>
      <c r="K7" s="19">
        <f>HO!K7+'Gulf Mall'!K7+BTC!K7</f>
        <v>0</v>
      </c>
      <c r="L7" s="28"/>
      <c r="M7" s="19">
        <f>HO!M7+'Gulf Mall'!M7+BTC!M7</f>
        <v>0</v>
      </c>
      <c r="N7" s="28"/>
      <c r="O7" s="19">
        <f>HO!O7+'Gulf Mall'!O7+BTC!O7</f>
        <v>0</v>
      </c>
      <c r="P7" s="28"/>
      <c r="Q7" s="19">
        <f>HO!Q7+'Gulf Mall'!Q7+BTC!Q7</f>
        <v>0</v>
      </c>
      <c r="R7" s="28"/>
      <c r="S7" s="19">
        <f>HO!S7+'Gulf Mall'!S7+BTC!S7</f>
        <v>0</v>
      </c>
      <c r="T7" s="28"/>
      <c r="U7" s="19">
        <f>HO!U7+'Gulf Mall'!U7+BTC!U7</f>
        <v>0</v>
      </c>
      <c r="V7" s="28"/>
      <c r="W7" s="19">
        <f>HO!W7+'Gulf Mall'!W7+BTC!W7</f>
        <v>0</v>
      </c>
      <c r="X7" s="28"/>
      <c r="Y7" s="19">
        <f>HO!Y7+'Gulf Mall'!Y7+BTC!Y7</f>
        <v>0</v>
      </c>
      <c r="Z7" s="28"/>
      <c r="AA7" s="59">
        <f t="shared" si="0"/>
        <v>0</v>
      </c>
      <c r="AB7" s="60"/>
      <c r="AC7" s="67">
        <f t="shared" si="1"/>
        <v>0</v>
      </c>
      <c r="AD7" s="68"/>
      <c r="AE7" s="44">
        <f t="shared" si="2"/>
        <v>0</v>
      </c>
      <c r="AF7" s="21">
        <f t="shared" si="3"/>
        <v>0</v>
      </c>
      <c r="AW7" s="44"/>
      <c r="AX7" s="44"/>
    </row>
    <row r="8" spans="1:50">
      <c r="A8" s="1">
        <v>5052</v>
      </c>
      <c r="B8" s="1" t="s">
        <v>90</v>
      </c>
      <c r="C8" s="19">
        <f>HO!C8+'Gulf Mall'!C8+BTC!C8</f>
        <v>0</v>
      </c>
      <c r="D8" s="28"/>
      <c r="E8" s="19">
        <f>HO!E8+'Gulf Mall'!E8+BTC!E8</f>
        <v>0</v>
      </c>
      <c r="F8" s="28"/>
      <c r="G8" s="19">
        <f>HO!G8+'Gulf Mall'!G8+BTC!G8</f>
        <v>0</v>
      </c>
      <c r="H8" s="28"/>
      <c r="I8" s="19">
        <f>HO!I8+'Gulf Mall'!I8+BTC!I8</f>
        <v>0</v>
      </c>
      <c r="J8" s="28"/>
      <c r="K8" s="19">
        <f>HO!K8+'Gulf Mall'!K8+BTC!K8</f>
        <v>0</v>
      </c>
      <c r="L8" s="28"/>
      <c r="M8" s="19">
        <f>HO!M8+'Gulf Mall'!M8+BTC!M8</f>
        <v>0</v>
      </c>
      <c r="N8" s="28"/>
      <c r="O8" s="19">
        <f>HO!O8+'Gulf Mall'!O8+BTC!O8</f>
        <v>0</v>
      </c>
      <c r="P8" s="28"/>
      <c r="Q8" s="19">
        <f>HO!Q8+'Gulf Mall'!Q8+BTC!Q8</f>
        <v>0</v>
      </c>
      <c r="R8" s="28"/>
      <c r="S8" s="19">
        <f>HO!S8+'Gulf Mall'!S8+BTC!S8</f>
        <v>0</v>
      </c>
      <c r="T8" s="28"/>
      <c r="U8" s="19">
        <f>HO!U8+'Gulf Mall'!U8+BTC!U8</f>
        <v>0</v>
      </c>
      <c r="V8" s="28"/>
      <c r="W8" s="19">
        <f>HO!W8+'Gulf Mall'!W8+BTC!W8</f>
        <v>0</v>
      </c>
      <c r="X8" s="28"/>
      <c r="Y8" s="19">
        <f>HO!Y8+'Gulf Mall'!Y8+BTC!Y8</f>
        <v>0</v>
      </c>
      <c r="Z8" s="28"/>
      <c r="AA8" s="59">
        <f t="shared" si="0"/>
        <v>0</v>
      </c>
      <c r="AB8" s="60"/>
      <c r="AC8" s="67">
        <f t="shared" si="1"/>
        <v>0</v>
      </c>
      <c r="AD8" s="68"/>
      <c r="AE8" s="44">
        <f t="shared" si="2"/>
        <v>0</v>
      </c>
      <c r="AF8" s="21">
        <f t="shared" si="3"/>
        <v>0</v>
      </c>
      <c r="AW8" s="44"/>
      <c r="AX8" s="44"/>
    </row>
    <row r="9" spans="1:50">
      <c r="A9" s="1">
        <v>5101</v>
      </c>
      <c r="B9" s="1" t="s">
        <v>46</v>
      </c>
      <c r="C9" s="19">
        <f>HO!C9+'Gulf Mall'!C9+BTC!C9</f>
        <v>0</v>
      </c>
      <c r="D9" s="28"/>
      <c r="E9" s="19">
        <f>HO!E9+'Gulf Mall'!E9+BTC!E9</f>
        <v>0</v>
      </c>
      <c r="F9" s="28"/>
      <c r="G9" s="19">
        <f>HO!G9+'Gulf Mall'!G9+BTC!G9</f>
        <v>0</v>
      </c>
      <c r="H9" s="28"/>
      <c r="I9" s="19">
        <f>HO!I9+'Gulf Mall'!I9+BTC!I9</f>
        <v>0</v>
      </c>
      <c r="J9" s="28"/>
      <c r="K9" s="19">
        <f>HO!K9+'Gulf Mall'!K9+BTC!K9</f>
        <v>0</v>
      </c>
      <c r="L9" s="28"/>
      <c r="M9" s="19">
        <f>HO!M9+'Gulf Mall'!M9+BTC!M9</f>
        <v>0</v>
      </c>
      <c r="N9" s="28"/>
      <c r="O9" s="19">
        <f>HO!O9+'Gulf Mall'!O9+BTC!O9</f>
        <v>0</v>
      </c>
      <c r="P9" s="28"/>
      <c r="Q9" s="19">
        <f>HO!Q9+'Gulf Mall'!Q9+BTC!Q9</f>
        <v>0</v>
      </c>
      <c r="R9" s="28"/>
      <c r="S9" s="19">
        <f>HO!S9+'Gulf Mall'!S9+BTC!S9</f>
        <v>0</v>
      </c>
      <c r="T9" s="28"/>
      <c r="U9" s="19">
        <f>HO!U9+'Gulf Mall'!U9+BTC!U9</f>
        <v>0</v>
      </c>
      <c r="V9" s="28"/>
      <c r="W9" s="19">
        <f>HO!W9+'Gulf Mall'!W9+BTC!W9</f>
        <v>0</v>
      </c>
      <c r="X9" s="28"/>
      <c r="Y9" s="19">
        <f>HO!Y9+'Gulf Mall'!Y9+BTC!Y9</f>
        <v>0</v>
      </c>
      <c r="Z9" s="28"/>
      <c r="AA9" s="59">
        <f t="shared" si="0"/>
        <v>0</v>
      </c>
      <c r="AB9" s="60"/>
      <c r="AC9" s="67">
        <f t="shared" si="1"/>
        <v>0</v>
      </c>
      <c r="AD9" s="68"/>
      <c r="AE9" s="44">
        <f t="shared" si="2"/>
        <v>0</v>
      </c>
      <c r="AF9" s="21">
        <f t="shared" si="3"/>
        <v>0</v>
      </c>
      <c r="AW9" s="44"/>
      <c r="AX9" s="44"/>
    </row>
    <row r="10" spans="1:50">
      <c r="A10" s="1">
        <v>5102</v>
      </c>
      <c r="B10" s="1" t="s">
        <v>159</v>
      </c>
      <c r="C10" s="19">
        <f>HO!C10+'Gulf Mall'!C10+BTC!C10</f>
        <v>0</v>
      </c>
      <c r="D10" s="28"/>
      <c r="E10" s="19">
        <f>HO!E10+'Gulf Mall'!E10+BTC!E10</f>
        <v>0</v>
      </c>
      <c r="F10" s="28"/>
      <c r="G10" s="19">
        <f>HO!G10+'Gulf Mall'!G10+BTC!G10</f>
        <v>0</v>
      </c>
      <c r="H10" s="28"/>
      <c r="I10" s="19">
        <f>HO!I10+'Gulf Mall'!I10+BTC!I10</f>
        <v>0</v>
      </c>
      <c r="J10" s="28"/>
      <c r="K10" s="19">
        <f>HO!K10+'Gulf Mall'!K10+BTC!K10</f>
        <v>0</v>
      </c>
      <c r="L10" s="28"/>
      <c r="M10" s="19">
        <f>HO!M10+'Gulf Mall'!M10+BTC!M10</f>
        <v>0</v>
      </c>
      <c r="N10" s="28"/>
      <c r="O10" s="19">
        <f>HO!O10+'Gulf Mall'!O10+BTC!O10</f>
        <v>0</v>
      </c>
      <c r="P10" s="28"/>
      <c r="Q10" s="19">
        <f>HO!Q10+'Gulf Mall'!Q10+BTC!Q10</f>
        <v>0</v>
      </c>
      <c r="R10" s="28"/>
      <c r="S10" s="19">
        <f>HO!S10+'Gulf Mall'!S10+BTC!S10</f>
        <v>0</v>
      </c>
      <c r="T10" s="28"/>
      <c r="U10" s="19">
        <f>HO!U10+'Gulf Mall'!U10+BTC!U10</f>
        <v>0</v>
      </c>
      <c r="V10" s="28"/>
      <c r="W10" s="19">
        <f>HO!W10+'Gulf Mall'!W10+BTC!W10</f>
        <v>0</v>
      </c>
      <c r="X10" s="28"/>
      <c r="Y10" s="19">
        <f>HO!Y10+'Gulf Mall'!Y10+BTC!Y10</f>
        <v>0</v>
      </c>
      <c r="Z10" s="28"/>
      <c r="AA10" s="59">
        <f t="shared" si="0"/>
        <v>0</v>
      </c>
      <c r="AB10" s="60"/>
      <c r="AC10" s="67">
        <f t="shared" si="1"/>
        <v>0</v>
      </c>
      <c r="AD10" s="68"/>
      <c r="AE10" s="44">
        <f t="shared" si="2"/>
        <v>0</v>
      </c>
      <c r="AF10" s="21">
        <f t="shared" si="3"/>
        <v>0</v>
      </c>
      <c r="AW10" s="44"/>
      <c r="AX10" s="44"/>
    </row>
    <row r="11" spans="1:50">
      <c r="A11" s="1">
        <v>5103</v>
      </c>
      <c r="B11" s="1" t="s">
        <v>63</v>
      </c>
      <c r="C11" s="16">
        <f>HO!C11+'Gulf Mall'!C11+BTC!C11</f>
        <v>0</v>
      </c>
      <c r="D11" s="28"/>
      <c r="E11" s="16">
        <f>HO!E11+'Gulf Mall'!E11+BTC!E11</f>
        <v>0</v>
      </c>
      <c r="F11" s="28"/>
      <c r="G11" s="16">
        <f>HO!G11+'Gulf Mall'!G11+BTC!G11</f>
        <v>0</v>
      </c>
      <c r="H11" s="28"/>
      <c r="I11" s="16">
        <f>HO!I11+'Gulf Mall'!I11+BTC!I11</f>
        <v>0</v>
      </c>
      <c r="J11" s="28"/>
      <c r="K11" s="16">
        <f>HO!K11+'Gulf Mall'!K11+BTC!K11</f>
        <v>0</v>
      </c>
      <c r="L11" s="28"/>
      <c r="M11" s="16">
        <f>HO!M11+'Gulf Mall'!M11+BTC!M11</f>
        <v>0</v>
      </c>
      <c r="N11" s="28"/>
      <c r="O11" s="16">
        <f>HO!O11+'Gulf Mall'!O11+BTC!O11</f>
        <v>0</v>
      </c>
      <c r="P11" s="28"/>
      <c r="Q11" s="16">
        <f>HO!Q11+'Gulf Mall'!Q11+BTC!Q11</f>
        <v>0</v>
      </c>
      <c r="R11" s="28"/>
      <c r="S11" s="16">
        <f>HO!S11+'Gulf Mall'!S11+BTC!S11</f>
        <v>0</v>
      </c>
      <c r="T11" s="28"/>
      <c r="U11" s="16">
        <f>HO!U11+'Gulf Mall'!U11+BTC!U11</f>
        <v>0</v>
      </c>
      <c r="V11" s="28"/>
      <c r="W11" s="16">
        <f>HO!W11+'Gulf Mall'!W11+BTC!W11</f>
        <v>0</v>
      </c>
      <c r="X11" s="28"/>
      <c r="Y11" s="16">
        <f>HO!Y11+'Gulf Mall'!Y11+BTC!Y11</f>
        <v>0</v>
      </c>
      <c r="Z11" s="28"/>
      <c r="AA11" s="59">
        <f t="shared" si="0"/>
        <v>0</v>
      </c>
      <c r="AB11" s="60"/>
      <c r="AC11" s="67">
        <f t="shared" si="1"/>
        <v>0</v>
      </c>
      <c r="AD11" s="68"/>
      <c r="AE11" s="44">
        <f t="shared" si="2"/>
        <v>0</v>
      </c>
      <c r="AF11" s="21">
        <f t="shared" si="3"/>
        <v>0</v>
      </c>
      <c r="AW11" s="44"/>
      <c r="AX11" s="44"/>
    </row>
    <row r="12" spans="1:50" ht="15.75" thickBot="1">
      <c r="A12" s="30">
        <v>5149</v>
      </c>
      <c r="B12" s="30" t="s">
        <v>66</v>
      </c>
      <c r="C12" s="31">
        <f>HO!C12+'Gulf Mall'!C12+BTC!C12</f>
        <v>2160201.5441160342</v>
      </c>
      <c r="D12" s="52">
        <f>C12/C$145</f>
        <v>3.0577042372488186</v>
      </c>
      <c r="E12" s="31">
        <f>HO!E12+'Gulf Mall'!E12+BTC!E12</f>
        <v>1680639.9634250789</v>
      </c>
      <c r="F12" s="52">
        <f>E12/E$145</f>
        <v>2.1779930164000127</v>
      </c>
      <c r="G12" s="31">
        <f>HO!G12+'Gulf Mall'!G12+BTC!G12</f>
        <v>2787807.9161524619</v>
      </c>
      <c r="H12" s="52">
        <f>G12/G$145</f>
        <v>3.6347178474466086</v>
      </c>
      <c r="I12" s="31">
        <f>HO!I12+'Gulf Mall'!I12+BTC!I12</f>
        <v>2461618.4049517303</v>
      </c>
      <c r="J12" s="52">
        <f>I12/I$145</f>
        <v>3.1593118092624346</v>
      </c>
      <c r="K12" s="31">
        <f>HO!K12+'Gulf Mall'!K12+BTC!K12</f>
        <v>2251400.7985499576</v>
      </c>
      <c r="L12" s="52">
        <f>K12/K$145</f>
        <v>2.7089724912514268</v>
      </c>
      <c r="M12" s="31">
        <f>HO!M12+'Gulf Mall'!M12+BTC!M12</f>
        <v>3192455.1612022901</v>
      </c>
      <c r="N12" s="52">
        <f>M12/M$145</f>
        <v>4.4302373955412042</v>
      </c>
      <c r="O12" s="31">
        <f>HO!O12+'Gulf Mall'!O12+BTC!O12</f>
        <v>2021176.9506798009</v>
      </c>
      <c r="P12" s="52">
        <f>O12/O$145</f>
        <v>2.6745985767429734</v>
      </c>
      <c r="Q12" s="31">
        <f>HO!Q12+'Gulf Mall'!Q12+BTC!Q12</f>
        <v>2509774.324365017</v>
      </c>
      <c r="R12" s="52">
        <f>Q12/Q$145</f>
        <v>3.183209775668312</v>
      </c>
      <c r="S12" s="31">
        <f>HO!S12+'Gulf Mall'!S12+BTC!S12</f>
        <v>2528294.6412565736</v>
      </c>
      <c r="T12" s="52">
        <f>S12/S$145</f>
        <v>3.3002469712260574</v>
      </c>
      <c r="U12" s="31">
        <f>HO!U12+'Gulf Mall'!U12+BTC!U12</f>
        <v>2005459.8173527401</v>
      </c>
      <c r="V12" s="52">
        <f>U12/U$145</f>
        <v>2.6237799050896391</v>
      </c>
      <c r="W12" s="31">
        <f>HO!W12+'Gulf Mall'!W12+BTC!W12</f>
        <v>2040438.103557033</v>
      </c>
      <c r="X12" s="52">
        <f>W12/W$145</f>
        <v>2.6036663683636307</v>
      </c>
      <c r="Y12" s="31">
        <f>HO!Y12+'Gulf Mall'!Y12+BTC!Y12</f>
        <v>3082415.3308377075</v>
      </c>
      <c r="Z12" s="52">
        <f>Y12/Y$145</f>
        <v>3.9358364110220241</v>
      </c>
      <c r="AA12" s="61">
        <f>AA5+AA6-AA7-AA8-AA9+AA11</f>
        <v>28721682.956446424</v>
      </c>
      <c r="AB12" s="74">
        <f>AA12/AA$145</f>
        <v>3.1160318886791059</v>
      </c>
      <c r="AC12" s="24">
        <f t="shared" si="1"/>
        <v>2393473.5797038688</v>
      </c>
      <c r="AD12" s="77">
        <f>AC12/AC$145</f>
        <v>3.1160318886791059</v>
      </c>
      <c r="AE12" s="44">
        <f t="shared" si="2"/>
        <v>28721682.956446424</v>
      </c>
      <c r="AF12" s="21">
        <f t="shared" si="3"/>
        <v>0</v>
      </c>
      <c r="AW12" s="44"/>
      <c r="AX12" s="44"/>
    </row>
    <row r="13" spans="1:50" ht="15.75" thickTop="1">
      <c r="A13" s="1">
        <v>5151</v>
      </c>
      <c r="B13" s="1" t="s">
        <v>47</v>
      </c>
      <c r="C13" s="16">
        <f>HO!C13+'Gulf Mall'!C13+BTC!C13</f>
        <v>0</v>
      </c>
      <c r="D13" s="28"/>
      <c r="E13" s="16">
        <f>HO!E13+'Gulf Mall'!E13+BTC!E13</f>
        <v>0</v>
      </c>
      <c r="F13" s="28">
        <f>E13/E$145</f>
        <v>0</v>
      </c>
      <c r="G13" s="16">
        <f>HO!G13+'Gulf Mall'!G13+BTC!G13</f>
        <v>0</v>
      </c>
      <c r="H13" s="28">
        <f>G13/G$145</f>
        <v>0</v>
      </c>
      <c r="I13" s="16">
        <f>HO!I13+'Gulf Mall'!I13+BTC!I13</f>
        <v>0.02</v>
      </c>
      <c r="J13" s="28">
        <f>I13/I$145</f>
        <v>2.566857481165433E-8</v>
      </c>
      <c r="K13" s="16">
        <f>HO!K13+'Gulf Mall'!K13+BTC!K13</f>
        <v>0</v>
      </c>
      <c r="L13" s="28">
        <f>K13/K$145</f>
        <v>0</v>
      </c>
      <c r="M13" s="16">
        <f>HO!M13+'Gulf Mall'!M13+BTC!M13</f>
        <v>-0.01</v>
      </c>
      <c r="N13" s="28">
        <f>M13/M$145</f>
        <v>-1.3877211023608428E-8</v>
      </c>
      <c r="O13" s="16">
        <f>HO!O13+'Gulf Mall'!O13+BTC!O13</f>
        <v>0</v>
      </c>
      <c r="P13" s="28">
        <f>O13/O$145</f>
        <v>0</v>
      </c>
      <c r="Q13" s="16">
        <f>HO!Q13+'Gulf Mall'!Q13+BTC!Q13</f>
        <v>0</v>
      </c>
      <c r="R13" s="28">
        <f>Q13/Q$145</f>
        <v>0</v>
      </c>
      <c r="S13" s="16">
        <f>HO!S13+'Gulf Mall'!S13+BTC!S13</f>
        <v>0</v>
      </c>
      <c r="T13" s="28">
        <f>S13/S$145</f>
        <v>0</v>
      </c>
      <c r="U13" s="16">
        <f>HO!U13+'Gulf Mall'!U13+BTC!U13</f>
        <v>0</v>
      </c>
      <c r="V13" s="28">
        <f>U13/U$145</f>
        <v>0</v>
      </c>
      <c r="W13" s="16">
        <f>HO!W13+'Gulf Mall'!W13+BTC!W13</f>
        <v>0</v>
      </c>
      <c r="X13" s="28">
        <f>W13/W$145</f>
        <v>0</v>
      </c>
      <c r="Y13" s="16">
        <f>HO!Y13+'Gulf Mall'!Y13+BTC!Y13</f>
        <v>0</v>
      </c>
      <c r="Z13" s="28">
        <f>Y13/Y$145</f>
        <v>0</v>
      </c>
      <c r="AA13" s="59">
        <f t="shared" ref="AA13:AA14" si="4">C13+E13+G13+I13+K13+M13+O13+Q13+S13+U13+W13+Y13</f>
        <v>0.01</v>
      </c>
      <c r="AB13" s="60">
        <f>AA13/AA$145</f>
        <v>1.084905746437024E-9</v>
      </c>
      <c r="AC13" s="67">
        <f t="shared" si="1"/>
        <v>8.3333333333333339E-4</v>
      </c>
      <c r="AD13" s="68">
        <f>AC13/AC$145</f>
        <v>1.084905746437024E-9</v>
      </c>
      <c r="AE13" s="44">
        <f t="shared" si="2"/>
        <v>0.01</v>
      </c>
      <c r="AF13" s="21">
        <f t="shared" si="3"/>
        <v>0</v>
      </c>
      <c r="AW13" s="44"/>
      <c r="AX13" s="44"/>
    </row>
    <row r="14" spans="1:50">
      <c r="A14" s="1">
        <v>5152</v>
      </c>
      <c r="B14" s="1" t="s">
        <v>48</v>
      </c>
      <c r="C14" s="16">
        <f>HO!C14+'Gulf Mall'!C14+BTC!C14</f>
        <v>0</v>
      </c>
      <c r="D14" s="28"/>
      <c r="E14" s="16">
        <f>HO!E14+'Gulf Mall'!E14+BTC!E14</f>
        <v>0</v>
      </c>
      <c r="F14" s="28">
        <f>E14/E$145</f>
        <v>0</v>
      </c>
      <c r="G14" s="16">
        <f>HO!G14+'Gulf Mall'!G14+BTC!G14</f>
        <v>0</v>
      </c>
      <c r="H14" s="28">
        <f>G14/G$145</f>
        <v>0</v>
      </c>
      <c r="I14" s="16">
        <f>HO!I14+'Gulf Mall'!I14+BTC!I14</f>
        <v>0</v>
      </c>
      <c r="J14" s="28">
        <f>I14/I$145</f>
        <v>0</v>
      </c>
      <c r="K14" s="16">
        <f>HO!K14+'Gulf Mall'!K14+BTC!K14</f>
        <v>0</v>
      </c>
      <c r="L14" s="28">
        <f>K14/K$145</f>
        <v>0</v>
      </c>
      <c r="M14" s="16">
        <f>HO!M14+'Gulf Mall'!M14+BTC!M14</f>
        <v>0</v>
      </c>
      <c r="N14" s="28">
        <f>M14/M$145</f>
        <v>0</v>
      </c>
      <c r="O14" s="16">
        <f>HO!O14+'Gulf Mall'!O14+BTC!O14</f>
        <v>0</v>
      </c>
      <c r="P14" s="28">
        <f>O14/O$145</f>
        <v>0</v>
      </c>
      <c r="Q14" s="16">
        <f>HO!Q14+'Gulf Mall'!Q14+BTC!Q14</f>
        <v>0</v>
      </c>
      <c r="R14" s="28">
        <f>Q14/Q$145</f>
        <v>0</v>
      </c>
      <c r="S14" s="16">
        <f>HO!S14+'Gulf Mall'!S14+BTC!S14</f>
        <v>0</v>
      </c>
      <c r="T14" s="28">
        <f>S14/S$145</f>
        <v>0</v>
      </c>
      <c r="U14" s="16">
        <f>HO!U14+'Gulf Mall'!U14+BTC!U14</f>
        <v>0</v>
      </c>
      <c r="V14" s="28">
        <f>U14/U$145</f>
        <v>0</v>
      </c>
      <c r="W14" s="16">
        <f>HO!W14+'Gulf Mall'!W14+BTC!W14</f>
        <v>0</v>
      </c>
      <c r="X14" s="28">
        <f>W14/W$145</f>
        <v>0</v>
      </c>
      <c r="Y14" s="16">
        <f>HO!Y14+'Gulf Mall'!Y14+BTC!Y14</f>
        <v>0</v>
      </c>
      <c r="Z14" s="28">
        <f>Y14/Y$145</f>
        <v>0</v>
      </c>
      <c r="AA14" s="59">
        <f t="shared" si="4"/>
        <v>0</v>
      </c>
      <c r="AB14" s="60">
        <f>AA14/AA$145</f>
        <v>0</v>
      </c>
      <c r="AC14" s="67">
        <f t="shared" si="1"/>
        <v>0</v>
      </c>
      <c r="AD14" s="68">
        <f>AC14/AC$145</f>
        <v>0</v>
      </c>
      <c r="AE14" s="44">
        <f t="shared" si="2"/>
        <v>0</v>
      </c>
      <c r="AF14" s="21">
        <f t="shared" si="3"/>
        <v>0</v>
      </c>
      <c r="AW14" s="44"/>
      <c r="AX14" s="44"/>
    </row>
    <row r="15" spans="1:50" ht="15.75" thickBot="1">
      <c r="A15" s="30">
        <v>5198</v>
      </c>
      <c r="B15" s="30" t="s">
        <v>96</v>
      </c>
      <c r="C15" s="32">
        <f>HO!C15+'Gulf Mall'!C15+BTC!C15</f>
        <v>0</v>
      </c>
      <c r="D15" s="53">
        <f>C15/C$145</f>
        <v>0</v>
      </c>
      <c r="E15" s="32">
        <f>HO!E15+'Gulf Mall'!E15+BTC!E15</f>
        <v>0</v>
      </c>
      <c r="F15" s="53">
        <f>E15/E$145</f>
        <v>0</v>
      </c>
      <c r="G15" s="32">
        <f>HO!G15+'Gulf Mall'!G15+BTC!G15</f>
        <v>0</v>
      </c>
      <c r="H15" s="53">
        <f>G15/G$145</f>
        <v>0</v>
      </c>
      <c r="I15" s="32">
        <f>HO!I15+'Gulf Mall'!I15+BTC!I15</f>
        <v>0.02</v>
      </c>
      <c r="J15" s="53">
        <f>I15/I$145</f>
        <v>2.566857481165433E-8</v>
      </c>
      <c r="K15" s="32">
        <f>HO!K15+'Gulf Mall'!K15+BTC!K15</f>
        <v>0</v>
      </c>
      <c r="L15" s="53">
        <f>K15/K$145</f>
        <v>0</v>
      </c>
      <c r="M15" s="32">
        <f>HO!M15+'Gulf Mall'!M15+BTC!M15</f>
        <v>-0.01</v>
      </c>
      <c r="N15" s="53">
        <f>M15/M$145</f>
        <v>-1.3877211023608428E-8</v>
      </c>
      <c r="O15" s="32">
        <f>HO!O15+'Gulf Mall'!O15+BTC!O15</f>
        <v>0</v>
      </c>
      <c r="P15" s="53">
        <f>O15/O$145</f>
        <v>0</v>
      </c>
      <c r="Q15" s="32">
        <f>HO!Q15+'Gulf Mall'!Q15+BTC!Q15</f>
        <v>0</v>
      </c>
      <c r="R15" s="53">
        <f>Q15/Q$145</f>
        <v>0</v>
      </c>
      <c r="S15" s="32">
        <f>HO!S15+'Gulf Mall'!S15+BTC!S15</f>
        <v>0</v>
      </c>
      <c r="T15" s="53">
        <f>S15/S$145</f>
        <v>0</v>
      </c>
      <c r="U15" s="32">
        <f>HO!U15+'Gulf Mall'!U15+BTC!U15</f>
        <v>0</v>
      </c>
      <c r="V15" s="53">
        <f>U15/U$145</f>
        <v>0</v>
      </c>
      <c r="W15" s="32">
        <f>HO!W15+'Gulf Mall'!W15+BTC!W15</f>
        <v>0</v>
      </c>
      <c r="X15" s="53">
        <f>W15/W$145</f>
        <v>0</v>
      </c>
      <c r="Y15" s="32">
        <f>HO!Y15+'Gulf Mall'!Y15+BTC!Y15</f>
        <v>0</v>
      </c>
      <c r="Z15" s="53">
        <f>Y15/Y$145</f>
        <v>0</v>
      </c>
      <c r="AA15" s="61">
        <f>AA13+AA14</f>
        <v>0.01</v>
      </c>
      <c r="AB15" s="73">
        <f>AA15/AA$145</f>
        <v>1.084905746437024E-9</v>
      </c>
      <c r="AC15" s="24">
        <f t="shared" si="1"/>
        <v>8.3333333333333339E-4</v>
      </c>
      <c r="AD15" s="78">
        <f>AC15/AC$145</f>
        <v>1.084905746437024E-9</v>
      </c>
      <c r="AE15" s="44">
        <f t="shared" si="2"/>
        <v>0.01</v>
      </c>
      <c r="AF15" s="21">
        <f t="shared" si="3"/>
        <v>0</v>
      </c>
      <c r="AW15" s="44"/>
      <c r="AX15" s="44"/>
    </row>
    <row r="16" spans="1:50" ht="16.5" thickTop="1" thickBot="1">
      <c r="A16" s="25">
        <v>5199</v>
      </c>
      <c r="B16" s="25" t="s">
        <v>70</v>
      </c>
      <c r="C16" s="103">
        <f>HO!C16+'Gulf Mall'!C16+BTC!C16</f>
        <v>2160201.5441160342</v>
      </c>
      <c r="D16" s="47">
        <f>C16/C$145</f>
        <v>3.0577042372488186</v>
      </c>
      <c r="E16" s="103">
        <f>HO!E16+'Gulf Mall'!E16+BTC!E16</f>
        <v>1680639.9634250789</v>
      </c>
      <c r="F16" s="47">
        <f>E16/E$145</f>
        <v>2.1779930164000127</v>
      </c>
      <c r="G16" s="103">
        <f>HO!G16+'Gulf Mall'!G16+BTC!G16</f>
        <v>2787807.9161524619</v>
      </c>
      <c r="H16" s="47">
        <f>G16/G$145</f>
        <v>3.6347178474466086</v>
      </c>
      <c r="I16" s="103">
        <f>HO!I16+'Gulf Mall'!I16+BTC!I16</f>
        <v>2461618.4249517303</v>
      </c>
      <c r="J16" s="47">
        <f>I16/I$145</f>
        <v>3.1593118349310094</v>
      </c>
      <c r="K16" s="103">
        <f>HO!K16+'Gulf Mall'!K16+BTC!K16</f>
        <v>2251400.7985499576</v>
      </c>
      <c r="L16" s="47">
        <f>K16/K$145</f>
        <v>2.7089724912514268</v>
      </c>
      <c r="M16" s="103">
        <f>HO!M16+'Gulf Mall'!M16+BTC!M16</f>
        <v>3192455.1512022903</v>
      </c>
      <c r="N16" s="47">
        <f>M16/M$145</f>
        <v>4.4302373816639937</v>
      </c>
      <c r="O16" s="103">
        <f>HO!O16+'Gulf Mall'!O16+BTC!O16</f>
        <v>2021176.9506798009</v>
      </c>
      <c r="P16" s="47">
        <f>O16/O$145</f>
        <v>2.6745985767429734</v>
      </c>
      <c r="Q16" s="103">
        <f>HO!Q16+'Gulf Mall'!Q16+BTC!Q16</f>
        <v>2509774.324365017</v>
      </c>
      <c r="R16" s="47">
        <f>Q16/Q$145</f>
        <v>3.183209775668312</v>
      </c>
      <c r="S16" s="103">
        <f>HO!S16+'Gulf Mall'!S16+BTC!S16</f>
        <v>2528294.6412565736</v>
      </c>
      <c r="T16" s="47">
        <f>S16/S$145</f>
        <v>3.3002469712260574</v>
      </c>
      <c r="U16" s="103">
        <f>HO!U16+'Gulf Mall'!U16+BTC!U16</f>
        <v>2005459.8173527401</v>
      </c>
      <c r="V16" s="47">
        <f>U16/U$145</f>
        <v>2.6237799050896391</v>
      </c>
      <c r="W16" s="103">
        <f>HO!W16+'Gulf Mall'!W16+BTC!W16</f>
        <v>2040438.103557033</v>
      </c>
      <c r="X16" s="47">
        <f>W16/W$145</f>
        <v>2.6036663683636307</v>
      </c>
      <c r="Y16" s="103">
        <f>HO!Y16+'Gulf Mall'!Y16+BTC!Y16</f>
        <v>3082415.3308377075</v>
      </c>
      <c r="Z16" s="47">
        <f>Y16/Y$145</f>
        <v>3.9358364110220241</v>
      </c>
      <c r="AA16" s="62">
        <f>AA12+AA15</f>
        <v>28721682.966446426</v>
      </c>
      <c r="AB16" s="74">
        <f>AA16/AA$145</f>
        <v>3.1160318897640118</v>
      </c>
      <c r="AC16" s="69">
        <f t="shared" si="1"/>
        <v>2393473.5805372023</v>
      </c>
      <c r="AD16" s="77">
        <f>AC16/AC$145</f>
        <v>3.1160318897640118</v>
      </c>
      <c r="AE16" s="44">
        <f t="shared" si="2"/>
        <v>28721682.966446422</v>
      </c>
      <c r="AF16" s="21">
        <f t="shared" si="3"/>
        <v>0</v>
      </c>
      <c r="AW16" s="44"/>
      <c r="AX16" s="44"/>
    </row>
    <row r="17" spans="1:50" ht="15.75" thickTop="1">
      <c r="A17" s="10">
        <v>5502</v>
      </c>
      <c r="B17" s="5" t="s">
        <v>49</v>
      </c>
      <c r="C17" s="85">
        <f>HO!C17+'Gulf Mall'!C17+BTC!C17</f>
        <v>1030200.1163889366</v>
      </c>
      <c r="D17" s="28"/>
      <c r="E17" s="85">
        <f>HO!E17+'Gulf Mall'!E17+BTC!E17</f>
        <v>705364.59264950559</v>
      </c>
      <c r="F17" s="28"/>
      <c r="G17" s="85">
        <f>HO!G17+'Gulf Mall'!G17+BTC!G17</f>
        <v>1255071.1238518385</v>
      </c>
      <c r="H17" s="28"/>
      <c r="I17" s="85">
        <f>HO!I17+'Gulf Mall'!I17+BTC!I17</f>
        <v>1038556.805049135</v>
      </c>
      <c r="J17" s="28"/>
      <c r="K17" s="85">
        <f>HO!K17+'Gulf Mall'!K17+BTC!K17</f>
        <v>879622.29199346842</v>
      </c>
      <c r="L17" s="28"/>
      <c r="M17" s="85">
        <f>HO!M17+'Gulf Mall'!M17+BTC!M17</f>
        <v>1577392.0951500514</v>
      </c>
      <c r="N17" s="28"/>
      <c r="O17" s="85">
        <f>HO!O17+'Gulf Mall'!O17+BTC!O17</f>
        <v>905083.03851441492</v>
      </c>
      <c r="P17" s="28"/>
      <c r="Q17" s="85">
        <f>HO!Q17+'Gulf Mall'!Q17+BTC!Q17</f>
        <v>1105555.5898827899</v>
      </c>
      <c r="R17" s="28"/>
      <c r="S17" s="85">
        <f>HO!S17+'Gulf Mall'!S17+BTC!S17</f>
        <v>1135962.7823165786</v>
      </c>
      <c r="T17" s="28"/>
      <c r="U17" s="85">
        <f>HO!U17+'Gulf Mall'!U17+BTC!U17</f>
        <v>865757.00315117801</v>
      </c>
      <c r="V17" s="28"/>
      <c r="W17" s="85">
        <f>HO!W17+'Gulf Mall'!W17+BTC!W17</f>
        <v>855963.78444217541</v>
      </c>
      <c r="X17" s="28"/>
      <c r="Y17" s="85">
        <f>HO!Y17+'Gulf Mall'!Y17+BTC!Y17</f>
        <v>1470312.1128095866</v>
      </c>
      <c r="Z17" s="28"/>
      <c r="AA17" s="59">
        <f t="shared" ref="AA17:AA20" si="5">C17+E17+G17+I17+K17+M17+O17+Q17+S17+U17+W17+Y17</f>
        <v>12824841.33619966</v>
      </c>
      <c r="AB17" s="60"/>
      <c r="AC17" s="67">
        <f t="shared" si="1"/>
        <v>1068736.7780166382</v>
      </c>
      <c r="AD17" s="68"/>
      <c r="AE17" s="44">
        <f t="shared" si="2"/>
        <v>12824841.33619966</v>
      </c>
      <c r="AF17" s="21">
        <f t="shared" si="3"/>
        <v>0</v>
      </c>
      <c r="AW17" s="44"/>
      <c r="AX17" s="44"/>
    </row>
    <row r="18" spans="1:50">
      <c r="A18" s="3">
        <v>5503</v>
      </c>
      <c r="B18" s="3" t="s">
        <v>50</v>
      </c>
      <c r="C18" s="16">
        <f>HO!C18+'Gulf Mall'!C18+BTC!C18</f>
        <v>0</v>
      </c>
      <c r="D18" s="28"/>
      <c r="E18" s="16">
        <f>HO!E18+'Gulf Mall'!E18+BTC!E18</f>
        <v>0</v>
      </c>
      <c r="F18" s="28"/>
      <c r="G18" s="16">
        <f>HO!G18+'Gulf Mall'!G18+BTC!G18</f>
        <v>0</v>
      </c>
      <c r="H18" s="28"/>
      <c r="I18" s="16">
        <f>HO!I18+'Gulf Mall'!I18+BTC!I18</f>
        <v>0</v>
      </c>
      <c r="J18" s="28"/>
      <c r="K18" s="16">
        <f>HO!K18+'Gulf Mall'!K18+BTC!K18</f>
        <v>0</v>
      </c>
      <c r="L18" s="28"/>
      <c r="M18" s="16">
        <f>HO!M18+'Gulf Mall'!M18+BTC!M18</f>
        <v>0</v>
      </c>
      <c r="N18" s="28"/>
      <c r="O18" s="16">
        <f>HO!O18+'Gulf Mall'!O18+BTC!O18</f>
        <v>0</v>
      </c>
      <c r="P18" s="28"/>
      <c r="Q18" s="16">
        <f>HO!Q18+'Gulf Mall'!Q18+BTC!Q18</f>
        <v>0</v>
      </c>
      <c r="R18" s="28"/>
      <c r="S18" s="16">
        <f>HO!S18+'Gulf Mall'!S18+BTC!S18</f>
        <v>0</v>
      </c>
      <c r="T18" s="28"/>
      <c r="U18" s="16">
        <f>HO!U18+'Gulf Mall'!U18+BTC!U18</f>
        <v>0</v>
      </c>
      <c r="V18" s="28"/>
      <c r="W18" s="16">
        <f>HO!W18+'Gulf Mall'!W18+BTC!W18</f>
        <v>0</v>
      </c>
      <c r="X18" s="28"/>
      <c r="Y18" s="16">
        <f>HO!Y18+'Gulf Mall'!Y18+BTC!Y18</f>
        <v>0</v>
      </c>
      <c r="Z18" s="28"/>
      <c r="AA18" s="59">
        <f t="shared" si="5"/>
        <v>0</v>
      </c>
      <c r="AB18" s="60"/>
      <c r="AC18" s="67">
        <f t="shared" si="1"/>
        <v>0</v>
      </c>
      <c r="AD18" s="68"/>
      <c r="AE18" s="44">
        <f t="shared" si="2"/>
        <v>0</v>
      </c>
      <c r="AF18" s="21">
        <f t="shared" si="3"/>
        <v>0</v>
      </c>
      <c r="AW18" s="44"/>
      <c r="AX18" s="44"/>
    </row>
    <row r="19" spans="1:50">
      <c r="A19" s="3">
        <v>5504</v>
      </c>
      <c r="B19" s="3" t="s">
        <v>51</v>
      </c>
      <c r="C19" s="16">
        <f>HO!C19+'Gulf Mall'!C19+BTC!C19</f>
        <v>0</v>
      </c>
      <c r="D19" s="28"/>
      <c r="E19" s="16">
        <f>HO!E19+'Gulf Mall'!E19+BTC!E19</f>
        <v>0</v>
      </c>
      <c r="F19" s="28"/>
      <c r="G19" s="16">
        <f>HO!G19+'Gulf Mall'!G19+BTC!G19</f>
        <v>0</v>
      </c>
      <c r="H19" s="28"/>
      <c r="I19" s="16">
        <f>HO!I19+'Gulf Mall'!I19+BTC!I19</f>
        <v>0</v>
      </c>
      <c r="J19" s="28"/>
      <c r="K19" s="16">
        <f>HO!K19+'Gulf Mall'!K19+BTC!K19</f>
        <v>0</v>
      </c>
      <c r="L19" s="28"/>
      <c r="M19" s="16">
        <f>HO!M19+'Gulf Mall'!M19+BTC!M19</f>
        <v>0</v>
      </c>
      <c r="N19" s="28"/>
      <c r="O19" s="16">
        <f>HO!O19+'Gulf Mall'!O19+BTC!O19</f>
        <v>0</v>
      </c>
      <c r="P19" s="28"/>
      <c r="Q19" s="16">
        <f>HO!Q19+'Gulf Mall'!Q19+BTC!Q19</f>
        <v>0</v>
      </c>
      <c r="R19" s="28"/>
      <c r="S19" s="16">
        <f>HO!S19+'Gulf Mall'!S19+BTC!S19</f>
        <v>0</v>
      </c>
      <c r="T19" s="28"/>
      <c r="U19" s="16">
        <f>HO!U19+'Gulf Mall'!U19+BTC!U19</f>
        <v>0</v>
      </c>
      <c r="V19" s="28"/>
      <c r="W19" s="16">
        <f>HO!W19+'Gulf Mall'!W19+BTC!W19</f>
        <v>0</v>
      </c>
      <c r="X19" s="28"/>
      <c r="Y19" s="16">
        <f>HO!Y19+'Gulf Mall'!Y19+BTC!Y19</f>
        <v>0</v>
      </c>
      <c r="Z19" s="28"/>
      <c r="AA19" s="59">
        <f t="shared" si="5"/>
        <v>0</v>
      </c>
      <c r="AB19" s="60"/>
      <c r="AC19" s="67">
        <f t="shared" si="1"/>
        <v>0</v>
      </c>
      <c r="AD19" s="68"/>
      <c r="AE19" s="44">
        <f t="shared" si="2"/>
        <v>0</v>
      </c>
      <c r="AF19" s="21">
        <f t="shared" si="3"/>
        <v>0</v>
      </c>
      <c r="AW19" s="44"/>
      <c r="AX19" s="44"/>
    </row>
    <row r="20" spans="1:50">
      <c r="A20" s="3">
        <v>5505</v>
      </c>
      <c r="B20" s="3" t="s">
        <v>52</v>
      </c>
      <c r="C20" s="16">
        <f>HO!C20+'Gulf Mall'!C20+BTC!C20</f>
        <v>0</v>
      </c>
      <c r="D20" s="28"/>
      <c r="E20" s="16">
        <f>HO!E20+'Gulf Mall'!E20+BTC!E20</f>
        <v>0</v>
      </c>
      <c r="F20" s="28"/>
      <c r="G20" s="16">
        <f>HO!G20+'Gulf Mall'!G20+BTC!G20</f>
        <v>0</v>
      </c>
      <c r="H20" s="28"/>
      <c r="I20" s="16">
        <f>HO!I20+'Gulf Mall'!I20+BTC!I20</f>
        <v>0</v>
      </c>
      <c r="J20" s="28"/>
      <c r="K20" s="16">
        <f>HO!K20+'Gulf Mall'!K20+BTC!K20</f>
        <v>0</v>
      </c>
      <c r="L20" s="28"/>
      <c r="M20" s="16">
        <f>HO!M20+'Gulf Mall'!M20+BTC!M20</f>
        <v>0</v>
      </c>
      <c r="N20" s="28"/>
      <c r="O20" s="16">
        <f>HO!O20+'Gulf Mall'!O20+BTC!O20</f>
        <v>0</v>
      </c>
      <c r="P20" s="28"/>
      <c r="Q20" s="16">
        <f>HO!Q20+'Gulf Mall'!Q20+BTC!Q20</f>
        <v>0</v>
      </c>
      <c r="R20" s="28"/>
      <c r="S20" s="16">
        <f>HO!S20+'Gulf Mall'!S20+BTC!S20</f>
        <v>0</v>
      </c>
      <c r="T20" s="28"/>
      <c r="U20" s="16">
        <f>HO!U20+'Gulf Mall'!U20+BTC!U20</f>
        <v>0</v>
      </c>
      <c r="V20" s="28"/>
      <c r="W20" s="16">
        <f>HO!W20+'Gulf Mall'!W20+BTC!W20</f>
        <v>0</v>
      </c>
      <c r="X20" s="28"/>
      <c r="Y20" s="16">
        <f>HO!Y20+'Gulf Mall'!Y20+BTC!Y20</f>
        <v>0</v>
      </c>
      <c r="Z20" s="28"/>
      <c r="AA20" s="59">
        <f t="shared" si="5"/>
        <v>0</v>
      </c>
      <c r="AB20" s="60"/>
      <c r="AC20" s="67">
        <f t="shared" si="1"/>
        <v>0</v>
      </c>
      <c r="AD20" s="68"/>
      <c r="AE20" s="44">
        <f t="shared" si="2"/>
        <v>0</v>
      </c>
      <c r="AF20" s="21">
        <f t="shared" si="3"/>
        <v>0</v>
      </c>
      <c r="AW20" s="44"/>
      <c r="AX20" s="44"/>
    </row>
    <row r="21" spans="1:50" ht="15.75" thickBot="1">
      <c r="A21" s="33">
        <v>5599</v>
      </c>
      <c r="B21" s="33" t="s">
        <v>97</v>
      </c>
      <c r="C21" s="31">
        <f>HO!C21+'Gulf Mall'!C21+BTC!C21</f>
        <v>1030200.1163889366</v>
      </c>
      <c r="D21" s="52">
        <f t="shared" ref="D21:D37" si="6">C21/C$145</f>
        <v>1.4582191507439615</v>
      </c>
      <c r="E21" s="31">
        <f>HO!E21+'Gulf Mall'!E21+BTC!E21</f>
        <v>705364.59264950559</v>
      </c>
      <c r="F21" s="52">
        <f t="shared" ref="F21:F37" si="7">E21/E$145</f>
        <v>0.91410366898308526</v>
      </c>
      <c r="G21" s="31">
        <f>HO!G21+'Gulf Mall'!G21+BTC!G21</f>
        <v>1255071.1238518385</v>
      </c>
      <c r="H21" s="52">
        <f t="shared" ref="H21:H37" si="8">G21/G$145</f>
        <v>1.6363499749204635</v>
      </c>
      <c r="I21" s="31">
        <f>HO!I21+'Gulf Mall'!I21+BTC!I21</f>
        <v>1038556.805049135</v>
      </c>
      <c r="J21" s="52">
        <f t="shared" ref="J21:J37" si="9">I21/I$145</f>
        <v>1.3329136523278211</v>
      </c>
      <c r="K21" s="31">
        <f>HO!K21+'Gulf Mall'!K21+BTC!K21</f>
        <v>879622.29199346842</v>
      </c>
      <c r="L21" s="52">
        <f t="shared" ref="L21:L37" si="10">K21/K$145</f>
        <v>1.0583955523319324</v>
      </c>
      <c r="M21" s="31">
        <f>HO!M21+'Gulf Mall'!M21+BTC!M21</f>
        <v>1577392.0951500514</v>
      </c>
      <c r="N21" s="52">
        <f t="shared" ref="N21:N37" si="11">M21/M$145</f>
        <v>2.1889802971369088</v>
      </c>
      <c r="O21" s="31">
        <f>HO!O21+'Gulf Mall'!O21+BTC!O21</f>
        <v>905083.03851441492</v>
      </c>
      <c r="P21" s="52">
        <f t="shared" ref="P21:P37" si="12">O21/O$145</f>
        <v>1.1976852426655036</v>
      </c>
      <c r="Q21" s="31">
        <f>HO!Q21+'Gulf Mall'!Q21+BTC!Q21</f>
        <v>1105555.5898827899</v>
      </c>
      <c r="R21" s="52">
        <f t="shared" ref="R21:R37" si="13">Q21/Q$145</f>
        <v>1.4022039061818914</v>
      </c>
      <c r="S21" s="31">
        <f>HO!S21+'Gulf Mall'!S21+BTC!S21</f>
        <v>1135962.7823165786</v>
      </c>
      <c r="T21" s="52">
        <f t="shared" ref="T21:AD37" si="14">S21/S$145</f>
        <v>1.4828009641718678</v>
      </c>
      <c r="U21" s="31">
        <f>HO!U21+'Gulf Mall'!U21+BTC!U21</f>
        <v>865757.00315117801</v>
      </c>
      <c r="V21" s="52">
        <f t="shared" ref="V21:V37" si="15">U21/U$145</f>
        <v>1.1326857850271972</v>
      </c>
      <c r="W21" s="31">
        <f>HO!W21+'Gulf Mall'!W21+BTC!W21</f>
        <v>855963.78444217541</v>
      </c>
      <c r="X21" s="52">
        <f t="shared" ref="X21:X37" si="16">W21/W$145</f>
        <v>1.0922380415285431</v>
      </c>
      <c r="Y21" s="31">
        <f>HO!Y21+'Gulf Mall'!Y21+BTC!Y21</f>
        <v>1470312.1128095866</v>
      </c>
      <c r="Z21" s="52">
        <f t="shared" ref="Z21:Z37" si="17">Y21/Y$145</f>
        <v>1.8773939680575056</v>
      </c>
      <c r="AA21" s="61">
        <f>SUM(AA17:AA20)</f>
        <v>12824841.33619966</v>
      </c>
      <c r="AB21" s="74">
        <f t="shared" si="14"/>
        <v>1.3913744062786093</v>
      </c>
      <c r="AC21" s="24">
        <f t="shared" si="1"/>
        <v>1068736.7780166382</v>
      </c>
      <c r="AD21" s="77">
        <f t="shared" si="14"/>
        <v>1.3913744062786091</v>
      </c>
      <c r="AE21" s="44">
        <f t="shared" si="2"/>
        <v>12824841.33619966</v>
      </c>
      <c r="AF21" s="21">
        <f t="shared" si="3"/>
        <v>0</v>
      </c>
      <c r="AW21" s="44"/>
      <c r="AX21" s="44"/>
    </row>
    <row r="22" spans="1:50" ht="15.75" thickTop="1">
      <c r="A22" s="3">
        <v>5601</v>
      </c>
      <c r="B22" s="3" t="s">
        <v>53</v>
      </c>
      <c r="C22" s="16">
        <f>HO!C22+'Gulf Mall'!C22+BTC!C22</f>
        <v>0</v>
      </c>
      <c r="D22" s="28">
        <f t="shared" si="6"/>
        <v>0</v>
      </c>
      <c r="E22" s="16">
        <f>HO!E22+'Gulf Mall'!E22+BTC!E22</f>
        <v>0</v>
      </c>
      <c r="F22" s="28">
        <f t="shared" si="7"/>
        <v>0</v>
      </c>
      <c r="G22" s="16">
        <f>HO!G22+'Gulf Mall'!G22+BTC!G22</f>
        <v>0</v>
      </c>
      <c r="H22" s="28">
        <f t="shared" si="8"/>
        <v>0</v>
      </c>
      <c r="I22" s="16">
        <f>HO!I22+'Gulf Mall'!I22+BTC!I22</f>
        <v>0</v>
      </c>
      <c r="J22" s="28">
        <f t="shared" si="9"/>
        <v>0</v>
      </c>
      <c r="K22" s="16">
        <f>HO!K22+'Gulf Mall'!K22+BTC!K22</f>
        <v>0</v>
      </c>
      <c r="L22" s="28">
        <f t="shared" si="10"/>
        <v>0</v>
      </c>
      <c r="M22" s="16">
        <f>HO!M22+'Gulf Mall'!M22+BTC!M22</f>
        <v>0</v>
      </c>
      <c r="N22" s="28">
        <f t="shared" si="11"/>
        <v>0</v>
      </c>
      <c r="O22" s="16">
        <f>HO!O22+'Gulf Mall'!O22+BTC!O22</f>
        <v>0</v>
      </c>
      <c r="P22" s="28">
        <f t="shared" si="12"/>
        <v>0</v>
      </c>
      <c r="Q22" s="16">
        <f>HO!Q22+'Gulf Mall'!Q22+BTC!Q22</f>
        <v>0</v>
      </c>
      <c r="R22" s="28">
        <f t="shared" si="13"/>
        <v>0</v>
      </c>
      <c r="S22" s="16">
        <f>HO!S22+'Gulf Mall'!S22+BTC!S22</f>
        <v>0</v>
      </c>
      <c r="T22" s="28">
        <f t="shared" si="14"/>
        <v>0</v>
      </c>
      <c r="U22" s="16">
        <f>HO!U22+'Gulf Mall'!U22+BTC!U22</f>
        <v>0</v>
      </c>
      <c r="V22" s="28">
        <f t="shared" si="15"/>
        <v>0</v>
      </c>
      <c r="W22" s="16">
        <f>HO!W22+'Gulf Mall'!W22+BTC!W22</f>
        <v>0</v>
      </c>
      <c r="X22" s="28">
        <f t="shared" si="16"/>
        <v>0</v>
      </c>
      <c r="Y22" s="16">
        <f>HO!Y22+'Gulf Mall'!Y22+BTC!Y22</f>
        <v>0</v>
      </c>
      <c r="Z22" s="28">
        <f t="shared" si="17"/>
        <v>0</v>
      </c>
      <c r="AA22" s="59">
        <f t="shared" ref="AA22:AA34" si="18">C22+E22+G22+I22+K22+M22+O22+Q22+S22+U22+W22+Y22</f>
        <v>0</v>
      </c>
      <c r="AB22" s="60">
        <f t="shared" si="14"/>
        <v>0</v>
      </c>
      <c r="AC22" s="67">
        <f t="shared" si="1"/>
        <v>0</v>
      </c>
      <c r="AD22" s="68">
        <f t="shared" si="14"/>
        <v>0</v>
      </c>
      <c r="AE22" s="44">
        <f t="shared" si="2"/>
        <v>0</v>
      </c>
      <c r="AF22" s="21">
        <f t="shared" si="3"/>
        <v>0</v>
      </c>
      <c r="AW22" s="44"/>
      <c r="AX22" s="44"/>
    </row>
    <row r="23" spans="1:50">
      <c r="A23" s="3">
        <v>5602</v>
      </c>
      <c r="B23" s="3" t="s">
        <v>54</v>
      </c>
      <c r="C23" s="16">
        <f>HO!C23+'Gulf Mall'!C23+BTC!C23</f>
        <v>0</v>
      </c>
      <c r="D23" s="28">
        <f t="shared" si="6"/>
        <v>0</v>
      </c>
      <c r="E23" s="16">
        <f>HO!E23+'Gulf Mall'!E23+BTC!E23</f>
        <v>0</v>
      </c>
      <c r="F23" s="28">
        <f t="shared" si="7"/>
        <v>0</v>
      </c>
      <c r="G23" s="16">
        <f>HO!G23+'Gulf Mall'!G23+BTC!G23</f>
        <v>0</v>
      </c>
      <c r="H23" s="28">
        <f t="shared" si="8"/>
        <v>0</v>
      </c>
      <c r="I23" s="16">
        <f>HO!I23+'Gulf Mall'!I23+BTC!I23</f>
        <v>0</v>
      </c>
      <c r="J23" s="28">
        <f t="shared" si="9"/>
        <v>0</v>
      </c>
      <c r="K23" s="16">
        <f>HO!K23+'Gulf Mall'!K23+BTC!K23</f>
        <v>0</v>
      </c>
      <c r="L23" s="28">
        <f t="shared" si="10"/>
        <v>0</v>
      </c>
      <c r="M23" s="16">
        <f>HO!M23+'Gulf Mall'!M23+BTC!M23</f>
        <v>0</v>
      </c>
      <c r="N23" s="28">
        <f t="shared" si="11"/>
        <v>0</v>
      </c>
      <c r="O23" s="16">
        <f>HO!O23+'Gulf Mall'!O23+BTC!O23</f>
        <v>0</v>
      </c>
      <c r="P23" s="28">
        <f t="shared" si="12"/>
        <v>0</v>
      </c>
      <c r="Q23" s="16">
        <f>HO!Q23+'Gulf Mall'!Q23+BTC!Q23</f>
        <v>0</v>
      </c>
      <c r="R23" s="28">
        <f t="shared" si="13"/>
        <v>0</v>
      </c>
      <c r="S23" s="16">
        <f>HO!S23+'Gulf Mall'!S23+BTC!S23</f>
        <v>0</v>
      </c>
      <c r="T23" s="28">
        <f t="shared" si="14"/>
        <v>0</v>
      </c>
      <c r="U23" s="16">
        <f>HO!U23+'Gulf Mall'!U23+BTC!U23</f>
        <v>0</v>
      </c>
      <c r="V23" s="28">
        <f t="shared" si="15"/>
        <v>0</v>
      </c>
      <c r="W23" s="16">
        <f>HO!W23+'Gulf Mall'!W23+BTC!W23</f>
        <v>0</v>
      </c>
      <c r="X23" s="28">
        <f t="shared" si="16"/>
        <v>0</v>
      </c>
      <c r="Y23" s="16">
        <f>HO!Y23+'Gulf Mall'!Y23+BTC!Y23</f>
        <v>0</v>
      </c>
      <c r="Z23" s="28">
        <f t="shared" si="17"/>
        <v>0</v>
      </c>
      <c r="AA23" s="59">
        <f t="shared" si="18"/>
        <v>0</v>
      </c>
      <c r="AB23" s="60">
        <f t="shared" si="14"/>
        <v>0</v>
      </c>
      <c r="AC23" s="67">
        <f t="shared" si="1"/>
        <v>0</v>
      </c>
      <c r="AD23" s="68">
        <f t="shared" si="14"/>
        <v>0</v>
      </c>
      <c r="AE23" s="44">
        <f t="shared" si="2"/>
        <v>0</v>
      </c>
      <c r="AF23" s="21">
        <f t="shared" si="3"/>
        <v>0</v>
      </c>
      <c r="AW23" s="44"/>
      <c r="AX23" s="44"/>
    </row>
    <row r="24" spans="1:50">
      <c r="A24" s="3">
        <v>5603</v>
      </c>
      <c r="B24" s="3" t="s">
        <v>55</v>
      </c>
      <c r="C24" s="16">
        <f>HO!C24+'Gulf Mall'!C24+BTC!C24</f>
        <v>0</v>
      </c>
      <c r="D24" s="28">
        <f t="shared" si="6"/>
        <v>0</v>
      </c>
      <c r="E24" s="16">
        <f>HO!E24+'Gulf Mall'!E24+BTC!E24</f>
        <v>0</v>
      </c>
      <c r="F24" s="28">
        <f t="shared" si="7"/>
        <v>0</v>
      </c>
      <c r="G24" s="16">
        <f>HO!G24+'Gulf Mall'!G24+BTC!G24</f>
        <v>0</v>
      </c>
      <c r="H24" s="28">
        <f t="shared" si="8"/>
        <v>0</v>
      </c>
      <c r="I24" s="16">
        <f>HO!I24+'Gulf Mall'!I24+BTC!I24</f>
        <v>0</v>
      </c>
      <c r="J24" s="28">
        <f t="shared" si="9"/>
        <v>0</v>
      </c>
      <c r="K24" s="16">
        <f>HO!K24+'Gulf Mall'!K24+BTC!K24</f>
        <v>0</v>
      </c>
      <c r="L24" s="28">
        <f t="shared" si="10"/>
        <v>0</v>
      </c>
      <c r="M24" s="16">
        <f>HO!M24+'Gulf Mall'!M24+BTC!M24</f>
        <v>0</v>
      </c>
      <c r="N24" s="28">
        <f t="shared" si="11"/>
        <v>0</v>
      </c>
      <c r="O24" s="16">
        <f>HO!O24+'Gulf Mall'!O24+BTC!O24</f>
        <v>0</v>
      </c>
      <c r="P24" s="28">
        <f t="shared" si="12"/>
        <v>0</v>
      </c>
      <c r="Q24" s="16">
        <f>HO!Q24+'Gulf Mall'!Q24+BTC!Q24</f>
        <v>0</v>
      </c>
      <c r="R24" s="28">
        <f t="shared" si="13"/>
        <v>0</v>
      </c>
      <c r="S24" s="16">
        <f>HO!S24+'Gulf Mall'!S24+BTC!S24</f>
        <v>0</v>
      </c>
      <c r="T24" s="28">
        <f t="shared" si="14"/>
        <v>0</v>
      </c>
      <c r="U24" s="16">
        <f>HO!U24+'Gulf Mall'!U24+BTC!U24</f>
        <v>0</v>
      </c>
      <c r="V24" s="28">
        <f t="shared" si="15"/>
        <v>0</v>
      </c>
      <c r="W24" s="16">
        <f>HO!W24+'Gulf Mall'!W24+BTC!W24</f>
        <v>0</v>
      </c>
      <c r="X24" s="28">
        <f t="shared" si="16"/>
        <v>0</v>
      </c>
      <c r="Y24" s="16">
        <f>HO!Y24+'Gulf Mall'!Y24+BTC!Y24</f>
        <v>0</v>
      </c>
      <c r="Z24" s="28">
        <f t="shared" si="17"/>
        <v>0</v>
      </c>
      <c r="AA24" s="59">
        <f t="shared" si="18"/>
        <v>0</v>
      </c>
      <c r="AB24" s="60">
        <f t="shared" si="14"/>
        <v>0</v>
      </c>
      <c r="AC24" s="67">
        <f t="shared" si="1"/>
        <v>0</v>
      </c>
      <c r="AD24" s="68">
        <f t="shared" si="14"/>
        <v>0</v>
      </c>
      <c r="AE24" s="44">
        <f t="shared" si="2"/>
        <v>0</v>
      </c>
      <c r="AF24" s="21">
        <f t="shared" si="3"/>
        <v>0</v>
      </c>
      <c r="AW24" s="44"/>
      <c r="AX24" s="44"/>
    </row>
    <row r="25" spans="1:50">
      <c r="A25" s="3">
        <v>5604</v>
      </c>
      <c r="B25" s="3" t="s">
        <v>56</v>
      </c>
      <c r="C25" s="16">
        <f>HO!C25+'Gulf Mall'!C25+BTC!C25</f>
        <v>150</v>
      </c>
      <c r="D25" s="28">
        <f t="shared" si="6"/>
        <v>2.1232076092002198E-4</v>
      </c>
      <c r="E25" s="16">
        <f>HO!E25+'Gulf Mall'!E25+BTC!E25</f>
        <v>150</v>
      </c>
      <c r="F25" s="28">
        <f t="shared" si="7"/>
        <v>1.94389613224597E-4</v>
      </c>
      <c r="G25" s="16">
        <f>HO!G25+'Gulf Mall'!G25+BTC!G25</f>
        <v>150</v>
      </c>
      <c r="H25" s="28">
        <f t="shared" si="8"/>
        <v>1.9556859493728999E-4</v>
      </c>
      <c r="I25" s="16">
        <f>HO!I25+'Gulf Mall'!I25+BTC!I25</f>
        <v>150</v>
      </c>
      <c r="J25" s="28">
        <f t="shared" si="9"/>
        <v>1.9251431108740748E-4</v>
      </c>
      <c r="K25" s="16">
        <f>HO!K25+'Gulf Mall'!K25+BTC!K25</f>
        <v>150</v>
      </c>
      <c r="L25" s="28">
        <f t="shared" si="10"/>
        <v>1.8048579975161512E-4</v>
      </c>
      <c r="M25" s="16">
        <f>HO!M25+'Gulf Mall'!M25+BTC!M25</f>
        <v>150</v>
      </c>
      <c r="N25" s="28">
        <f t="shared" si="11"/>
        <v>2.0815816535412642E-4</v>
      </c>
      <c r="O25" s="16">
        <f>HO!O25+'Gulf Mall'!O25+BTC!O25</f>
        <v>150</v>
      </c>
      <c r="P25" s="28">
        <f t="shared" si="12"/>
        <v>1.9849315339585193E-4</v>
      </c>
      <c r="Q25" s="16">
        <f>HO!Q25+'Gulf Mall'!Q25+BTC!Q25</f>
        <v>150</v>
      </c>
      <c r="R25" s="28">
        <f t="shared" si="13"/>
        <v>1.9024876528332942E-4</v>
      </c>
      <c r="S25" s="16">
        <f>HO!S25+'Gulf Mall'!S25+BTC!S25</f>
        <v>150</v>
      </c>
      <c r="T25" s="28">
        <f t="shared" si="14"/>
        <v>1.9579879560155736E-4</v>
      </c>
      <c r="U25" s="16">
        <f>HO!U25+'Gulf Mall'!U25+BTC!U25</f>
        <v>150</v>
      </c>
      <c r="V25" s="28">
        <f t="shared" si="15"/>
        <v>1.9624775443417492E-4</v>
      </c>
      <c r="W25" s="16">
        <f>HO!W25+'Gulf Mall'!W25+BTC!W25</f>
        <v>150</v>
      </c>
      <c r="X25" s="28">
        <f t="shared" si="16"/>
        <v>1.9140495101209435E-4</v>
      </c>
      <c r="Y25" s="16">
        <f>HO!Y25+'Gulf Mall'!Y25+BTC!Y25</f>
        <v>150</v>
      </c>
      <c r="Z25" s="28">
        <f t="shared" si="17"/>
        <v>1.9153014707231467E-4</v>
      </c>
      <c r="AA25" s="59">
        <f t="shared" si="18"/>
        <v>1800</v>
      </c>
      <c r="AB25" s="60">
        <f t="shared" si="14"/>
        <v>1.9528303435866433E-4</v>
      </c>
      <c r="AC25" s="67">
        <f t="shared" si="1"/>
        <v>150</v>
      </c>
      <c r="AD25" s="68">
        <f t="shared" si="14"/>
        <v>1.9528303435866433E-4</v>
      </c>
      <c r="AE25" s="44">
        <f t="shared" si="2"/>
        <v>1800</v>
      </c>
      <c r="AF25" s="21">
        <f t="shared" si="3"/>
        <v>0</v>
      </c>
      <c r="AW25" s="44"/>
      <c r="AX25" s="44"/>
    </row>
    <row r="26" spans="1:50">
      <c r="A26" s="3">
        <v>5605</v>
      </c>
      <c r="B26" s="3" t="s">
        <v>14</v>
      </c>
      <c r="C26" s="16">
        <f>HO!C26+'Gulf Mall'!C26+BTC!C26</f>
        <v>0</v>
      </c>
      <c r="D26" s="28">
        <f t="shared" si="6"/>
        <v>0</v>
      </c>
      <c r="E26" s="16">
        <f>HO!E26+'Gulf Mall'!E26+BTC!E26</f>
        <v>0</v>
      </c>
      <c r="F26" s="28">
        <f t="shared" si="7"/>
        <v>0</v>
      </c>
      <c r="G26" s="16">
        <f>HO!G26+'Gulf Mall'!G26+BTC!G26</f>
        <v>0</v>
      </c>
      <c r="H26" s="28">
        <f t="shared" si="8"/>
        <v>0</v>
      </c>
      <c r="I26" s="16">
        <f>HO!I26+'Gulf Mall'!I26+BTC!I26</f>
        <v>0</v>
      </c>
      <c r="J26" s="28">
        <f t="shared" si="9"/>
        <v>0</v>
      </c>
      <c r="K26" s="16">
        <f>HO!K26+'Gulf Mall'!K26+BTC!K26</f>
        <v>0</v>
      </c>
      <c r="L26" s="28">
        <f t="shared" si="10"/>
        <v>0</v>
      </c>
      <c r="M26" s="16">
        <f>HO!M26+'Gulf Mall'!M26+BTC!M26</f>
        <v>0</v>
      </c>
      <c r="N26" s="28">
        <f t="shared" si="11"/>
        <v>0</v>
      </c>
      <c r="O26" s="16">
        <f>HO!O26+'Gulf Mall'!O26+BTC!O26</f>
        <v>0</v>
      </c>
      <c r="P26" s="28">
        <f t="shared" si="12"/>
        <v>0</v>
      </c>
      <c r="Q26" s="16">
        <f>HO!Q26+'Gulf Mall'!Q26+BTC!Q26</f>
        <v>0</v>
      </c>
      <c r="R26" s="28">
        <f t="shared" si="13"/>
        <v>0</v>
      </c>
      <c r="S26" s="16">
        <f>HO!S26+'Gulf Mall'!S26+BTC!S26</f>
        <v>0</v>
      </c>
      <c r="T26" s="28">
        <f t="shared" si="14"/>
        <v>0</v>
      </c>
      <c r="U26" s="16">
        <f>HO!U26+'Gulf Mall'!U26+BTC!U26</f>
        <v>0</v>
      </c>
      <c r="V26" s="28">
        <f t="shared" si="15"/>
        <v>0</v>
      </c>
      <c r="W26" s="16">
        <f>HO!W26+'Gulf Mall'!W26+BTC!W26</f>
        <v>0</v>
      </c>
      <c r="X26" s="28">
        <f t="shared" si="16"/>
        <v>0</v>
      </c>
      <c r="Y26" s="16">
        <f>HO!Y26+'Gulf Mall'!Y26+BTC!Y26</f>
        <v>0</v>
      </c>
      <c r="Z26" s="28">
        <f t="shared" si="17"/>
        <v>0</v>
      </c>
      <c r="AA26" s="59">
        <f t="shared" si="18"/>
        <v>0</v>
      </c>
      <c r="AB26" s="60">
        <f t="shared" si="14"/>
        <v>0</v>
      </c>
      <c r="AC26" s="67">
        <f t="shared" si="1"/>
        <v>0</v>
      </c>
      <c r="AD26" s="68">
        <f t="shared" si="14"/>
        <v>0</v>
      </c>
      <c r="AE26" s="44">
        <f t="shared" si="2"/>
        <v>0</v>
      </c>
      <c r="AF26" s="21">
        <f t="shared" si="3"/>
        <v>0</v>
      </c>
      <c r="AW26" s="44"/>
      <c r="AX26" s="44"/>
    </row>
    <row r="27" spans="1:50">
      <c r="A27" s="3">
        <v>5606</v>
      </c>
      <c r="B27" s="3" t="s">
        <v>77</v>
      </c>
      <c r="C27" s="16">
        <f>HO!C27+'Gulf Mall'!C27+BTC!C27</f>
        <v>6480.6046323481023</v>
      </c>
      <c r="D27" s="28">
        <f t="shared" si="6"/>
        <v>9.1731127117464558E-3</v>
      </c>
      <c r="E27" s="16">
        <f>HO!E27+'Gulf Mall'!E27+BTC!E27</f>
        <v>5041.9198902752369</v>
      </c>
      <c r="F27" s="28">
        <f t="shared" si="7"/>
        <v>6.5339790492000387E-3</v>
      </c>
      <c r="G27" s="16">
        <f>HO!G27+'Gulf Mall'!G27+BTC!G27</f>
        <v>8363.423748457386</v>
      </c>
      <c r="H27" s="28">
        <f t="shared" si="8"/>
        <v>1.0904153542339827E-2</v>
      </c>
      <c r="I27" s="16">
        <f>HO!I27+'Gulf Mall'!I27+BTC!I27</f>
        <v>7384.8552148551908</v>
      </c>
      <c r="J27" s="28">
        <f t="shared" si="9"/>
        <v>9.4779354277873037E-3</v>
      </c>
      <c r="K27" s="16">
        <f>HO!K27+'Gulf Mall'!K27+BTC!K27</f>
        <v>6754.2023956498724</v>
      </c>
      <c r="L27" s="28">
        <f t="shared" si="10"/>
        <v>8.1269174737542797E-3</v>
      </c>
      <c r="M27" s="16">
        <f>HO!M27+'Gulf Mall'!M27+BTC!M27</f>
        <v>9577.3654836068708</v>
      </c>
      <c r="N27" s="28">
        <f t="shared" si="11"/>
        <v>1.3290712186623614E-2</v>
      </c>
      <c r="O27" s="16">
        <f>HO!O27+'Gulf Mall'!O27+BTC!O27</f>
        <v>6063.5308520394028</v>
      </c>
      <c r="P27" s="28">
        <f t="shared" si="12"/>
        <v>8.0237957302289192E-3</v>
      </c>
      <c r="Q27" s="16">
        <f>HO!Q27+'Gulf Mall'!Q27+BTC!Q27</f>
        <v>7529.3229730950516</v>
      </c>
      <c r="R27" s="28">
        <f t="shared" si="13"/>
        <v>9.5496293270049375E-3</v>
      </c>
      <c r="S27" s="16">
        <f>HO!S27+'Gulf Mall'!S27+BTC!S27</f>
        <v>7584.8839237697212</v>
      </c>
      <c r="T27" s="28">
        <f t="shared" si="14"/>
        <v>9.9007409136781729E-3</v>
      </c>
      <c r="U27" s="16">
        <f>HO!U27+'Gulf Mall'!U27+BTC!U27</f>
        <v>6016.3794520582205</v>
      </c>
      <c r="V27" s="28">
        <f t="shared" si="15"/>
        <v>7.8713397152689168E-3</v>
      </c>
      <c r="W27" s="16">
        <f>HO!W27+'Gulf Mall'!W27+BTC!W27</f>
        <v>6121.3143106710995</v>
      </c>
      <c r="X27" s="28">
        <f t="shared" si="16"/>
        <v>7.8109991050908925E-3</v>
      </c>
      <c r="Y27" s="16">
        <f>HO!Y27+'Gulf Mall'!Y27+BTC!Y27</f>
        <v>9247.2459925131225</v>
      </c>
      <c r="Z27" s="28">
        <f t="shared" si="17"/>
        <v>1.1807509233066072E-2</v>
      </c>
      <c r="AA27" s="59">
        <f t="shared" si="18"/>
        <v>86165.048869339269</v>
      </c>
      <c r="AB27" s="60">
        <f t="shared" si="14"/>
        <v>9.3480956660373163E-3</v>
      </c>
      <c r="AC27" s="67">
        <f t="shared" si="1"/>
        <v>7180.4207391116061</v>
      </c>
      <c r="AD27" s="68">
        <f t="shared" si="14"/>
        <v>9.348095666037318E-3</v>
      </c>
      <c r="AE27" s="44">
        <f t="shared" si="2"/>
        <v>86165.048869339269</v>
      </c>
      <c r="AF27" s="21">
        <f t="shared" si="3"/>
        <v>0</v>
      </c>
      <c r="AW27" s="44"/>
      <c r="AX27" s="44"/>
    </row>
    <row r="28" spans="1:50">
      <c r="A28" s="3">
        <v>5607</v>
      </c>
      <c r="B28" s="3" t="s">
        <v>57</v>
      </c>
      <c r="C28" s="16">
        <f>HO!C28+'Gulf Mall'!C28+BTC!C28</f>
        <v>0</v>
      </c>
      <c r="D28" s="28">
        <f t="shared" si="6"/>
        <v>0</v>
      </c>
      <c r="E28" s="16">
        <f>HO!E28+'Gulf Mall'!E28+BTC!E28</f>
        <v>0</v>
      </c>
      <c r="F28" s="28">
        <f t="shared" si="7"/>
        <v>0</v>
      </c>
      <c r="G28" s="16">
        <f>HO!G28+'Gulf Mall'!G28+BTC!G28</f>
        <v>0</v>
      </c>
      <c r="H28" s="28">
        <f t="shared" si="8"/>
        <v>0</v>
      </c>
      <c r="I28" s="16">
        <f>HO!I28+'Gulf Mall'!I28+BTC!I28</f>
        <v>0</v>
      </c>
      <c r="J28" s="28">
        <f t="shared" si="9"/>
        <v>0</v>
      </c>
      <c r="K28" s="16">
        <f>HO!K28+'Gulf Mall'!K28+BTC!K28</f>
        <v>0</v>
      </c>
      <c r="L28" s="28">
        <f t="shared" si="10"/>
        <v>0</v>
      </c>
      <c r="M28" s="16">
        <f>HO!M28+'Gulf Mall'!M28+BTC!M28</f>
        <v>0</v>
      </c>
      <c r="N28" s="28">
        <f t="shared" si="11"/>
        <v>0</v>
      </c>
      <c r="O28" s="16">
        <f>HO!O28+'Gulf Mall'!O28+BTC!O28</f>
        <v>0</v>
      </c>
      <c r="P28" s="28">
        <f t="shared" si="12"/>
        <v>0</v>
      </c>
      <c r="Q28" s="16">
        <f>HO!Q28+'Gulf Mall'!Q28+BTC!Q28</f>
        <v>0</v>
      </c>
      <c r="R28" s="28">
        <f t="shared" si="13"/>
        <v>0</v>
      </c>
      <c r="S28" s="16">
        <f>HO!S28+'Gulf Mall'!S28+BTC!S28</f>
        <v>0</v>
      </c>
      <c r="T28" s="28">
        <f t="shared" si="14"/>
        <v>0</v>
      </c>
      <c r="U28" s="16">
        <f>HO!U28+'Gulf Mall'!U28+BTC!U28</f>
        <v>0</v>
      </c>
      <c r="V28" s="28">
        <f t="shared" si="15"/>
        <v>0</v>
      </c>
      <c r="W28" s="16">
        <f>HO!W28+'Gulf Mall'!W28+BTC!W28</f>
        <v>0</v>
      </c>
      <c r="X28" s="28">
        <f t="shared" si="16"/>
        <v>0</v>
      </c>
      <c r="Y28" s="16">
        <f>HO!Y28+'Gulf Mall'!Y28+BTC!Y28</f>
        <v>0</v>
      </c>
      <c r="Z28" s="28">
        <f t="shared" si="17"/>
        <v>0</v>
      </c>
      <c r="AA28" s="59">
        <f t="shared" si="18"/>
        <v>0</v>
      </c>
      <c r="AB28" s="60">
        <f t="shared" si="14"/>
        <v>0</v>
      </c>
      <c r="AC28" s="67">
        <f t="shared" si="1"/>
        <v>0</v>
      </c>
      <c r="AD28" s="68">
        <f t="shared" si="14"/>
        <v>0</v>
      </c>
      <c r="AE28" s="44">
        <f t="shared" si="2"/>
        <v>0</v>
      </c>
      <c r="AF28" s="21">
        <f t="shared" si="3"/>
        <v>0</v>
      </c>
      <c r="AW28" s="44"/>
      <c r="AX28" s="44"/>
    </row>
    <row r="29" spans="1:50">
      <c r="A29" s="3">
        <v>5608</v>
      </c>
      <c r="B29" s="3" t="s">
        <v>58</v>
      </c>
      <c r="C29" s="16">
        <f>HO!C29+'Gulf Mall'!C29+BTC!C29</f>
        <v>0</v>
      </c>
      <c r="D29" s="28">
        <f t="shared" si="6"/>
        <v>0</v>
      </c>
      <c r="E29" s="16">
        <f>HO!E29+'Gulf Mall'!E29+BTC!E29</f>
        <v>0</v>
      </c>
      <c r="F29" s="28">
        <f t="shared" si="7"/>
        <v>0</v>
      </c>
      <c r="G29" s="16">
        <f>HO!G29+'Gulf Mall'!G29+BTC!G29</f>
        <v>0</v>
      </c>
      <c r="H29" s="28">
        <f t="shared" si="8"/>
        <v>0</v>
      </c>
      <c r="I29" s="16">
        <f>HO!I29+'Gulf Mall'!I29+BTC!I29</f>
        <v>0</v>
      </c>
      <c r="J29" s="28">
        <f t="shared" si="9"/>
        <v>0</v>
      </c>
      <c r="K29" s="16">
        <f>HO!K29+'Gulf Mall'!K29+BTC!K29</f>
        <v>0</v>
      </c>
      <c r="L29" s="28">
        <f t="shared" si="10"/>
        <v>0</v>
      </c>
      <c r="M29" s="16">
        <f>HO!M29+'Gulf Mall'!M29+BTC!M29</f>
        <v>0</v>
      </c>
      <c r="N29" s="28">
        <f t="shared" si="11"/>
        <v>0</v>
      </c>
      <c r="O29" s="16">
        <f>HO!O29+'Gulf Mall'!O29+BTC!O29</f>
        <v>0</v>
      </c>
      <c r="P29" s="28">
        <f t="shared" si="12"/>
        <v>0</v>
      </c>
      <c r="Q29" s="16">
        <f>HO!Q29+'Gulf Mall'!Q29+BTC!Q29</f>
        <v>0</v>
      </c>
      <c r="R29" s="28">
        <f t="shared" si="13"/>
        <v>0</v>
      </c>
      <c r="S29" s="16">
        <f>HO!S29+'Gulf Mall'!S29+BTC!S29</f>
        <v>0</v>
      </c>
      <c r="T29" s="28">
        <f t="shared" si="14"/>
        <v>0</v>
      </c>
      <c r="U29" s="16">
        <f>HO!U29+'Gulf Mall'!U29+BTC!U29</f>
        <v>0</v>
      </c>
      <c r="V29" s="28">
        <f t="shared" si="15"/>
        <v>0</v>
      </c>
      <c r="W29" s="16">
        <f>HO!W29+'Gulf Mall'!W29+BTC!W29</f>
        <v>0</v>
      </c>
      <c r="X29" s="28">
        <f t="shared" si="16"/>
        <v>0</v>
      </c>
      <c r="Y29" s="16">
        <f>HO!Y29+'Gulf Mall'!Y29+BTC!Y29</f>
        <v>0</v>
      </c>
      <c r="Z29" s="28">
        <f t="shared" si="17"/>
        <v>0</v>
      </c>
      <c r="AA29" s="59">
        <f t="shared" si="18"/>
        <v>0</v>
      </c>
      <c r="AB29" s="60">
        <f t="shared" si="14"/>
        <v>0</v>
      </c>
      <c r="AC29" s="67">
        <f t="shared" si="1"/>
        <v>0</v>
      </c>
      <c r="AD29" s="68">
        <f t="shared" si="14"/>
        <v>0</v>
      </c>
      <c r="AE29" s="44">
        <f t="shared" si="2"/>
        <v>0</v>
      </c>
      <c r="AF29" s="21">
        <f t="shared" si="3"/>
        <v>0</v>
      </c>
      <c r="AW29" s="44"/>
      <c r="AX29" s="44"/>
    </row>
    <row r="30" spans="1:50">
      <c r="A30" s="3">
        <v>5609</v>
      </c>
      <c r="B30" s="3" t="s">
        <v>59</v>
      </c>
      <c r="C30" s="16">
        <f>HO!C30+'Gulf Mall'!C30+BTC!C30</f>
        <v>0</v>
      </c>
      <c r="D30" s="28">
        <f t="shared" si="6"/>
        <v>0</v>
      </c>
      <c r="E30" s="16">
        <f>HO!E30+'Gulf Mall'!E30+BTC!E30</f>
        <v>0</v>
      </c>
      <c r="F30" s="28">
        <f t="shared" si="7"/>
        <v>0</v>
      </c>
      <c r="G30" s="16">
        <f>HO!G30+'Gulf Mall'!G30+BTC!G30</f>
        <v>0</v>
      </c>
      <c r="H30" s="28">
        <f t="shared" si="8"/>
        <v>0</v>
      </c>
      <c r="I30" s="16">
        <f>HO!I30+'Gulf Mall'!I30+BTC!I30</f>
        <v>0</v>
      </c>
      <c r="J30" s="28">
        <f t="shared" si="9"/>
        <v>0</v>
      </c>
      <c r="K30" s="16">
        <f>HO!K30+'Gulf Mall'!K30+BTC!K30</f>
        <v>0</v>
      </c>
      <c r="L30" s="28">
        <f t="shared" si="10"/>
        <v>0</v>
      </c>
      <c r="M30" s="16">
        <f>HO!M30+'Gulf Mall'!M30+BTC!M30</f>
        <v>0</v>
      </c>
      <c r="N30" s="28">
        <f t="shared" si="11"/>
        <v>0</v>
      </c>
      <c r="O30" s="16">
        <f>HO!O30+'Gulf Mall'!O30+BTC!O30</f>
        <v>0</v>
      </c>
      <c r="P30" s="28">
        <f t="shared" si="12"/>
        <v>0</v>
      </c>
      <c r="Q30" s="16">
        <f>HO!Q30+'Gulf Mall'!Q30+BTC!Q30</f>
        <v>0</v>
      </c>
      <c r="R30" s="28">
        <f t="shared" si="13"/>
        <v>0</v>
      </c>
      <c r="S30" s="16">
        <f>HO!S30+'Gulf Mall'!S30+BTC!S30</f>
        <v>0</v>
      </c>
      <c r="T30" s="28">
        <f t="shared" si="14"/>
        <v>0</v>
      </c>
      <c r="U30" s="16">
        <f>HO!U30+'Gulf Mall'!U30+BTC!U30</f>
        <v>0</v>
      </c>
      <c r="V30" s="28">
        <f t="shared" si="15"/>
        <v>0</v>
      </c>
      <c r="W30" s="16">
        <f>HO!W30+'Gulf Mall'!W30+BTC!W30</f>
        <v>0</v>
      </c>
      <c r="X30" s="28">
        <f t="shared" si="16"/>
        <v>0</v>
      </c>
      <c r="Y30" s="16">
        <f>HO!Y30+'Gulf Mall'!Y30+BTC!Y30</f>
        <v>0</v>
      </c>
      <c r="Z30" s="28">
        <f t="shared" si="17"/>
        <v>0</v>
      </c>
      <c r="AA30" s="59">
        <f t="shared" si="18"/>
        <v>0</v>
      </c>
      <c r="AB30" s="60">
        <f t="shared" si="14"/>
        <v>0</v>
      </c>
      <c r="AC30" s="67">
        <f t="shared" si="1"/>
        <v>0</v>
      </c>
      <c r="AD30" s="68">
        <f t="shared" si="14"/>
        <v>0</v>
      </c>
      <c r="AE30" s="44">
        <f t="shared" si="2"/>
        <v>0</v>
      </c>
      <c r="AF30" s="21">
        <f t="shared" si="3"/>
        <v>0</v>
      </c>
      <c r="AW30" s="44"/>
      <c r="AX30" s="44"/>
    </row>
    <row r="31" spans="1:50">
      <c r="A31" s="3">
        <v>5610</v>
      </c>
      <c r="B31" s="3" t="s">
        <v>60</v>
      </c>
      <c r="C31" s="16">
        <f>HO!C31+'Gulf Mall'!C31+BTC!C31</f>
        <v>0</v>
      </c>
      <c r="D31" s="28">
        <f t="shared" si="6"/>
        <v>0</v>
      </c>
      <c r="E31" s="16">
        <f>HO!E31+'Gulf Mall'!E31+BTC!E31</f>
        <v>0</v>
      </c>
      <c r="F31" s="28">
        <f t="shared" si="7"/>
        <v>0</v>
      </c>
      <c r="G31" s="16">
        <f>HO!G31+'Gulf Mall'!G31+BTC!G31</f>
        <v>0</v>
      </c>
      <c r="H31" s="28">
        <f t="shared" si="8"/>
        <v>0</v>
      </c>
      <c r="I31" s="16">
        <f>HO!I31+'Gulf Mall'!I31+BTC!I31</f>
        <v>0</v>
      </c>
      <c r="J31" s="28">
        <f t="shared" si="9"/>
        <v>0</v>
      </c>
      <c r="K31" s="16">
        <f>HO!K31+'Gulf Mall'!K31+BTC!K31</f>
        <v>0</v>
      </c>
      <c r="L31" s="28">
        <f t="shared" si="10"/>
        <v>0</v>
      </c>
      <c r="M31" s="16">
        <f>HO!M31+'Gulf Mall'!M31+BTC!M31</f>
        <v>0</v>
      </c>
      <c r="N31" s="28">
        <f t="shared" si="11"/>
        <v>0</v>
      </c>
      <c r="O31" s="16">
        <f>HO!O31+'Gulf Mall'!O31+BTC!O31</f>
        <v>0</v>
      </c>
      <c r="P31" s="28">
        <f t="shared" si="12"/>
        <v>0</v>
      </c>
      <c r="Q31" s="16">
        <f>HO!Q31+'Gulf Mall'!Q31+BTC!Q31</f>
        <v>0</v>
      </c>
      <c r="R31" s="28">
        <f t="shared" si="13"/>
        <v>0</v>
      </c>
      <c r="S31" s="16">
        <f>HO!S31+'Gulf Mall'!S31+BTC!S31</f>
        <v>0</v>
      </c>
      <c r="T31" s="28">
        <f t="shared" si="14"/>
        <v>0</v>
      </c>
      <c r="U31" s="16">
        <f>HO!U31+'Gulf Mall'!U31+BTC!U31</f>
        <v>0</v>
      </c>
      <c r="V31" s="28">
        <f t="shared" si="15"/>
        <v>0</v>
      </c>
      <c r="W31" s="16">
        <f>HO!W31+'Gulf Mall'!W31+BTC!W31</f>
        <v>0</v>
      </c>
      <c r="X31" s="28">
        <f t="shared" si="16"/>
        <v>0</v>
      </c>
      <c r="Y31" s="16">
        <f>HO!Y31+'Gulf Mall'!Y31+BTC!Y31</f>
        <v>0</v>
      </c>
      <c r="Z31" s="28">
        <f t="shared" si="17"/>
        <v>0</v>
      </c>
      <c r="AA31" s="59">
        <f t="shared" si="18"/>
        <v>0</v>
      </c>
      <c r="AB31" s="60">
        <f t="shared" si="14"/>
        <v>0</v>
      </c>
      <c r="AC31" s="67">
        <f t="shared" si="1"/>
        <v>0</v>
      </c>
      <c r="AD31" s="68">
        <f t="shared" si="14"/>
        <v>0</v>
      </c>
      <c r="AE31" s="44">
        <f t="shared" si="2"/>
        <v>0</v>
      </c>
      <c r="AF31" s="21">
        <f t="shared" si="3"/>
        <v>0</v>
      </c>
      <c r="AW31" s="44"/>
      <c r="AX31" s="44"/>
    </row>
    <row r="32" spans="1:50">
      <c r="A32" s="3">
        <v>5611</v>
      </c>
      <c r="B32" s="3" t="s">
        <v>98</v>
      </c>
      <c r="C32" s="16">
        <f>HO!C32+'Gulf Mall'!C32+BTC!C32</f>
        <v>0</v>
      </c>
      <c r="D32" s="28">
        <f t="shared" si="6"/>
        <v>0</v>
      </c>
      <c r="E32" s="16">
        <f>HO!E32+'Gulf Mall'!E32+BTC!E32</f>
        <v>0</v>
      </c>
      <c r="F32" s="28">
        <f t="shared" si="7"/>
        <v>0</v>
      </c>
      <c r="G32" s="16">
        <f>HO!G32+'Gulf Mall'!G32+BTC!G32</f>
        <v>0</v>
      </c>
      <c r="H32" s="28">
        <f t="shared" si="8"/>
        <v>0</v>
      </c>
      <c r="I32" s="16">
        <f>HO!I32+'Gulf Mall'!I32+BTC!I32</f>
        <v>0</v>
      </c>
      <c r="J32" s="28">
        <f t="shared" si="9"/>
        <v>0</v>
      </c>
      <c r="K32" s="16">
        <f>HO!K32+'Gulf Mall'!K32+BTC!K32</f>
        <v>0</v>
      </c>
      <c r="L32" s="28">
        <f t="shared" si="10"/>
        <v>0</v>
      </c>
      <c r="M32" s="16">
        <f>HO!M32+'Gulf Mall'!M32+BTC!M32</f>
        <v>0</v>
      </c>
      <c r="N32" s="28">
        <f t="shared" si="11"/>
        <v>0</v>
      </c>
      <c r="O32" s="16">
        <f>HO!O32+'Gulf Mall'!O32+BTC!O32</f>
        <v>0</v>
      </c>
      <c r="P32" s="28">
        <f t="shared" si="12"/>
        <v>0</v>
      </c>
      <c r="Q32" s="16">
        <f>HO!Q32+'Gulf Mall'!Q32+BTC!Q32</f>
        <v>0</v>
      </c>
      <c r="R32" s="28">
        <f t="shared" si="13"/>
        <v>0</v>
      </c>
      <c r="S32" s="16">
        <f>HO!S32+'Gulf Mall'!S32+BTC!S32</f>
        <v>0</v>
      </c>
      <c r="T32" s="28">
        <f t="shared" si="14"/>
        <v>0</v>
      </c>
      <c r="U32" s="16">
        <f>HO!U32+'Gulf Mall'!U32+BTC!U32</f>
        <v>0</v>
      </c>
      <c r="V32" s="28">
        <f t="shared" si="15"/>
        <v>0</v>
      </c>
      <c r="W32" s="16">
        <f>HO!W32+'Gulf Mall'!W32+BTC!W32</f>
        <v>0</v>
      </c>
      <c r="X32" s="28">
        <f t="shared" si="16"/>
        <v>0</v>
      </c>
      <c r="Y32" s="16">
        <f>HO!Y32+'Gulf Mall'!Y32+BTC!Y32</f>
        <v>0</v>
      </c>
      <c r="Z32" s="28">
        <f t="shared" si="17"/>
        <v>0</v>
      </c>
      <c r="AA32" s="59">
        <f t="shared" si="18"/>
        <v>0</v>
      </c>
      <c r="AB32" s="60">
        <f t="shared" si="14"/>
        <v>0</v>
      </c>
      <c r="AC32" s="67">
        <f t="shared" si="1"/>
        <v>0</v>
      </c>
      <c r="AD32" s="68">
        <f t="shared" si="14"/>
        <v>0</v>
      </c>
      <c r="AE32" s="44">
        <f t="shared" si="2"/>
        <v>0</v>
      </c>
      <c r="AF32" s="21">
        <f t="shared" si="3"/>
        <v>0</v>
      </c>
      <c r="AW32" s="44"/>
      <c r="AX32" s="44"/>
    </row>
    <row r="33" spans="1:50">
      <c r="A33" s="3">
        <v>5612</v>
      </c>
      <c r="B33" s="3" t="s">
        <v>61</v>
      </c>
      <c r="C33" s="16">
        <f>HO!C33+'Gulf Mall'!C33+BTC!C33</f>
        <v>0</v>
      </c>
      <c r="D33" s="28">
        <f t="shared" si="6"/>
        <v>0</v>
      </c>
      <c r="E33" s="16">
        <f>HO!E33+'Gulf Mall'!E33+BTC!E33</f>
        <v>0</v>
      </c>
      <c r="F33" s="28">
        <f t="shared" si="7"/>
        <v>0</v>
      </c>
      <c r="G33" s="16">
        <f>HO!G33+'Gulf Mall'!G33+BTC!G33</f>
        <v>0</v>
      </c>
      <c r="H33" s="28">
        <f t="shared" si="8"/>
        <v>0</v>
      </c>
      <c r="I33" s="16">
        <f>HO!I33+'Gulf Mall'!I33+BTC!I33</f>
        <v>0</v>
      </c>
      <c r="J33" s="28">
        <f t="shared" si="9"/>
        <v>0</v>
      </c>
      <c r="K33" s="16">
        <f>HO!K33+'Gulf Mall'!K33+BTC!K33</f>
        <v>0</v>
      </c>
      <c r="L33" s="28">
        <f t="shared" si="10"/>
        <v>0</v>
      </c>
      <c r="M33" s="16">
        <f>HO!M33+'Gulf Mall'!M33+BTC!M33</f>
        <v>0</v>
      </c>
      <c r="N33" s="28">
        <f t="shared" si="11"/>
        <v>0</v>
      </c>
      <c r="O33" s="16">
        <f>HO!O33+'Gulf Mall'!O33+BTC!O33</f>
        <v>0</v>
      </c>
      <c r="P33" s="28">
        <f t="shared" si="12"/>
        <v>0</v>
      </c>
      <c r="Q33" s="16">
        <f>HO!Q33+'Gulf Mall'!Q33+BTC!Q33</f>
        <v>0</v>
      </c>
      <c r="R33" s="28">
        <f t="shared" si="13"/>
        <v>0</v>
      </c>
      <c r="S33" s="16">
        <f>HO!S33+'Gulf Mall'!S33+BTC!S33</f>
        <v>0</v>
      </c>
      <c r="T33" s="28">
        <f t="shared" si="14"/>
        <v>0</v>
      </c>
      <c r="U33" s="16">
        <f>HO!U33+'Gulf Mall'!U33+BTC!U33</f>
        <v>0</v>
      </c>
      <c r="V33" s="28">
        <f t="shared" si="15"/>
        <v>0</v>
      </c>
      <c r="W33" s="16">
        <f>HO!W33+'Gulf Mall'!W33+BTC!W33</f>
        <v>0</v>
      </c>
      <c r="X33" s="28">
        <f t="shared" si="16"/>
        <v>0</v>
      </c>
      <c r="Y33" s="16">
        <f>HO!Y33+'Gulf Mall'!Y33+BTC!Y33</f>
        <v>0</v>
      </c>
      <c r="Z33" s="28">
        <f t="shared" si="17"/>
        <v>0</v>
      </c>
      <c r="AA33" s="59">
        <f t="shared" si="18"/>
        <v>0</v>
      </c>
      <c r="AB33" s="60">
        <f t="shared" si="14"/>
        <v>0</v>
      </c>
      <c r="AC33" s="67">
        <f t="shared" si="1"/>
        <v>0</v>
      </c>
      <c r="AD33" s="68">
        <f t="shared" si="14"/>
        <v>0</v>
      </c>
      <c r="AE33" s="44">
        <f t="shared" si="2"/>
        <v>0</v>
      </c>
      <c r="AF33" s="21">
        <f t="shared" si="3"/>
        <v>0</v>
      </c>
      <c r="AW33" s="44"/>
      <c r="AX33" s="44"/>
    </row>
    <row r="34" spans="1:50">
      <c r="A34" s="3">
        <v>5613</v>
      </c>
      <c r="B34" s="3" t="s">
        <v>62</v>
      </c>
      <c r="C34" s="16">
        <f>HO!C34+'Gulf Mall'!C34+BTC!C34</f>
        <v>0</v>
      </c>
      <c r="D34" s="28">
        <f t="shared" si="6"/>
        <v>0</v>
      </c>
      <c r="E34" s="16">
        <f>HO!E34+'Gulf Mall'!E34+BTC!E34</f>
        <v>0</v>
      </c>
      <c r="F34" s="28">
        <f t="shared" si="7"/>
        <v>0</v>
      </c>
      <c r="G34" s="16">
        <f>HO!G34+'Gulf Mall'!G34+BTC!G34</f>
        <v>0</v>
      </c>
      <c r="H34" s="28">
        <f t="shared" si="8"/>
        <v>0</v>
      </c>
      <c r="I34" s="16">
        <f>HO!I34+'Gulf Mall'!I34+BTC!I34</f>
        <v>0</v>
      </c>
      <c r="J34" s="28">
        <f t="shared" si="9"/>
        <v>0</v>
      </c>
      <c r="K34" s="16">
        <f>HO!K34+'Gulf Mall'!K34+BTC!K34</f>
        <v>0</v>
      </c>
      <c r="L34" s="28">
        <f t="shared" si="10"/>
        <v>0</v>
      </c>
      <c r="M34" s="16">
        <f>HO!M34+'Gulf Mall'!M34+BTC!M34</f>
        <v>0</v>
      </c>
      <c r="N34" s="28">
        <f t="shared" si="11"/>
        <v>0</v>
      </c>
      <c r="O34" s="16">
        <f>HO!O34+'Gulf Mall'!O34+BTC!O34</f>
        <v>0</v>
      </c>
      <c r="P34" s="28">
        <f t="shared" si="12"/>
        <v>0</v>
      </c>
      <c r="Q34" s="16">
        <f>HO!Q34+'Gulf Mall'!Q34+BTC!Q34</f>
        <v>0</v>
      </c>
      <c r="R34" s="28">
        <f t="shared" si="13"/>
        <v>0</v>
      </c>
      <c r="S34" s="16">
        <f>HO!S34+'Gulf Mall'!S34+BTC!S34</f>
        <v>0</v>
      </c>
      <c r="T34" s="28">
        <f t="shared" si="14"/>
        <v>0</v>
      </c>
      <c r="U34" s="16">
        <f>HO!U34+'Gulf Mall'!U34+BTC!U34</f>
        <v>0</v>
      </c>
      <c r="V34" s="28">
        <f t="shared" si="15"/>
        <v>0</v>
      </c>
      <c r="W34" s="16">
        <f>HO!W34+'Gulf Mall'!W34+BTC!W34</f>
        <v>0</v>
      </c>
      <c r="X34" s="28">
        <f t="shared" si="16"/>
        <v>0</v>
      </c>
      <c r="Y34" s="16">
        <f>HO!Y34+'Gulf Mall'!Y34+BTC!Y34</f>
        <v>0</v>
      </c>
      <c r="Z34" s="28">
        <f t="shared" si="17"/>
        <v>0</v>
      </c>
      <c r="AA34" s="59">
        <f t="shared" si="18"/>
        <v>0</v>
      </c>
      <c r="AB34" s="60">
        <f t="shared" si="14"/>
        <v>0</v>
      </c>
      <c r="AC34" s="67">
        <f t="shared" si="1"/>
        <v>0</v>
      </c>
      <c r="AD34" s="68">
        <f t="shared" si="14"/>
        <v>0</v>
      </c>
      <c r="AE34" s="44">
        <f t="shared" si="2"/>
        <v>0</v>
      </c>
      <c r="AF34" s="21">
        <f t="shared" si="3"/>
        <v>0</v>
      </c>
      <c r="AW34" s="44"/>
      <c r="AX34" s="44"/>
    </row>
    <row r="35" spans="1:50">
      <c r="A35" s="34">
        <v>5699</v>
      </c>
      <c r="B35" s="34" t="s">
        <v>99</v>
      </c>
      <c r="C35" s="32">
        <f>HO!C35+'Gulf Mall'!C35+BTC!C35</f>
        <v>6630.6046323481023</v>
      </c>
      <c r="D35" s="53">
        <f t="shared" si="6"/>
        <v>9.3854334726664775E-3</v>
      </c>
      <c r="E35" s="32">
        <f>HO!E35+'Gulf Mall'!E35+BTC!E35</f>
        <v>5191.9198902752369</v>
      </c>
      <c r="F35" s="53">
        <f t="shared" si="7"/>
        <v>6.7283686624246353E-3</v>
      </c>
      <c r="G35" s="32">
        <f>HO!G35+'Gulf Mall'!G35+BTC!G35</f>
        <v>8513.423748457386</v>
      </c>
      <c r="H35" s="53">
        <f t="shared" si="8"/>
        <v>1.1099722137277116E-2</v>
      </c>
      <c r="I35" s="32">
        <f>HO!I35+'Gulf Mall'!I35+BTC!I35</f>
        <v>7534.8552148551908</v>
      </c>
      <c r="J35" s="53">
        <f t="shared" si="9"/>
        <v>9.6704497388747108E-3</v>
      </c>
      <c r="K35" s="32">
        <f>HO!K35+'Gulf Mall'!K35+BTC!K35</f>
        <v>6904.2023956498724</v>
      </c>
      <c r="L35" s="53">
        <f t="shared" si="10"/>
        <v>8.3074032735058947E-3</v>
      </c>
      <c r="M35" s="32">
        <f>HO!M35+'Gulf Mall'!M35+BTC!M35</f>
        <v>9727.3654836068708</v>
      </c>
      <c r="N35" s="53">
        <f t="shared" si="11"/>
        <v>1.349887035197774E-2</v>
      </c>
      <c r="O35" s="32">
        <f>HO!O35+'Gulf Mall'!O35+BTC!O35</f>
        <v>6213.5308520394028</v>
      </c>
      <c r="P35" s="53">
        <f t="shared" si="12"/>
        <v>8.2222888836247718E-3</v>
      </c>
      <c r="Q35" s="32">
        <f>HO!Q35+'Gulf Mall'!Q35+BTC!Q35</f>
        <v>7679.3229730950516</v>
      </c>
      <c r="R35" s="53">
        <f t="shared" si="13"/>
        <v>9.739878092288266E-3</v>
      </c>
      <c r="S35" s="32">
        <f>HO!S35+'Gulf Mall'!S35+BTC!S35</f>
        <v>7734.8839237697212</v>
      </c>
      <c r="T35" s="53">
        <f t="shared" si="14"/>
        <v>1.009653970927973E-2</v>
      </c>
      <c r="U35" s="32">
        <f>HO!U35+'Gulf Mall'!U35+BTC!U35</f>
        <v>6166.3794520582205</v>
      </c>
      <c r="V35" s="53">
        <f t="shared" si="15"/>
        <v>8.0675874697030917E-3</v>
      </c>
      <c r="W35" s="32">
        <f>HO!W35+'Gulf Mall'!W35+BTC!W35</f>
        <v>6271.3143106710995</v>
      </c>
      <c r="X35" s="53">
        <f t="shared" si="16"/>
        <v>8.0024040561029863E-3</v>
      </c>
      <c r="Y35" s="32">
        <f>HO!Y35+'Gulf Mall'!Y35+BTC!Y35</f>
        <v>9397.2459925131225</v>
      </c>
      <c r="Z35" s="53">
        <f t="shared" si="17"/>
        <v>1.1999039380138387E-2</v>
      </c>
      <c r="AA35" s="63">
        <f>SUM(AA22:AA34)</f>
        <v>87965.048869339269</v>
      </c>
      <c r="AB35" s="73">
        <f t="shared" si="14"/>
        <v>9.5433787003959807E-3</v>
      </c>
      <c r="AC35" s="70">
        <f t="shared" si="1"/>
        <v>7330.4207391116061</v>
      </c>
      <c r="AD35" s="78">
        <f t="shared" si="14"/>
        <v>9.5433787003959825E-3</v>
      </c>
      <c r="AE35" s="44">
        <f t="shared" si="2"/>
        <v>87965.048869339269</v>
      </c>
      <c r="AF35" s="21">
        <f t="shared" si="3"/>
        <v>0</v>
      </c>
      <c r="AW35" s="44"/>
      <c r="AX35" s="44"/>
    </row>
    <row r="36" spans="1:50" ht="15.75" thickBot="1">
      <c r="A36" s="35">
        <v>5999</v>
      </c>
      <c r="B36" s="34" t="s">
        <v>100</v>
      </c>
      <c r="C36" s="32">
        <f>HO!C36+'Gulf Mall'!C36+BTC!C36</f>
        <v>1036830.7210212847</v>
      </c>
      <c r="D36" s="53">
        <f t="shared" si="6"/>
        <v>1.4676045842166279</v>
      </c>
      <c r="E36" s="32">
        <f>HO!E36+'Gulf Mall'!E36+BTC!E36</f>
        <v>710556.51253978082</v>
      </c>
      <c r="F36" s="53">
        <f t="shared" si="7"/>
        <v>0.92083203764550992</v>
      </c>
      <c r="G36" s="32">
        <f>HO!G36+'Gulf Mall'!G36+BTC!G36</f>
        <v>1263584.5476002959</v>
      </c>
      <c r="H36" s="53">
        <f t="shared" si="8"/>
        <v>1.6474496970577406</v>
      </c>
      <c r="I36" s="32">
        <f>HO!I36+'Gulf Mall'!I36+BTC!I36</f>
        <v>1046091.6602639902</v>
      </c>
      <c r="J36" s="53">
        <f t="shared" si="9"/>
        <v>1.3425841020666958</v>
      </c>
      <c r="K36" s="32">
        <f>HO!K36+'Gulf Mall'!K36+BTC!K36</f>
        <v>886526.49438911828</v>
      </c>
      <c r="L36" s="53">
        <f t="shared" si="10"/>
        <v>1.0667029556054384</v>
      </c>
      <c r="M36" s="32">
        <f>HO!M36+'Gulf Mall'!M36+BTC!M36</f>
        <v>1587119.4606336583</v>
      </c>
      <c r="N36" s="53">
        <f t="shared" si="11"/>
        <v>2.2024791674888866</v>
      </c>
      <c r="O36" s="32">
        <f>HO!O36+'Gulf Mall'!O36+BTC!O36</f>
        <v>911296.56936645438</v>
      </c>
      <c r="P36" s="53">
        <f t="shared" si="12"/>
        <v>1.2059075315491283</v>
      </c>
      <c r="Q36" s="32">
        <f>HO!Q36+'Gulf Mall'!Q36+BTC!Q36</f>
        <v>1113234.912855885</v>
      </c>
      <c r="R36" s="53">
        <f t="shared" si="13"/>
        <v>1.4119437842741795</v>
      </c>
      <c r="S36" s="32">
        <f>HO!S36+'Gulf Mall'!S36+BTC!S36</f>
        <v>1143697.6662403482</v>
      </c>
      <c r="T36" s="53">
        <f t="shared" si="14"/>
        <v>1.4928975038811474</v>
      </c>
      <c r="U36" s="32">
        <f>HO!U36+'Gulf Mall'!U36+BTC!U36</f>
        <v>871923.38260323624</v>
      </c>
      <c r="V36" s="53">
        <f t="shared" si="15"/>
        <v>1.1407533724969003</v>
      </c>
      <c r="W36" s="32">
        <f>HO!W36+'Gulf Mall'!W36+BTC!W36</f>
        <v>862235.09875284648</v>
      </c>
      <c r="X36" s="53">
        <f t="shared" si="16"/>
        <v>1.1002404455846462</v>
      </c>
      <c r="Y36" s="32">
        <f>HO!Y36+'Gulf Mall'!Y36+BTC!Y36</f>
        <v>1479709.3588020997</v>
      </c>
      <c r="Z36" s="53">
        <f t="shared" si="17"/>
        <v>1.8893930074376439</v>
      </c>
      <c r="AA36" s="63">
        <f>AA21+AA35</f>
        <v>12912806.385069</v>
      </c>
      <c r="AB36" s="73">
        <f t="shared" si="14"/>
        <v>1.4009177849790053</v>
      </c>
      <c r="AC36" s="70">
        <f t="shared" si="1"/>
        <v>1076067.19875575</v>
      </c>
      <c r="AD36" s="78">
        <f t="shared" si="14"/>
        <v>1.4009177849790053</v>
      </c>
      <c r="AE36" s="44">
        <f t="shared" si="2"/>
        <v>12912806.385068998</v>
      </c>
      <c r="AF36" s="21">
        <f t="shared" si="3"/>
        <v>0</v>
      </c>
      <c r="AW36" s="44"/>
      <c r="AX36" s="44"/>
    </row>
    <row r="37" spans="1:50" ht="16.5" thickTop="1" thickBot="1">
      <c r="A37" s="36"/>
      <c r="B37" s="7" t="s">
        <v>68</v>
      </c>
      <c r="C37" s="18">
        <f>HO!C37+'Gulf Mall'!C37+BTC!C37</f>
        <v>1123370.8230947494</v>
      </c>
      <c r="D37" s="47">
        <f t="shared" si="6"/>
        <v>1.5900996530321905</v>
      </c>
      <c r="E37" s="18">
        <f>HO!E37+'Gulf Mall'!E37+BTC!E37</f>
        <v>970083.45088529808</v>
      </c>
      <c r="F37" s="47">
        <f t="shared" si="7"/>
        <v>1.2571609787545028</v>
      </c>
      <c r="G37" s="18">
        <f>HO!G37+'Gulf Mall'!G37+BTC!G37</f>
        <v>1524223.368552166</v>
      </c>
      <c r="H37" s="47">
        <f t="shared" si="8"/>
        <v>1.9872681503888683</v>
      </c>
      <c r="I37" s="18">
        <f>HO!I37+'Gulf Mall'!I37+BTC!I37</f>
        <v>1415526.7646877402</v>
      </c>
      <c r="J37" s="47">
        <f t="shared" si="9"/>
        <v>1.8167277328643137</v>
      </c>
      <c r="K37" s="18">
        <f>HO!K37+'Gulf Mall'!K37+BTC!K37</f>
        <v>1364874.3041608394</v>
      </c>
      <c r="L37" s="47">
        <f t="shared" si="10"/>
        <v>1.6422695356459887</v>
      </c>
      <c r="M37" s="18">
        <f>HO!M37+'Gulf Mall'!M37+BTC!M37</f>
        <v>1605335.690568632</v>
      </c>
      <c r="N37" s="47">
        <f t="shared" si="11"/>
        <v>2.2277582141751067</v>
      </c>
      <c r="O37" s="18">
        <f>HO!O37+'Gulf Mall'!O37+BTC!O37</f>
        <v>1109880.3813133466</v>
      </c>
      <c r="P37" s="47">
        <f t="shared" si="12"/>
        <v>1.4686910451938449</v>
      </c>
      <c r="Q37" s="18">
        <f>HO!Q37+'Gulf Mall'!Q37+BTC!Q37</f>
        <v>1396539.411509132</v>
      </c>
      <c r="R37" s="47">
        <f t="shared" si="13"/>
        <v>1.7712659913941324</v>
      </c>
      <c r="S37" s="18">
        <f>HO!S37+'Gulf Mall'!S37+BTC!S37</f>
        <v>1384596.9750162254</v>
      </c>
      <c r="T37" s="47">
        <f t="shared" si="14"/>
        <v>1.8073494673449102</v>
      </c>
      <c r="U37" s="18">
        <f>HO!U37+'Gulf Mall'!U37+BTC!U37</f>
        <v>1133536.4347495039</v>
      </c>
      <c r="V37" s="47">
        <f t="shared" si="15"/>
        <v>1.4830265325927385</v>
      </c>
      <c r="W37" s="18">
        <f>HO!W37+'Gulf Mall'!W37+BTC!W37</f>
        <v>1178203.0048041865</v>
      </c>
      <c r="X37" s="47">
        <f t="shared" si="16"/>
        <v>1.5034259227789846</v>
      </c>
      <c r="Y37" s="18">
        <f>HO!Y37+'Gulf Mall'!Y37+BTC!Y37</f>
        <v>1602705.9720356078</v>
      </c>
      <c r="Z37" s="47">
        <f t="shared" si="17"/>
        <v>2.0464434035843801</v>
      </c>
      <c r="AA37" s="61">
        <f>(AA16-AA36)</f>
        <v>15808876.581377426</v>
      </c>
      <c r="AB37" s="74">
        <f t="shared" si="14"/>
        <v>1.7151141047850065</v>
      </c>
      <c r="AC37" s="24">
        <f t="shared" si="1"/>
        <v>1317406.3817814521</v>
      </c>
      <c r="AD37" s="77">
        <f t="shared" si="14"/>
        <v>1.7151141047850063</v>
      </c>
      <c r="AE37" s="44">
        <f t="shared" si="2"/>
        <v>15808876.581377426</v>
      </c>
      <c r="AF37" s="21">
        <f t="shared" si="3"/>
        <v>0</v>
      </c>
      <c r="AW37" s="44"/>
      <c r="AX37" s="44"/>
    </row>
    <row r="38" spans="1:50" ht="15.75" thickTop="1">
      <c r="A38" s="2">
        <v>6002</v>
      </c>
      <c r="B38" s="2" t="s">
        <v>45</v>
      </c>
      <c r="C38" s="16">
        <f>HO!C38+'Gulf Mall'!C38+BTC!C38</f>
        <v>0</v>
      </c>
      <c r="D38" s="28"/>
      <c r="E38" s="16">
        <f>HO!E38+'Gulf Mall'!E38+BTC!E38</f>
        <v>0</v>
      </c>
      <c r="F38" s="28"/>
      <c r="G38" s="16">
        <f>HO!G38+'Gulf Mall'!G38+BTC!G38</f>
        <v>0</v>
      </c>
      <c r="H38" s="28"/>
      <c r="I38" s="16">
        <f>HO!I38+'Gulf Mall'!I38+BTC!I38</f>
        <v>0</v>
      </c>
      <c r="J38" s="28"/>
      <c r="K38" s="16">
        <f>HO!K38+'Gulf Mall'!K38+BTC!K38</f>
        <v>0</v>
      </c>
      <c r="L38" s="28"/>
      <c r="M38" s="16">
        <f>HO!M38+'Gulf Mall'!M38+BTC!M38</f>
        <v>0</v>
      </c>
      <c r="N38" s="28"/>
      <c r="O38" s="16">
        <f>HO!O38+'Gulf Mall'!O38+BTC!O38</f>
        <v>0</v>
      </c>
      <c r="P38" s="28"/>
      <c r="Q38" s="16">
        <f>HO!Q38+'Gulf Mall'!Q38+BTC!Q38</f>
        <v>0</v>
      </c>
      <c r="R38" s="28"/>
      <c r="S38" s="16">
        <f>HO!S38+'Gulf Mall'!S38+BTC!S38</f>
        <v>0</v>
      </c>
      <c r="T38" s="28"/>
      <c r="U38" s="16">
        <f>HO!U38+'Gulf Mall'!U38+BTC!U38</f>
        <v>0</v>
      </c>
      <c r="V38" s="28"/>
      <c r="W38" s="16">
        <f>HO!W38+'Gulf Mall'!W38+BTC!W38</f>
        <v>0</v>
      </c>
      <c r="X38" s="28"/>
      <c r="Y38" s="16">
        <f>HO!Y38+'Gulf Mall'!Y38+BTC!Y38</f>
        <v>0</v>
      </c>
      <c r="Z38" s="28"/>
      <c r="AA38" s="59">
        <f t="shared" ref="AA38:AA40" si="19">C38+E38+G38+I38+K38+M38+O38+Q38+S38+U38+W38+Y38</f>
        <v>0</v>
      </c>
      <c r="AB38" s="60"/>
      <c r="AC38" s="67">
        <f t="shared" si="1"/>
        <v>0</v>
      </c>
      <c r="AD38" s="68"/>
      <c r="AE38" s="44">
        <f t="shared" si="2"/>
        <v>0</v>
      </c>
      <c r="AF38" s="21">
        <f t="shared" si="3"/>
        <v>0</v>
      </c>
      <c r="AW38" s="44"/>
      <c r="AX38" s="44"/>
    </row>
    <row r="39" spans="1:50">
      <c r="A39" s="2">
        <v>6003</v>
      </c>
      <c r="B39" s="2" t="s">
        <v>0</v>
      </c>
      <c r="C39" s="16">
        <f>HO!C39+'Gulf Mall'!C39+BTC!C39</f>
        <v>36500</v>
      </c>
      <c r="D39" s="28">
        <f>C39/C$145</f>
        <v>5.1664718490538677E-2</v>
      </c>
      <c r="E39" s="16">
        <f>HO!E39+'Gulf Mall'!E39+BTC!E39</f>
        <v>36500</v>
      </c>
      <c r="F39" s="28">
        <f>E39/E$145</f>
        <v>4.7301472551318599E-2</v>
      </c>
      <c r="G39" s="16">
        <f>HO!G39+'Gulf Mall'!G39+BTC!G39</f>
        <v>36500</v>
      </c>
      <c r="H39" s="28">
        <f>G39/G$145</f>
        <v>4.7588358101407227E-2</v>
      </c>
      <c r="I39" s="16">
        <f>HO!I39+'Gulf Mall'!I39+BTC!I39</f>
        <v>36500</v>
      </c>
      <c r="J39" s="28">
        <f>I39/I$145</f>
        <v>4.684514903126915E-2</v>
      </c>
      <c r="K39" s="16">
        <f>HO!K39+'Gulf Mall'!K39+BTC!K39</f>
        <v>36500</v>
      </c>
      <c r="L39" s="28">
        <f>K39/K$145</f>
        <v>4.3918211272893012E-2</v>
      </c>
      <c r="M39" s="16">
        <f>HO!M39+'Gulf Mall'!M39+BTC!M39</f>
        <v>36500</v>
      </c>
      <c r="N39" s="28">
        <f>M39/M$145</f>
        <v>5.0651820236170764E-2</v>
      </c>
      <c r="O39" s="16">
        <f>HO!O39+'Gulf Mall'!O39+BTC!O39</f>
        <v>36500</v>
      </c>
      <c r="P39" s="28">
        <f>O39/O$145</f>
        <v>4.8300000659657304E-2</v>
      </c>
      <c r="Q39" s="16">
        <f>HO!Q39+'Gulf Mall'!Q39+BTC!Q39</f>
        <v>36500</v>
      </c>
      <c r="R39" s="28">
        <f>Q39/Q$145</f>
        <v>4.6293866218943491E-2</v>
      </c>
      <c r="S39" s="16">
        <f>HO!S39+'Gulf Mall'!S39+BTC!S39</f>
        <v>36500</v>
      </c>
      <c r="T39" s="28">
        <f>S39/S$145</f>
        <v>4.7644373596378957E-2</v>
      </c>
      <c r="U39" s="16">
        <f>HO!U39+'Gulf Mall'!U39+BTC!U39</f>
        <v>36500</v>
      </c>
      <c r="V39" s="28">
        <f>U39/U$145</f>
        <v>4.7753620245649234E-2</v>
      </c>
      <c r="W39" s="16">
        <f>HO!W39+'Gulf Mall'!W39+BTC!W39</f>
        <v>36500</v>
      </c>
      <c r="X39" s="28">
        <f>W39/W$145</f>
        <v>4.6575204746276293E-2</v>
      </c>
      <c r="Y39" s="16">
        <f>HO!Y39+'Gulf Mall'!Y39+BTC!Y39</f>
        <v>36500</v>
      </c>
      <c r="Z39" s="28">
        <f>Y39/Y$145</f>
        <v>4.66056691209299E-2</v>
      </c>
      <c r="AA39" s="59">
        <f t="shared" si="19"/>
        <v>438000</v>
      </c>
      <c r="AB39" s="60">
        <f>AA39/AA$145</f>
        <v>4.7518871693941651E-2</v>
      </c>
      <c r="AC39" s="67">
        <f t="shared" si="1"/>
        <v>36500</v>
      </c>
      <c r="AD39" s="68">
        <f>AC39/AC$145</f>
        <v>4.7518871693941651E-2</v>
      </c>
      <c r="AE39" s="44">
        <f t="shared" si="2"/>
        <v>438000</v>
      </c>
      <c r="AF39" s="21">
        <f t="shared" si="3"/>
        <v>0</v>
      </c>
      <c r="AG39" s="113">
        <v>36500</v>
      </c>
      <c r="AH39" s="1" t="s">
        <v>137</v>
      </c>
      <c r="AW39" s="44"/>
      <c r="AX39" s="44"/>
    </row>
    <row r="40" spans="1:50">
      <c r="A40" s="2">
        <v>6004</v>
      </c>
      <c r="B40" s="2" t="s">
        <v>1</v>
      </c>
      <c r="C40" s="16">
        <f>HO!C40+'Gulf Mall'!C40+BTC!C40</f>
        <v>0</v>
      </c>
      <c r="D40" s="28">
        <f t="shared" ref="D40:R42" si="20">C40/C$145</f>
        <v>0</v>
      </c>
      <c r="E40" s="16">
        <f>HO!E40+'Gulf Mall'!E40+BTC!E40</f>
        <v>0</v>
      </c>
      <c r="F40" s="28"/>
      <c r="G40" s="16">
        <f>HO!G40+'Gulf Mall'!G40+BTC!G40</f>
        <v>0</v>
      </c>
      <c r="H40" s="28"/>
      <c r="I40" s="16">
        <f>HO!I40+'Gulf Mall'!I40+BTC!I40</f>
        <v>0</v>
      </c>
      <c r="J40" s="28"/>
      <c r="K40" s="16">
        <f>HO!K40+'Gulf Mall'!K40+BTC!K40</f>
        <v>0</v>
      </c>
      <c r="L40" s="28"/>
      <c r="M40" s="16">
        <f>HO!M40+'Gulf Mall'!M40+BTC!M40</f>
        <v>0</v>
      </c>
      <c r="N40" s="28"/>
      <c r="O40" s="16">
        <f>HO!O40+'Gulf Mall'!O40+BTC!O40</f>
        <v>0</v>
      </c>
      <c r="P40" s="28"/>
      <c r="Q40" s="16">
        <f>HO!Q40+'Gulf Mall'!Q40+BTC!Q40</f>
        <v>0</v>
      </c>
      <c r="R40" s="28"/>
      <c r="S40" s="16">
        <f>HO!S40+'Gulf Mall'!S40+BTC!S40</f>
        <v>0</v>
      </c>
      <c r="T40" s="28"/>
      <c r="U40" s="16">
        <f>HO!U40+'Gulf Mall'!U40+BTC!U40</f>
        <v>0</v>
      </c>
      <c r="V40" s="28"/>
      <c r="W40" s="16">
        <f>HO!W40+'Gulf Mall'!W40+BTC!W40</f>
        <v>0</v>
      </c>
      <c r="X40" s="28"/>
      <c r="Y40" s="16">
        <f>HO!Y40+'Gulf Mall'!Y40+BTC!Y40</f>
        <v>0</v>
      </c>
      <c r="Z40" s="28"/>
      <c r="AA40" s="59">
        <f t="shared" si="19"/>
        <v>0</v>
      </c>
      <c r="AB40" s="60"/>
      <c r="AC40" s="67">
        <f t="shared" si="1"/>
        <v>0</v>
      </c>
      <c r="AD40" s="68"/>
      <c r="AE40" s="44">
        <f t="shared" si="2"/>
        <v>0</v>
      </c>
      <c r="AF40" s="21">
        <f t="shared" si="3"/>
        <v>0</v>
      </c>
      <c r="AW40" s="44"/>
      <c r="AX40" s="44"/>
    </row>
    <row r="41" spans="1:50" ht="15.75" thickBot="1">
      <c r="A41" s="37">
        <v>6099</v>
      </c>
      <c r="B41" s="37" t="s">
        <v>101</v>
      </c>
      <c r="C41" s="38">
        <f>HO!C41+'Gulf Mall'!C41+BTC!C41</f>
        <v>36500</v>
      </c>
      <c r="D41" s="54">
        <f t="shared" si="20"/>
        <v>5.1664718490538677E-2</v>
      </c>
      <c r="E41" s="38">
        <f>HO!E41+'Gulf Mall'!E41+BTC!E41</f>
        <v>36500</v>
      </c>
      <c r="F41" s="54">
        <f>E41/E$145</f>
        <v>4.7301472551318599E-2</v>
      </c>
      <c r="G41" s="38">
        <f>HO!G41+'Gulf Mall'!G41+BTC!G41</f>
        <v>36500</v>
      </c>
      <c r="H41" s="54">
        <f>G41/G$145</f>
        <v>4.7588358101407227E-2</v>
      </c>
      <c r="I41" s="38">
        <f>HO!I41+'Gulf Mall'!I41+BTC!I41</f>
        <v>36500</v>
      </c>
      <c r="J41" s="54">
        <f>I41/I$145</f>
        <v>4.684514903126915E-2</v>
      </c>
      <c r="K41" s="38">
        <f>HO!K41+'Gulf Mall'!K41+BTC!K41</f>
        <v>36500</v>
      </c>
      <c r="L41" s="54">
        <f>K41/K$145</f>
        <v>4.3918211272893012E-2</v>
      </c>
      <c r="M41" s="38">
        <f>HO!M41+'Gulf Mall'!M41+BTC!M41</f>
        <v>36500</v>
      </c>
      <c r="N41" s="54">
        <f>M41/M$145</f>
        <v>5.0651820236170764E-2</v>
      </c>
      <c r="O41" s="38">
        <f>HO!O41+'Gulf Mall'!O41+BTC!O41</f>
        <v>36500</v>
      </c>
      <c r="P41" s="54">
        <f>O41/O$145</f>
        <v>4.8300000659657304E-2</v>
      </c>
      <c r="Q41" s="38">
        <f>HO!Q41+'Gulf Mall'!Q41+BTC!Q41</f>
        <v>36500</v>
      </c>
      <c r="R41" s="54">
        <f>Q41/Q$145</f>
        <v>4.6293866218943491E-2</v>
      </c>
      <c r="S41" s="38">
        <f>HO!S41+'Gulf Mall'!S41+BTC!S41</f>
        <v>36500</v>
      </c>
      <c r="T41" s="54">
        <f>S41/S$145</f>
        <v>4.7644373596378957E-2</v>
      </c>
      <c r="U41" s="38">
        <f>HO!U41+'Gulf Mall'!U41+BTC!U41</f>
        <v>36500</v>
      </c>
      <c r="V41" s="54">
        <f>U41/U$145</f>
        <v>4.7753620245649234E-2</v>
      </c>
      <c r="W41" s="38">
        <f>HO!W41+'Gulf Mall'!W41+BTC!W41</f>
        <v>36500</v>
      </c>
      <c r="X41" s="54">
        <f>W41/W$145</f>
        <v>4.6575204746276293E-2</v>
      </c>
      <c r="Y41" s="38">
        <f>HO!Y41+'Gulf Mall'!Y41+BTC!Y41</f>
        <v>36500</v>
      </c>
      <c r="Z41" s="54">
        <f>Y41/Y$145</f>
        <v>4.66056691209299E-2</v>
      </c>
      <c r="AA41" s="61">
        <f>SUM(AA38:AA40)</f>
        <v>438000</v>
      </c>
      <c r="AB41" s="74">
        <f>AA41/AA$145</f>
        <v>4.7518871693941651E-2</v>
      </c>
      <c r="AC41" s="24">
        <f t="shared" si="1"/>
        <v>36500</v>
      </c>
      <c r="AD41" s="77">
        <f>AC41/AC$145</f>
        <v>4.7518871693941651E-2</v>
      </c>
      <c r="AE41" s="44">
        <f t="shared" si="2"/>
        <v>438000</v>
      </c>
      <c r="AF41" s="21">
        <f t="shared" si="3"/>
        <v>0</v>
      </c>
      <c r="AW41" s="44"/>
      <c r="AX41" s="44"/>
    </row>
    <row r="42" spans="1:50" ht="15.75" thickTop="1">
      <c r="A42" s="2">
        <v>6101</v>
      </c>
      <c r="B42" s="2" t="s">
        <v>2</v>
      </c>
      <c r="C42" s="16">
        <f>HO!C42+'Gulf Mall'!C42+BTC!C42</f>
        <v>193384</v>
      </c>
      <c r="D42" s="28">
        <f t="shared" si="20"/>
        <v>0.27372958686505017</v>
      </c>
      <c r="E42" s="16">
        <f>HO!E42+'Gulf Mall'!E42+BTC!E42</f>
        <v>193384</v>
      </c>
      <c r="F42" s="28">
        <f t="shared" si="20"/>
        <v>0.25061227309216977</v>
      </c>
      <c r="G42" s="16">
        <f>HO!G42+'Gulf Mall'!G42+BTC!G42</f>
        <v>193384</v>
      </c>
      <c r="H42" s="28">
        <f t="shared" si="20"/>
        <v>0.25213224775568593</v>
      </c>
      <c r="I42" s="16">
        <f>HO!I42+'Gulf Mall'!I42+BTC!I42</f>
        <v>193384</v>
      </c>
      <c r="J42" s="28">
        <f t="shared" si="20"/>
        <v>0.24819458356884805</v>
      </c>
      <c r="K42" s="16">
        <f>HO!K42+'Gulf Mall'!K42+BTC!K42</f>
        <v>193384</v>
      </c>
      <c r="L42" s="28">
        <f t="shared" si="20"/>
        <v>0.23268710599444226</v>
      </c>
      <c r="M42" s="16">
        <f>HO!M42+'Gulf Mall'!M42+BTC!M42</f>
        <v>193384</v>
      </c>
      <c r="N42" s="28">
        <f t="shared" si="20"/>
        <v>0.26836305765894924</v>
      </c>
      <c r="O42" s="16">
        <f>HO!O42+'Gulf Mall'!O42+BTC!O42</f>
        <v>193384</v>
      </c>
      <c r="P42" s="28">
        <f t="shared" si="20"/>
        <v>0.25590266650868954</v>
      </c>
      <c r="Q42" s="16">
        <f>HO!Q42+'Gulf Mall'!Q42+BTC!Q42</f>
        <v>193384</v>
      </c>
      <c r="R42" s="28">
        <f t="shared" si="20"/>
        <v>0.24527378150367585</v>
      </c>
      <c r="S42" s="16">
        <f>HO!S42+'Gulf Mall'!S42+BTC!S42</f>
        <v>193384</v>
      </c>
      <c r="T42" s="28">
        <f t="shared" ref="T42:AD42" si="21">S42/S$145</f>
        <v>0.25242902859074379</v>
      </c>
      <c r="U42" s="16">
        <f>HO!U42+'Gulf Mall'!U42+BTC!U42</f>
        <v>193384</v>
      </c>
      <c r="V42" s="28">
        <f t="shared" si="21"/>
        <v>0.25300783828998991</v>
      </c>
      <c r="W42" s="16">
        <f>HO!W42+'Gulf Mall'!W42+BTC!W42</f>
        <v>193384</v>
      </c>
      <c r="X42" s="28">
        <f t="shared" si="21"/>
        <v>0.24676436697681903</v>
      </c>
      <c r="Y42" s="16">
        <f>HO!Y42+'Gulf Mall'!Y42+BTC!Y42</f>
        <v>193384</v>
      </c>
      <c r="Z42" s="28">
        <f t="shared" si="21"/>
        <v>0.24692577307621666</v>
      </c>
      <c r="AA42" s="59">
        <f t="shared" ref="AA42" si="22">C42+E42+G42+I42+K42+M42+O42+Q42+S42+U42+W42+Y42</f>
        <v>2320608</v>
      </c>
      <c r="AB42" s="60">
        <f t="shared" si="21"/>
        <v>0.25176409544277295</v>
      </c>
      <c r="AC42" s="67">
        <f t="shared" si="1"/>
        <v>193384</v>
      </c>
      <c r="AD42" s="68">
        <f t="shared" si="21"/>
        <v>0.25176409544277295</v>
      </c>
      <c r="AE42" s="44">
        <f t="shared" si="2"/>
        <v>2320608</v>
      </c>
      <c r="AF42" s="21">
        <f t="shared" si="3"/>
        <v>0</v>
      </c>
      <c r="AG42" s="113"/>
      <c r="AJ42" s="1" t="s">
        <v>152</v>
      </c>
      <c r="AW42" s="44"/>
      <c r="AX42" s="44"/>
    </row>
    <row r="43" spans="1:50">
      <c r="A43" s="82">
        <v>6102</v>
      </c>
      <c r="B43" s="2" t="s">
        <v>3</v>
      </c>
      <c r="C43" s="16">
        <f>HO!C43+'Gulf Mall'!C43+BTC!C43</f>
        <v>2500</v>
      </c>
      <c r="D43" s="28">
        <f t="shared" ref="D43:D75" si="23">C43/C$145</f>
        <v>3.5386793486670326E-3</v>
      </c>
      <c r="E43" s="16">
        <f>HO!E43+'Gulf Mall'!E43+BTC!E43</f>
        <v>2500</v>
      </c>
      <c r="F43" s="28">
        <f t="shared" ref="F43:F75" si="24">E43/E$145</f>
        <v>3.2398268870766165E-3</v>
      </c>
      <c r="G43" s="16">
        <f>HO!G43+'Gulf Mall'!G43+BTC!G43</f>
        <v>2500</v>
      </c>
      <c r="H43" s="28">
        <f t="shared" ref="H43:H75" si="25">G43/G$145</f>
        <v>3.2594765822881663E-3</v>
      </c>
      <c r="I43" s="16">
        <f>HO!I43+'Gulf Mall'!I43+BTC!I43</f>
        <v>2500</v>
      </c>
      <c r="J43" s="28">
        <f t="shared" ref="J43:J75" si="26">I43/I$145</f>
        <v>3.2085718514567913E-3</v>
      </c>
      <c r="K43" s="16">
        <f>HO!K43+'Gulf Mall'!K43+BTC!K43</f>
        <v>2500</v>
      </c>
      <c r="L43" s="28">
        <f t="shared" ref="L43:L75" si="27">K43/K$145</f>
        <v>3.0080966625269188E-3</v>
      </c>
      <c r="M43" s="16">
        <f>HO!M43+'Gulf Mall'!M43+BTC!M43</f>
        <v>2500</v>
      </c>
      <c r="N43" s="28">
        <f t="shared" ref="N43:N75" si="28">M43/M$145</f>
        <v>3.469302755902107E-3</v>
      </c>
      <c r="O43" s="16">
        <f>HO!O43+'Gulf Mall'!O43+BTC!O43</f>
        <v>2500</v>
      </c>
      <c r="P43" s="28">
        <f t="shared" ref="P43:P75" si="29">O43/O$145</f>
        <v>3.3082192232641991E-3</v>
      </c>
      <c r="Q43" s="16">
        <f>HO!Q43+'Gulf Mall'!Q43+BTC!Q43</f>
        <v>2500</v>
      </c>
      <c r="R43" s="28">
        <f t="shared" ref="R43:R75" si="30">Q43/Q$145</f>
        <v>3.170812754722157E-3</v>
      </c>
      <c r="S43" s="16">
        <f>HO!S43+'Gulf Mall'!S43+BTC!S43</f>
        <v>2500</v>
      </c>
      <c r="T43" s="28">
        <f t="shared" ref="T43:T75" si="31">S43/S$145</f>
        <v>3.263313260025956E-3</v>
      </c>
      <c r="U43" s="16">
        <f>HO!U43+'Gulf Mall'!U43+BTC!U43</f>
        <v>2500</v>
      </c>
      <c r="V43" s="28">
        <f t="shared" ref="V43:V75" si="32">U43/U$145</f>
        <v>3.2707959072362488E-3</v>
      </c>
      <c r="W43" s="16">
        <f>HO!W43+'Gulf Mall'!W43+BTC!W43</f>
        <v>2500</v>
      </c>
      <c r="X43" s="28">
        <f t="shared" ref="X43:X75" si="33">W43/W$145</f>
        <v>3.1900825168682391E-3</v>
      </c>
      <c r="Y43" s="16">
        <f>HO!Y43+'Gulf Mall'!Y43+BTC!Y43</f>
        <v>2500</v>
      </c>
      <c r="Z43" s="28">
        <f t="shared" ref="Z43:Z75" si="34">Y43/Y$145</f>
        <v>3.1921691178719114E-3</v>
      </c>
      <c r="AA43" s="59">
        <f t="shared" ref="AA43:AA75" si="35">C43+E43+G43+I43+K43+M43+O43+Q43+S43+U43+W43+Y43</f>
        <v>30000</v>
      </c>
      <c r="AB43" s="60">
        <f t="shared" ref="AB43:AB75" si="36">AA43/AA$145</f>
        <v>3.2547172393110721E-3</v>
      </c>
      <c r="AC43" s="67">
        <f t="shared" ref="AC43:AC75" si="37">AA43/12</f>
        <v>2500</v>
      </c>
      <c r="AD43" s="68">
        <f t="shared" ref="AD43:AD75" si="38">AC43/AC$145</f>
        <v>3.2547172393110721E-3</v>
      </c>
      <c r="AE43" s="44">
        <f t="shared" si="2"/>
        <v>30000</v>
      </c>
      <c r="AF43" s="21">
        <f t="shared" si="3"/>
        <v>0</v>
      </c>
      <c r="AG43" s="113"/>
      <c r="AW43" s="44"/>
      <c r="AX43" s="44"/>
    </row>
    <row r="44" spans="1:50">
      <c r="A44" s="2">
        <v>6103</v>
      </c>
      <c r="B44" s="2" t="s">
        <v>4</v>
      </c>
      <c r="C44" s="16">
        <f>HO!C44+'Gulf Mall'!C44+BTC!C44</f>
        <v>0</v>
      </c>
      <c r="D44" s="28">
        <f t="shared" si="23"/>
        <v>0</v>
      </c>
      <c r="E44" s="16">
        <f>HO!E44+'Gulf Mall'!E44+BTC!E44</f>
        <v>0</v>
      </c>
      <c r="F44" s="28">
        <f t="shared" si="24"/>
        <v>0</v>
      </c>
      <c r="G44" s="16">
        <f>HO!G44+'Gulf Mall'!G44+BTC!G44</f>
        <v>0</v>
      </c>
      <c r="H44" s="28">
        <f t="shared" si="25"/>
        <v>0</v>
      </c>
      <c r="I44" s="16">
        <f>HO!I44+'Gulf Mall'!I44+BTC!I44</f>
        <v>0</v>
      </c>
      <c r="J44" s="28">
        <f t="shared" si="26"/>
        <v>0</v>
      </c>
      <c r="K44" s="16">
        <f>HO!K44+'Gulf Mall'!K44+BTC!K44</f>
        <v>0</v>
      </c>
      <c r="L44" s="28">
        <f t="shared" si="27"/>
        <v>0</v>
      </c>
      <c r="M44" s="16">
        <f>HO!M44+'Gulf Mall'!M44+BTC!M44</f>
        <v>0</v>
      </c>
      <c r="N44" s="28">
        <f t="shared" si="28"/>
        <v>0</v>
      </c>
      <c r="O44" s="16">
        <f>HO!O44+'Gulf Mall'!O44+BTC!O44</f>
        <v>0</v>
      </c>
      <c r="P44" s="28">
        <f t="shared" si="29"/>
        <v>0</v>
      </c>
      <c r="Q44" s="16">
        <f>HO!Q44+'Gulf Mall'!Q44+BTC!Q44</f>
        <v>0</v>
      </c>
      <c r="R44" s="28">
        <f t="shared" si="30"/>
        <v>0</v>
      </c>
      <c r="S44" s="16">
        <f>HO!S44+'Gulf Mall'!S44+BTC!S44</f>
        <v>0</v>
      </c>
      <c r="T44" s="28">
        <f t="shared" si="31"/>
        <v>0</v>
      </c>
      <c r="U44" s="16">
        <f>HO!U44+'Gulf Mall'!U44+BTC!U44</f>
        <v>0</v>
      </c>
      <c r="V44" s="28">
        <f t="shared" si="32"/>
        <v>0</v>
      </c>
      <c r="W44" s="16">
        <f>HO!W44+'Gulf Mall'!W44+BTC!W44</f>
        <v>0</v>
      </c>
      <c r="X44" s="28">
        <f t="shared" si="33"/>
        <v>0</v>
      </c>
      <c r="Y44" s="16">
        <f>HO!Y44+'Gulf Mall'!Y44+BTC!Y44</f>
        <v>0</v>
      </c>
      <c r="Z44" s="28">
        <f t="shared" si="34"/>
        <v>0</v>
      </c>
      <c r="AA44" s="59">
        <f t="shared" si="35"/>
        <v>0</v>
      </c>
      <c r="AB44" s="60">
        <f t="shared" si="36"/>
        <v>0</v>
      </c>
      <c r="AC44" s="67">
        <f t="shared" si="37"/>
        <v>0</v>
      </c>
      <c r="AD44" s="68">
        <f t="shared" si="38"/>
        <v>0</v>
      </c>
      <c r="AE44" s="44">
        <f t="shared" si="2"/>
        <v>0</v>
      </c>
      <c r="AF44" s="21">
        <f t="shared" si="3"/>
        <v>0</v>
      </c>
      <c r="AG44" s="113"/>
      <c r="AW44" s="44"/>
      <c r="AX44" s="44"/>
    </row>
    <row r="45" spans="1:50">
      <c r="A45" s="2">
        <v>6104</v>
      </c>
      <c r="B45" s="2" t="s">
        <v>5</v>
      </c>
      <c r="C45" s="16">
        <f>HO!C45+'Gulf Mall'!C45+BTC!C45</f>
        <v>13000</v>
      </c>
      <c r="D45" s="28">
        <f t="shared" si="23"/>
        <v>1.8401132613068569E-2</v>
      </c>
      <c r="E45" s="16">
        <f>HO!E45+'Gulf Mall'!E45+BTC!E45</f>
        <v>13000</v>
      </c>
      <c r="F45" s="28">
        <f t="shared" si="24"/>
        <v>1.6847099812798406E-2</v>
      </c>
      <c r="G45" s="16">
        <f>HO!G45+'Gulf Mall'!G45+BTC!G45</f>
        <v>13000</v>
      </c>
      <c r="H45" s="28">
        <f t="shared" si="25"/>
        <v>1.6949278227898466E-2</v>
      </c>
      <c r="I45" s="16">
        <f>HO!I45+'Gulf Mall'!I45+BTC!I45</f>
        <v>13000</v>
      </c>
      <c r="J45" s="28">
        <f t="shared" si="26"/>
        <v>1.6684573627575316E-2</v>
      </c>
      <c r="K45" s="16">
        <f>HO!K45+'Gulf Mall'!K45+BTC!K45</f>
        <v>13000</v>
      </c>
      <c r="L45" s="28">
        <f t="shared" si="27"/>
        <v>1.5642102645139978E-2</v>
      </c>
      <c r="M45" s="16">
        <f>HO!M45+'Gulf Mall'!M45+BTC!M45</f>
        <v>13000</v>
      </c>
      <c r="N45" s="28">
        <f t="shared" si="28"/>
        <v>1.8040374330690955E-2</v>
      </c>
      <c r="O45" s="16">
        <f>HO!O45+'Gulf Mall'!O45+BTC!O45</f>
        <v>13000</v>
      </c>
      <c r="P45" s="28">
        <f t="shared" si="29"/>
        <v>1.7202739960973833E-2</v>
      </c>
      <c r="Q45" s="16">
        <f>HO!Q45+'Gulf Mall'!Q45+BTC!Q45</f>
        <v>13000</v>
      </c>
      <c r="R45" s="28">
        <f t="shared" si="30"/>
        <v>1.6488226324555218E-2</v>
      </c>
      <c r="S45" s="16">
        <f>HO!S45+'Gulf Mall'!S45+BTC!S45</f>
        <v>13000</v>
      </c>
      <c r="T45" s="28">
        <f t="shared" si="31"/>
        <v>1.6969228952134971E-2</v>
      </c>
      <c r="U45" s="16">
        <f>HO!U45+'Gulf Mall'!U45+BTC!U45</f>
        <v>13000</v>
      </c>
      <c r="V45" s="28">
        <f t="shared" si="32"/>
        <v>1.7008138717628494E-2</v>
      </c>
      <c r="W45" s="16">
        <f>HO!W45+'Gulf Mall'!W45+BTC!W45</f>
        <v>13000</v>
      </c>
      <c r="X45" s="28">
        <f t="shared" si="33"/>
        <v>1.6588429087714844E-2</v>
      </c>
      <c r="Y45" s="16">
        <f>HO!Y45+'Gulf Mall'!Y45+BTC!Y45</f>
        <v>13000</v>
      </c>
      <c r="Z45" s="28">
        <f t="shared" si="34"/>
        <v>1.6599279412933939E-2</v>
      </c>
      <c r="AA45" s="59">
        <f t="shared" si="35"/>
        <v>156000</v>
      </c>
      <c r="AB45" s="60">
        <f t="shared" si="36"/>
        <v>1.6924529644417576E-2</v>
      </c>
      <c r="AC45" s="67">
        <f t="shared" si="37"/>
        <v>13000</v>
      </c>
      <c r="AD45" s="68">
        <f t="shared" si="38"/>
        <v>1.6924529644417576E-2</v>
      </c>
      <c r="AE45" s="44">
        <f t="shared" si="2"/>
        <v>156000</v>
      </c>
      <c r="AF45" s="21">
        <f t="shared" si="3"/>
        <v>0</v>
      </c>
      <c r="AG45" s="113">
        <v>10500</v>
      </c>
      <c r="AW45" s="44"/>
      <c r="AX45" s="44"/>
    </row>
    <row r="46" spans="1:50">
      <c r="A46" s="2">
        <v>6105</v>
      </c>
      <c r="B46" s="2" t="s">
        <v>39</v>
      </c>
      <c r="C46" s="16">
        <f>HO!C46+'Gulf Mall'!C46+BTC!C46</f>
        <v>5400.5038602900859</v>
      </c>
      <c r="D46" s="28">
        <f t="shared" si="23"/>
        <v>7.6442605931220471E-3</v>
      </c>
      <c r="E46" s="16">
        <f>HO!E46+'Gulf Mall'!E46+BTC!E46</f>
        <v>4201.5999085626972</v>
      </c>
      <c r="F46" s="28">
        <f t="shared" si="24"/>
        <v>5.4449825410000314E-3</v>
      </c>
      <c r="G46" s="16">
        <f>HO!G46+'Gulf Mall'!G46+BTC!G46</f>
        <v>6969.519790381155</v>
      </c>
      <c r="H46" s="28">
        <f t="shared" si="25"/>
        <v>9.0867946186165213E-3</v>
      </c>
      <c r="I46" s="16">
        <f>HO!I46+'Gulf Mall'!I46+BTC!I46</f>
        <v>6154.046062379326</v>
      </c>
      <c r="J46" s="28">
        <f t="shared" si="26"/>
        <v>7.8982795873275245E-3</v>
      </c>
      <c r="K46" s="16">
        <f>HO!K46+'Gulf Mall'!K46+BTC!K46</f>
        <v>5628.5019963748937</v>
      </c>
      <c r="L46" s="28">
        <f t="shared" si="27"/>
        <v>6.772431228128567E-3</v>
      </c>
      <c r="M46" s="16">
        <f>HO!M46+'Gulf Mall'!M46+BTC!M46</f>
        <v>7981.1378780057257</v>
      </c>
      <c r="N46" s="28">
        <f t="shared" si="28"/>
        <v>1.1075593454159984E-2</v>
      </c>
      <c r="O46" s="16">
        <f>HO!O46+'Gulf Mall'!O46+BTC!O46</f>
        <v>5052.9423766995023</v>
      </c>
      <c r="P46" s="28">
        <f t="shared" si="29"/>
        <v>6.6864964418574327E-3</v>
      </c>
      <c r="Q46" s="16">
        <f>HO!Q46+'Gulf Mall'!Q46+BTC!Q46</f>
        <v>6274.4358109125424</v>
      </c>
      <c r="R46" s="28">
        <f t="shared" si="30"/>
        <v>7.9580244391707806E-3</v>
      </c>
      <c r="S46" s="16">
        <f>HO!S46+'Gulf Mall'!S46+BTC!S46</f>
        <v>6320.736603141434</v>
      </c>
      <c r="T46" s="28">
        <f t="shared" si="31"/>
        <v>8.2506174280651441E-3</v>
      </c>
      <c r="U46" s="16">
        <f>HO!U46+'Gulf Mall'!U46+BTC!U46</f>
        <v>5013.64954338185</v>
      </c>
      <c r="V46" s="28">
        <f t="shared" si="32"/>
        <v>6.5594497627240967E-3</v>
      </c>
      <c r="W46" s="16">
        <f>HO!W46+'Gulf Mall'!W46+BTC!W46</f>
        <v>5101.0952588925829</v>
      </c>
      <c r="X46" s="28">
        <f t="shared" si="33"/>
        <v>6.5091659209090772E-3</v>
      </c>
      <c r="Y46" s="16">
        <f>HO!Y46+'Gulf Mall'!Y46+BTC!Y46</f>
        <v>7706.0383270942693</v>
      </c>
      <c r="Z46" s="28">
        <f t="shared" si="34"/>
        <v>9.8395910275550606E-3</v>
      </c>
      <c r="AA46" s="59">
        <f t="shared" si="35"/>
        <v>71804.207416116056</v>
      </c>
      <c r="AB46" s="60">
        <f t="shared" si="36"/>
        <v>7.7900797244100286E-3</v>
      </c>
      <c r="AC46" s="67">
        <f t="shared" si="37"/>
        <v>5983.683951343005</v>
      </c>
      <c r="AD46" s="68">
        <f t="shared" si="38"/>
        <v>7.7900797244100286E-3</v>
      </c>
      <c r="AE46" s="44">
        <f t="shared" si="2"/>
        <v>71804.207416116056</v>
      </c>
      <c r="AF46" s="21">
        <f t="shared" si="3"/>
        <v>0</v>
      </c>
      <c r="AW46" s="44"/>
      <c r="AX46" s="44"/>
    </row>
    <row r="47" spans="1:50">
      <c r="A47" s="2">
        <v>6106</v>
      </c>
      <c r="B47" s="2" t="s">
        <v>6</v>
      </c>
      <c r="C47" s="16">
        <f>HO!C47+'Gulf Mall'!C47+BTC!C47</f>
        <v>23000</v>
      </c>
      <c r="D47" s="28">
        <f t="shared" si="23"/>
        <v>3.2555850007736704E-2</v>
      </c>
      <c r="E47" s="16">
        <f>HO!E47+'Gulf Mall'!E47+BTC!E47</f>
        <v>23000</v>
      </c>
      <c r="F47" s="28">
        <f t="shared" si="24"/>
        <v>2.9806407361104872E-2</v>
      </c>
      <c r="G47" s="16">
        <f>HO!G47+'Gulf Mall'!G47+BTC!G47</f>
        <v>23000</v>
      </c>
      <c r="H47" s="28">
        <f t="shared" si="25"/>
        <v>2.9987184557051131E-2</v>
      </c>
      <c r="I47" s="16">
        <f>HO!I47+'Gulf Mall'!I47+BTC!I47</f>
        <v>23000</v>
      </c>
      <c r="J47" s="28">
        <f t="shared" si="26"/>
        <v>2.9518861033402479E-2</v>
      </c>
      <c r="K47" s="16">
        <f>HO!K47+'Gulf Mall'!K47+BTC!K47</f>
        <v>23000</v>
      </c>
      <c r="L47" s="28">
        <f t="shared" si="27"/>
        <v>2.7674489295247653E-2</v>
      </c>
      <c r="M47" s="16">
        <f>HO!M47+'Gulf Mall'!M47+BTC!M47</f>
        <v>23000</v>
      </c>
      <c r="N47" s="28">
        <f t="shared" si="28"/>
        <v>3.1917585354299387E-2</v>
      </c>
      <c r="O47" s="16">
        <f>HO!O47+'Gulf Mall'!O47+BTC!O47</f>
        <v>23000</v>
      </c>
      <c r="P47" s="28">
        <f t="shared" si="29"/>
        <v>3.043561685403063E-2</v>
      </c>
      <c r="Q47" s="16">
        <f>HO!Q47+'Gulf Mall'!Q47+BTC!Q47</f>
        <v>23000</v>
      </c>
      <c r="R47" s="28">
        <f t="shared" si="30"/>
        <v>2.9171477343443844E-2</v>
      </c>
      <c r="S47" s="16">
        <f>HO!S47+'Gulf Mall'!S47+BTC!S47</f>
        <v>23000</v>
      </c>
      <c r="T47" s="28">
        <f t="shared" si="31"/>
        <v>3.0022481992238795E-2</v>
      </c>
      <c r="U47" s="16">
        <f>HO!U47+'Gulf Mall'!U47+BTC!U47</f>
        <v>23000</v>
      </c>
      <c r="V47" s="28">
        <f t="shared" si="32"/>
        <v>3.0091322346573489E-2</v>
      </c>
      <c r="W47" s="16">
        <f>HO!W47+'Gulf Mall'!W47+BTC!W47</f>
        <v>23000</v>
      </c>
      <c r="X47" s="28">
        <f t="shared" si="33"/>
        <v>2.9348759155187802E-2</v>
      </c>
      <c r="Y47" s="16">
        <f>HO!Y47+'Gulf Mall'!Y47+BTC!Y47</f>
        <v>23000</v>
      </c>
      <c r="Z47" s="28">
        <f t="shared" si="34"/>
        <v>2.9367955884421582E-2</v>
      </c>
      <c r="AA47" s="59">
        <f t="shared" si="35"/>
        <v>276000</v>
      </c>
      <c r="AB47" s="60">
        <f t="shared" si="36"/>
        <v>2.9943398601661862E-2</v>
      </c>
      <c r="AC47" s="67">
        <f t="shared" si="37"/>
        <v>23000</v>
      </c>
      <c r="AD47" s="68">
        <f t="shared" si="38"/>
        <v>2.9943398601661862E-2</v>
      </c>
      <c r="AE47" s="44">
        <f t="shared" si="2"/>
        <v>276000</v>
      </c>
      <c r="AF47" s="21">
        <f t="shared" si="3"/>
        <v>0</v>
      </c>
      <c r="AG47" s="113">
        <v>11000</v>
      </c>
      <c r="AH47" s="104" t="s">
        <v>219</v>
      </c>
      <c r="AI47" s="102"/>
      <c r="AW47" s="44"/>
      <c r="AX47" s="44"/>
    </row>
    <row r="48" spans="1:50">
      <c r="A48" s="2">
        <v>6107</v>
      </c>
      <c r="B48" s="2" t="s">
        <v>7</v>
      </c>
      <c r="C48" s="16">
        <f>HO!C48+'Gulf Mall'!C48+BTC!C48</f>
        <v>10600</v>
      </c>
      <c r="D48" s="28">
        <f t="shared" si="23"/>
        <v>1.5004000438348219E-2</v>
      </c>
      <c r="E48" s="16">
        <f>HO!E48+'Gulf Mall'!E48+BTC!E48</f>
        <v>10600</v>
      </c>
      <c r="F48" s="28">
        <f t="shared" si="24"/>
        <v>1.3736866001204854E-2</v>
      </c>
      <c r="G48" s="16">
        <f>HO!G48+'Gulf Mall'!G48+BTC!G48</f>
        <v>10600</v>
      </c>
      <c r="H48" s="28">
        <f t="shared" si="25"/>
        <v>1.3820180708901826E-2</v>
      </c>
      <c r="I48" s="16">
        <f>HO!I48+'Gulf Mall'!I48+BTC!I48</f>
        <v>10600</v>
      </c>
      <c r="J48" s="28">
        <f t="shared" si="26"/>
        <v>1.3604344650176795E-2</v>
      </c>
      <c r="K48" s="16">
        <f>HO!K48+'Gulf Mall'!K48+BTC!K48</f>
        <v>10600</v>
      </c>
      <c r="L48" s="28">
        <f t="shared" si="27"/>
        <v>1.2754329849114135E-2</v>
      </c>
      <c r="M48" s="16">
        <f>HO!M48+'Gulf Mall'!M48+BTC!M48</f>
        <v>10600</v>
      </c>
      <c r="N48" s="28">
        <f t="shared" si="28"/>
        <v>1.4709843685024935E-2</v>
      </c>
      <c r="O48" s="16">
        <f>HO!O48+'Gulf Mall'!O48+BTC!O48</f>
        <v>10600</v>
      </c>
      <c r="P48" s="28">
        <f t="shared" si="29"/>
        <v>1.4026849506640203E-2</v>
      </c>
      <c r="Q48" s="16">
        <f>HO!Q48+'Gulf Mall'!Q48+BTC!Q48</f>
        <v>10600</v>
      </c>
      <c r="R48" s="28">
        <f t="shared" si="30"/>
        <v>1.3444246080021946E-2</v>
      </c>
      <c r="S48" s="16">
        <f>HO!S48+'Gulf Mall'!S48+BTC!S48</f>
        <v>10600</v>
      </c>
      <c r="T48" s="28">
        <f t="shared" si="31"/>
        <v>1.3836448222510053E-2</v>
      </c>
      <c r="U48" s="16">
        <f>HO!U48+'Gulf Mall'!U48+BTC!U48</f>
        <v>10600</v>
      </c>
      <c r="V48" s="28">
        <f t="shared" si="32"/>
        <v>1.3868174646681695E-2</v>
      </c>
      <c r="W48" s="16">
        <f>HO!W48+'Gulf Mall'!W48+BTC!W48</f>
        <v>10600</v>
      </c>
      <c r="X48" s="28">
        <f t="shared" si="33"/>
        <v>1.3525949871521335E-2</v>
      </c>
      <c r="Y48" s="16">
        <f>HO!Y48+'Gulf Mall'!Y48+BTC!Y48</f>
        <v>10600</v>
      </c>
      <c r="Z48" s="28">
        <f t="shared" si="34"/>
        <v>1.3534797059776903E-2</v>
      </c>
      <c r="AA48" s="59">
        <f t="shared" si="35"/>
        <v>127200</v>
      </c>
      <c r="AB48" s="60">
        <f t="shared" si="36"/>
        <v>1.3800001094678944E-2</v>
      </c>
      <c r="AC48" s="67">
        <f t="shared" si="37"/>
        <v>10600</v>
      </c>
      <c r="AD48" s="68">
        <f t="shared" si="38"/>
        <v>1.3800001094678944E-2</v>
      </c>
      <c r="AE48" s="44">
        <f t="shared" si="2"/>
        <v>127200</v>
      </c>
      <c r="AF48" s="21">
        <f t="shared" si="3"/>
        <v>0</v>
      </c>
      <c r="AG48" s="113">
        <v>5250</v>
      </c>
      <c r="AH48" s="104" t="s">
        <v>219</v>
      </c>
      <c r="AI48" s="102"/>
      <c r="AW48" s="44"/>
      <c r="AX48" s="44"/>
    </row>
    <row r="49" spans="1:50">
      <c r="A49" s="2">
        <v>6108</v>
      </c>
      <c r="B49" s="2" t="s">
        <v>8</v>
      </c>
      <c r="C49" s="16">
        <f>HO!C49+'Gulf Mall'!C49+BTC!C49</f>
        <v>43000</v>
      </c>
      <c r="D49" s="28">
        <f t="shared" si="23"/>
        <v>6.0865284797072962E-2</v>
      </c>
      <c r="E49" s="16">
        <f>HO!E49+'Gulf Mall'!E49+BTC!E49</f>
        <v>43000</v>
      </c>
      <c r="F49" s="28">
        <f t="shared" si="24"/>
        <v>5.57250224577178E-2</v>
      </c>
      <c r="G49" s="16">
        <f>HO!G49+'Gulf Mall'!G49+BTC!G49</f>
        <v>43000</v>
      </c>
      <c r="H49" s="28">
        <f t="shared" si="25"/>
        <v>5.6062997215356465E-2</v>
      </c>
      <c r="I49" s="16">
        <f>HO!I49+'Gulf Mall'!I49+BTC!I49</f>
        <v>43000</v>
      </c>
      <c r="J49" s="28">
        <f t="shared" si="26"/>
        <v>5.5187435845056809E-2</v>
      </c>
      <c r="K49" s="16">
        <f>HO!K49+'Gulf Mall'!K49+BTC!K49</f>
        <v>43000</v>
      </c>
      <c r="L49" s="28">
        <f t="shared" si="27"/>
        <v>5.1739262595462999E-2</v>
      </c>
      <c r="M49" s="16">
        <f>HO!M49+'Gulf Mall'!M49+BTC!M49</f>
        <v>43000</v>
      </c>
      <c r="N49" s="28">
        <f t="shared" si="28"/>
        <v>5.9672007401516243E-2</v>
      </c>
      <c r="O49" s="16">
        <f>HO!O49+'Gulf Mall'!O49+BTC!O49</f>
        <v>43000</v>
      </c>
      <c r="P49" s="28">
        <f t="shared" si="29"/>
        <v>5.6901370640144222E-2</v>
      </c>
      <c r="Q49" s="16">
        <f>HO!Q49+'Gulf Mall'!Q49+BTC!Q49</f>
        <v>43000</v>
      </c>
      <c r="R49" s="28">
        <f t="shared" si="30"/>
        <v>5.4537979381221104E-2</v>
      </c>
      <c r="S49" s="16">
        <f>HO!S49+'Gulf Mall'!S49+BTC!S49</f>
        <v>43000</v>
      </c>
      <c r="T49" s="28">
        <f t="shared" si="31"/>
        <v>5.6128988072446442E-2</v>
      </c>
      <c r="U49" s="16">
        <f>HO!U49+'Gulf Mall'!U49+BTC!U49</f>
        <v>43000</v>
      </c>
      <c r="V49" s="28">
        <f t="shared" si="32"/>
        <v>5.6257689604463479E-2</v>
      </c>
      <c r="W49" s="16">
        <f>HO!W49+'Gulf Mall'!W49+BTC!W49</f>
        <v>43000</v>
      </c>
      <c r="X49" s="28">
        <f t="shared" si="33"/>
        <v>5.4869419290133711E-2</v>
      </c>
      <c r="Y49" s="16">
        <f>HO!Y49+'Gulf Mall'!Y49+BTC!Y49</f>
        <v>43000</v>
      </c>
      <c r="Z49" s="28">
        <f t="shared" si="34"/>
        <v>5.4905308827396873E-2</v>
      </c>
      <c r="AA49" s="59">
        <f t="shared" si="35"/>
        <v>516000</v>
      </c>
      <c r="AB49" s="60">
        <f t="shared" si="36"/>
        <v>5.5981136516150436E-2</v>
      </c>
      <c r="AC49" s="67">
        <f t="shared" si="37"/>
        <v>43000</v>
      </c>
      <c r="AD49" s="68">
        <f t="shared" si="38"/>
        <v>5.5981136516150436E-2</v>
      </c>
      <c r="AE49" s="44">
        <f t="shared" si="2"/>
        <v>516000</v>
      </c>
      <c r="AF49" s="21">
        <f t="shared" si="3"/>
        <v>0</v>
      </c>
      <c r="AG49" s="113">
        <v>9000</v>
      </c>
      <c r="AH49" s="104" t="s">
        <v>219</v>
      </c>
      <c r="AW49" s="44"/>
      <c r="AX49" s="44"/>
    </row>
    <row r="50" spans="1:50">
      <c r="A50" s="82">
        <v>6109</v>
      </c>
      <c r="B50" s="82" t="s">
        <v>79</v>
      </c>
      <c r="C50" s="16">
        <f>HO!C50+'Gulf Mall'!C50+BTC!C50</f>
        <v>1200</v>
      </c>
      <c r="D50" s="28">
        <f t="shared" si="23"/>
        <v>1.6985660873601758E-3</v>
      </c>
      <c r="E50" s="16">
        <f>HO!E50+'Gulf Mall'!E50+BTC!E50</f>
        <v>1200</v>
      </c>
      <c r="F50" s="28">
        <f t="shared" si="24"/>
        <v>1.555116905796776E-3</v>
      </c>
      <c r="G50" s="16">
        <f>HO!G50+'Gulf Mall'!G50+BTC!G50</f>
        <v>1200</v>
      </c>
      <c r="H50" s="28">
        <f t="shared" si="25"/>
        <v>1.5645487594983199E-3</v>
      </c>
      <c r="I50" s="16">
        <f>HO!I50+'Gulf Mall'!I50+BTC!I50</f>
        <v>1200</v>
      </c>
      <c r="J50" s="28">
        <f t="shared" si="26"/>
        <v>1.5401144886992599E-3</v>
      </c>
      <c r="K50" s="16">
        <f>HO!K50+'Gulf Mall'!K50+BTC!K50</f>
        <v>1200</v>
      </c>
      <c r="L50" s="28">
        <f t="shared" si="27"/>
        <v>1.4438863980129209E-3</v>
      </c>
      <c r="M50" s="16">
        <f>HO!M50+'Gulf Mall'!M50+BTC!M50</f>
        <v>1200</v>
      </c>
      <c r="N50" s="28">
        <f t="shared" si="28"/>
        <v>1.6652653228330114E-3</v>
      </c>
      <c r="O50" s="16">
        <f>HO!O50+'Gulf Mall'!O50+BTC!O50</f>
        <v>1200</v>
      </c>
      <c r="P50" s="28">
        <f t="shared" si="29"/>
        <v>1.5879452271668154E-3</v>
      </c>
      <c r="Q50" s="16">
        <f>HO!Q50+'Gulf Mall'!Q50+BTC!Q50</f>
        <v>1200</v>
      </c>
      <c r="R50" s="28">
        <f t="shared" si="30"/>
        <v>1.5219901222666354E-3</v>
      </c>
      <c r="S50" s="16">
        <f>HO!S50+'Gulf Mall'!S50+BTC!S50</f>
        <v>1200</v>
      </c>
      <c r="T50" s="28">
        <f t="shared" si="31"/>
        <v>1.5663903648124589E-3</v>
      </c>
      <c r="U50" s="16">
        <f>HO!U50+'Gulf Mall'!U50+BTC!U50</f>
        <v>1200</v>
      </c>
      <c r="V50" s="28">
        <f t="shared" si="32"/>
        <v>1.5699820354733993E-3</v>
      </c>
      <c r="W50" s="16">
        <f>HO!W50+'Gulf Mall'!W50+BTC!W50</f>
        <v>1200</v>
      </c>
      <c r="X50" s="28">
        <f t="shared" si="33"/>
        <v>1.5312396080967548E-3</v>
      </c>
      <c r="Y50" s="16">
        <f>HO!Y50+'Gulf Mall'!Y50+BTC!Y50</f>
        <v>1200</v>
      </c>
      <c r="Z50" s="28">
        <f t="shared" si="34"/>
        <v>1.5322411765785174E-3</v>
      </c>
      <c r="AA50" s="59">
        <f t="shared" si="35"/>
        <v>14400</v>
      </c>
      <c r="AB50" s="60">
        <f t="shared" si="36"/>
        <v>1.5622642748693146E-3</v>
      </c>
      <c r="AC50" s="67">
        <f t="shared" si="37"/>
        <v>1200</v>
      </c>
      <c r="AD50" s="68">
        <f t="shared" si="38"/>
        <v>1.5622642748693146E-3</v>
      </c>
      <c r="AE50" s="44">
        <f t="shared" si="2"/>
        <v>14400</v>
      </c>
      <c r="AF50" s="21">
        <f t="shared" si="3"/>
        <v>0</v>
      </c>
      <c r="AG50" s="113">
        <v>300</v>
      </c>
      <c r="AH50" s="104"/>
      <c r="AW50" s="44"/>
      <c r="AX50" s="44"/>
    </row>
    <row r="51" spans="1:50">
      <c r="A51" s="2">
        <v>6110</v>
      </c>
      <c r="B51" s="2" t="s">
        <v>9</v>
      </c>
      <c r="C51" s="16">
        <f>HO!C51+'Gulf Mall'!C51+BTC!C51</f>
        <v>1400</v>
      </c>
      <c r="D51" s="28">
        <f t="shared" si="23"/>
        <v>1.9816604352535382E-3</v>
      </c>
      <c r="E51" s="16">
        <f>HO!E51+'Gulf Mall'!E51+BTC!E51</f>
        <v>1400</v>
      </c>
      <c r="F51" s="28">
        <f t="shared" si="24"/>
        <v>1.8143030567629051E-3</v>
      </c>
      <c r="G51" s="16">
        <f>HO!G51+'Gulf Mall'!G51+BTC!G51</f>
        <v>1400</v>
      </c>
      <c r="H51" s="28">
        <f t="shared" si="25"/>
        <v>1.8253068860813733E-3</v>
      </c>
      <c r="I51" s="16">
        <f>HO!I51+'Gulf Mall'!I51+BTC!I51</f>
        <v>1400</v>
      </c>
      <c r="J51" s="28">
        <f t="shared" si="26"/>
        <v>1.7968002368158032E-3</v>
      </c>
      <c r="K51" s="16">
        <f>HO!K51+'Gulf Mall'!K51+BTC!K51</f>
        <v>1400</v>
      </c>
      <c r="L51" s="28">
        <f t="shared" si="27"/>
        <v>1.6845341310150746E-3</v>
      </c>
      <c r="M51" s="16">
        <f>HO!M51+'Gulf Mall'!M51+BTC!M51</f>
        <v>1400</v>
      </c>
      <c r="N51" s="28">
        <f t="shared" si="28"/>
        <v>1.9428095433051799E-3</v>
      </c>
      <c r="O51" s="16">
        <f>HO!O51+'Gulf Mall'!O51+BTC!O51</f>
        <v>1400</v>
      </c>
      <c r="P51" s="28">
        <f t="shared" si="29"/>
        <v>1.8526027650279514E-3</v>
      </c>
      <c r="Q51" s="16">
        <f>HO!Q51+'Gulf Mall'!Q51+BTC!Q51</f>
        <v>1400</v>
      </c>
      <c r="R51" s="28">
        <f t="shared" si="30"/>
        <v>1.7756551426444079E-3</v>
      </c>
      <c r="S51" s="16">
        <f>HO!S51+'Gulf Mall'!S51+BTC!S51</f>
        <v>1400</v>
      </c>
      <c r="T51" s="28">
        <f t="shared" si="31"/>
        <v>1.8274554256145353E-3</v>
      </c>
      <c r="U51" s="16">
        <f>HO!U51+'Gulf Mall'!U51+BTC!U51</f>
        <v>1400</v>
      </c>
      <c r="V51" s="28">
        <f t="shared" si="32"/>
        <v>1.8316457080522993E-3</v>
      </c>
      <c r="W51" s="16">
        <f>HO!W51+'Gulf Mall'!W51+BTC!W51</f>
        <v>1400</v>
      </c>
      <c r="X51" s="28">
        <f t="shared" si="33"/>
        <v>1.786446209446214E-3</v>
      </c>
      <c r="Y51" s="16">
        <f>HO!Y51+'Gulf Mall'!Y51+BTC!Y51</f>
        <v>1400</v>
      </c>
      <c r="Z51" s="28">
        <f t="shared" si="34"/>
        <v>1.7876147060082704E-3</v>
      </c>
      <c r="AA51" s="59">
        <f t="shared" si="35"/>
        <v>16800</v>
      </c>
      <c r="AB51" s="60">
        <f t="shared" si="36"/>
        <v>1.8226416540142003E-3</v>
      </c>
      <c r="AC51" s="67">
        <f t="shared" si="37"/>
        <v>1400</v>
      </c>
      <c r="AD51" s="68">
        <f t="shared" si="38"/>
        <v>1.8226416540142003E-3</v>
      </c>
      <c r="AE51" s="44">
        <f t="shared" si="2"/>
        <v>16800</v>
      </c>
      <c r="AF51" s="21">
        <f t="shared" si="3"/>
        <v>0</v>
      </c>
      <c r="AG51" s="113">
        <v>1522</v>
      </c>
      <c r="AH51" s="104" t="s">
        <v>135</v>
      </c>
      <c r="AW51" s="44"/>
      <c r="AX51" s="44"/>
    </row>
    <row r="52" spans="1:50">
      <c r="A52" s="2">
        <v>6111</v>
      </c>
      <c r="B52" s="2" t="s">
        <v>10</v>
      </c>
      <c r="C52" s="16">
        <f>HO!C52+'Gulf Mall'!C52+BTC!C52</f>
        <v>25152</v>
      </c>
      <c r="D52" s="28">
        <f t="shared" si="23"/>
        <v>3.5601945191069281E-2</v>
      </c>
      <c r="E52" s="16">
        <f>HO!E52+'Gulf Mall'!E52+BTC!E52</f>
        <v>25152</v>
      </c>
      <c r="F52" s="28">
        <f t="shared" si="24"/>
        <v>3.2595250345500419E-2</v>
      </c>
      <c r="G52" s="16">
        <f>HO!G52+'Gulf Mall'!G52+BTC!G52</f>
        <v>25152</v>
      </c>
      <c r="H52" s="28">
        <f t="shared" si="25"/>
        <v>3.2792941999084786E-2</v>
      </c>
      <c r="I52" s="16">
        <f>HO!I52+'Gulf Mall'!I52+BTC!I52</f>
        <v>25152</v>
      </c>
      <c r="J52" s="28">
        <f t="shared" si="26"/>
        <v>3.2280799683136484E-2</v>
      </c>
      <c r="K52" s="16">
        <f>HO!K52+'Gulf Mall'!K52+BTC!K52</f>
        <v>25152</v>
      </c>
      <c r="L52" s="28">
        <f t="shared" si="27"/>
        <v>3.0263858902350824E-2</v>
      </c>
      <c r="M52" s="16">
        <f>HO!M52+'Gulf Mall'!M52+BTC!M52</f>
        <v>25152</v>
      </c>
      <c r="N52" s="28">
        <f t="shared" si="28"/>
        <v>3.4903961166579921E-2</v>
      </c>
      <c r="O52" s="16">
        <f>HO!O52+'Gulf Mall'!O52+BTC!O52</f>
        <v>25152</v>
      </c>
      <c r="P52" s="28">
        <f t="shared" si="29"/>
        <v>3.3283331961416453E-2</v>
      </c>
      <c r="Q52" s="16">
        <f>HO!Q52+'Gulf Mall'!Q52+BTC!Q52</f>
        <v>25152</v>
      </c>
      <c r="R52" s="28">
        <f t="shared" si="30"/>
        <v>3.190091296270868E-2</v>
      </c>
      <c r="S52" s="16">
        <f>HO!S52+'Gulf Mall'!S52+BTC!S52</f>
        <v>25152</v>
      </c>
      <c r="T52" s="28">
        <f t="shared" si="31"/>
        <v>3.2831542046469139E-2</v>
      </c>
      <c r="U52" s="16">
        <f>HO!U52+'Gulf Mall'!U52+BTC!U52</f>
        <v>25152</v>
      </c>
      <c r="V52" s="28">
        <f t="shared" si="32"/>
        <v>3.2906823463522451E-2</v>
      </c>
      <c r="W52" s="16">
        <f>HO!W52+'Gulf Mall'!W52+BTC!W52</f>
        <v>25152</v>
      </c>
      <c r="X52" s="28">
        <f t="shared" si="33"/>
        <v>3.2094782185707979E-2</v>
      </c>
      <c r="Y52" s="16">
        <f>HO!Y52+'Gulf Mall'!Y52+BTC!Y52</f>
        <v>25152</v>
      </c>
      <c r="Z52" s="28">
        <f t="shared" si="34"/>
        <v>3.2115775061085726E-2</v>
      </c>
      <c r="AA52" s="59">
        <f t="shared" si="35"/>
        <v>301824</v>
      </c>
      <c r="AB52" s="60">
        <f t="shared" si="36"/>
        <v>3.2745059201260834E-2</v>
      </c>
      <c r="AC52" s="67">
        <f t="shared" si="37"/>
        <v>25152</v>
      </c>
      <c r="AD52" s="68">
        <f t="shared" si="38"/>
        <v>3.2745059201260834E-2</v>
      </c>
      <c r="AE52" s="44">
        <f t="shared" si="2"/>
        <v>301824</v>
      </c>
      <c r="AF52" s="21">
        <f t="shared" si="3"/>
        <v>0</v>
      </c>
      <c r="AG52" s="113"/>
      <c r="AW52" s="44"/>
      <c r="AX52" s="44"/>
    </row>
    <row r="53" spans="1:50">
      <c r="A53" s="2">
        <v>6112</v>
      </c>
      <c r="B53" s="2" t="s">
        <v>11</v>
      </c>
      <c r="C53" s="16">
        <f>HO!C53+'Gulf Mall'!C53+BTC!C53</f>
        <v>7500</v>
      </c>
      <c r="D53" s="28">
        <f t="shared" si="23"/>
        <v>1.0616038046001098E-2</v>
      </c>
      <c r="E53" s="16">
        <f>HO!E53+'Gulf Mall'!E53+BTC!E53</f>
        <v>7500</v>
      </c>
      <c r="F53" s="28">
        <f t="shared" si="24"/>
        <v>9.7194806612298495E-3</v>
      </c>
      <c r="G53" s="16">
        <f>HO!G53+'Gulf Mall'!G53+BTC!G53</f>
        <v>7500</v>
      </c>
      <c r="H53" s="28">
        <f t="shared" si="25"/>
        <v>9.778429746864499E-3</v>
      </c>
      <c r="I53" s="16">
        <f>HO!I53+'Gulf Mall'!I53+BTC!I53</f>
        <v>7500</v>
      </c>
      <c r="J53" s="28">
        <f t="shared" si="26"/>
        <v>9.6257155543703742E-3</v>
      </c>
      <c r="K53" s="16">
        <f>HO!K53+'Gulf Mall'!K53+BTC!K53</f>
        <v>7500</v>
      </c>
      <c r="L53" s="28">
        <f t="shared" si="27"/>
        <v>9.0242899875807563E-3</v>
      </c>
      <c r="M53" s="16">
        <f>HO!M53+'Gulf Mall'!M53+BTC!M53</f>
        <v>7500</v>
      </c>
      <c r="N53" s="28">
        <f t="shared" si="28"/>
        <v>1.0407908267706321E-2</v>
      </c>
      <c r="O53" s="16">
        <f>HO!O53+'Gulf Mall'!O53+BTC!O53</f>
        <v>7500</v>
      </c>
      <c r="P53" s="28">
        <f t="shared" si="29"/>
        <v>9.9246576697925963E-3</v>
      </c>
      <c r="Q53" s="16">
        <f>HO!Q53+'Gulf Mall'!Q53+BTC!Q53</f>
        <v>7500</v>
      </c>
      <c r="R53" s="28">
        <f t="shared" si="30"/>
        <v>9.5124382641664715E-3</v>
      </c>
      <c r="S53" s="16">
        <f>HO!S53+'Gulf Mall'!S53+BTC!S53</f>
        <v>7500</v>
      </c>
      <c r="T53" s="28">
        <f t="shared" si="31"/>
        <v>9.7899397800778679E-3</v>
      </c>
      <c r="U53" s="16">
        <f>HO!U53+'Gulf Mall'!U53+BTC!U53</f>
        <v>7500</v>
      </c>
      <c r="V53" s="28">
        <f t="shared" si="32"/>
        <v>9.8123877217087454E-3</v>
      </c>
      <c r="W53" s="16">
        <f>HO!W53+'Gulf Mall'!W53+BTC!W53</f>
        <v>7500</v>
      </c>
      <c r="X53" s="28">
        <f t="shared" si="33"/>
        <v>9.5702475506047168E-3</v>
      </c>
      <c r="Y53" s="16">
        <f>HO!Y53+'Gulf Mall'!Y53+BTC!Y53</f>
        <v>7500</v>
      </c>
      <c r="Z53" s="28">
        <f t="shared" si="34"/>
        <v>9.5765073536157336E-3</v>
      </c>
      <c r="AA53" s="59">
        <f t="shared" si="35"/>
        <v>90000</v>
      </c>
      <c r="AB53" s="60">
        <f t="shared" si="36"/>
        <v>9.7641517179332168E-3</v>
      </c>
      <c r="AC53" s="67">
        <f t="shared" si="37"/>
        <v>7500</v>
      </c>
      <c r="AD53" s="68">
        <f t="shared" si="38"/>
        <v>9.7641517179332168E-3</v>
      </c>
      <c r="AE53" s="44">
        <f t="shared" si="2"/>
        <v>90000</v>
      </c>
      <c r="AF53" s="21">
        <f t="shared" si="3"/>
        <v>0</v>
      </c>
      <c r="AG53" s="113"/>
      <c r="AW53" s="44"/>
      <c r="AX53" s="44"/>
    </row>
    <row r="54" spans="1:50">
      <c r="A54" s="2">
        <v>6113</v>
      </c>
      <c r="B54" s="2" t="s">
        <v>12</v>
      </c>
      <c r="C54" s="16">
        <f>HO!C54+'Gulf Mall'!C54+BTC!C54</f>
        <v>0</v>
      </c>
      <c r="D54" s="28">
        <f t="shared" si="23"/>
        <v>0</v>
      </c>
      <c r="E54" s="16">
        <f>HO!E54+'Gulf Mall'!E54+BTC!E54</f>
        <v>0</v>
      </c>
      <c r="F54" s="28">
        <f t="shared" si="24"/>
        <v>0</v>
      </c>
      <c r="G54" s="16">
        <f>HO!G54+'Gulf Mall'!G54+BTC!G54</f>
        <v>0</v>
      </c>
      <c r="H54" s="28">
        <f t="shared" si="25"/>
        <v>0</v>
      </c>
      <c r="I54" s="16">
        <f>HO!I54+'Gulf Mall'!I54+BTC!I54</f>
        <v>0</v>
      </c>
      <c r="J54" s="28">
        <f t="shared" si="26"/>
        <v>0</v>
      </c>
      <c r="K54" s="16">
        <f>HO!K54+'Gulf Mall'!K54+BTC!K54</f>
        <v>0</v>
      </c>
      <c r="L54" s="28">
        <f t="shared" si="27"/>
        <v>0</v>
      </c>
      <c r="M54" s="16">
        <f>HO!M54+'Gulf Mall'!M54+BTC!M54</f>
        <v>0</v>
      </c>
      <c r="N54" s="28">
        <f t="shared" si="28"/>
        <v>0</v>
      </c>
      <c r="O54" s="16">
        <f>HO!O54+'Gulf Mall'!O54+BTC!O54</f>
        <v>0</v>
      </c>
      <c r="P54" s="28">
        <f t="shared" si="29"/>
        <v>0</v>
      </c>
      <c r="Q54" s="16">
        <f>HO!Q54+'Gulf Mall'!Q54+BTC!Q54</f>
        <v>0</v>
      </c>
      <c r="R54" s="28">
        <f t="shared" si="30"/>
        <v>0</v>
      </c>
      <c r="S54" s="16">
        <f>HO!S54+'Gulf Mall'!S54+BTC!S54</f>
        <v>0</v>
      </c>
      <c r="T54" s="28">
        <f t="shared" si="31"/>
        <v>0</v>
      </c>
      <c r="U54" s="16">
        <f>HO!U54+'Gulf Mall'!U54+BTC!U54</f>
        <v>0</v>
      </c>
      <c r="V54" s="28">
        <f t="shared" si="32"/>
        <v>0</v>
      </c>
      <c r="W54" s="16">
        <f>HO!W54+'Gulf Mall'!W54+BTC!W54</f>
        <v>0</v>
      </c>
      <c r="X54" s="28">
        <f t="shared" si="33"/>
        <v>0</v>
      </c>
      <c r="Y54" s="16">
        <f>HO!Y54+'Gulf Mall'!Y54+BTC!Y54</f>
        <v>0</v>
      </c>
      <c r="Z54" s="28">
        <f t="shared" si="34"/>
        <v>0</v>
      </c>
      <c r="AA54" s="59">
        <f t="shared" si="35"/>
        <v>0</v>
      </c>
      <c r="AB54" s="60">
        <f t="shared" si="36"/>
        <v>0</v>
      </c>
      <c r="AC54" s="67">
        <f t="shared" si="37"/>
        <v>0</v>
      </c>
      <c r="AD54" s="68">
        <f t="shared" si="38"/>
        <v>0</v>
      </c>
      <c r="AE54" s="44">
        <f t="shared" si="2"/>
        <v>0</v>
      </c>
      <c r="AF54" s="21">
        <f t="shared" si="3"/>
        <v>0</v>
      </c>
      <c r="AG54" s="113"/>
      <c r="AW54" s="44"/>
      <c r="AX54" s="44"/>
    </row>
    <row r="55" spans="1:50">
      <c r="A55" s="2">
        <v>6114</v>
      </c>
      <c r="B55" s="2" t="s">
        <v>88</v>
      </c>
      <c r="C55" s="16">
        <f>HO!C55+'Gulf Mall'!C55+BTC!C55</f>
        <v>5250</v>
      </c>
      <c r="D55" s="28">
        <f t="shared" si="23"/>
        <v>7.4312266322007691E-3</v>
      </c>
      <c r="E55" s="16">
        <f>HO!E55+'Gulf Mall'!E55+BTC!E55</f>
        <v>5250</v>
      </c>
      <c r="F55" s="28">
        <f t="shared" si="24"/>
        <v>6.8036364628608946E-3</v>
      </c>
      <c r="G55" s="16">
        <f>HO!G55+'Gulf Mall'!G55+BTC!G55</f>
        <v>5250</v>
      </c>
      <c r="H55" s="28">
        <f t="shared" si="25"/>
        <v>6.8449008228051497E-3</v>
      </c>
      <c r="I55" s="16">
        <f>HO!I55+'Gulf Mall'!I55+BTC!I55</f>
        <v>5250</v>
      </c>
      <c r="J55" s="28">
        <f t="shared" si="26"/>
        <v>6.7380008880592616E-3</v>
      </c>
      <c r="K55" s="16">
        <f>HO!K55+'Gulf Mall'!K55+BTC!K55</f>
        <v>5250</v>
      </c>
      <c r="L55" s="28">
        <f t="shared" si="27"/>
        <v>6.3170029913065294E-3</v>
      </c>
      <c r="M55" s="16">
        <f>HO!M55+'Gulf Mall'!M55+BTC!M55</f>
        <v>5250</v>
      </c>
      <c r="N55" s="28">
        <f t="shared" si="28"/>
        <v>7.2855357873944249E-3</v>
      </c>
      <c r="O55" s="16">
        <f>HO!O55+'Gulf Mall'!O55+BTC!O55</f>
        <v>5250</v>
      </c>
      <c r="P55" s="28">
        <f t="shared" si="29"/>
        <v>6.9472603688548176E-3</v>
      </c>
      <c r="Q55" s="16">
        <f>HO!Q55+'Gulf Mall'!Q55+BTC!Q55</f>
        <v>5250</v>
      </c>
      <c r="R55" s="28">
        <f t="shared" si="30"/>
        <v>6.6587067849165297E-3</v>
      </c>
      <c r="S55" s="16">
        <f>HO!S55+'Gulf Mall'!S55+BTC!S55</f>
        <v>5250</v>
      </c>
      <c r="T55" s="28">
        <f t="shared" si="31"/>
        <v>6.8529578460545075E-3</v>
      </c>
      <c r="U55" s="16">
        <f>HO!U55+'Gulf Mall'!U55+BTC!U55</f>
        <v>5250</v>
      </c>
      <c r="V55" s="28">
        <f t="shared" si="32"/>
        <v>6.8686714051961221E-3</v>
      </c>
      <c r="W55" s="16">
        <f>HO!W55+'Gulf Mall'!W55+BTC!W55</f>
        <v>5250</v>
      </c>
      <c r="X55" s="28">
        <f t="shared" si="33"/>
        <v>6.6991732854233023E-3</v>
      </c>
      <c r="Y55" s="16">
        <f>HO!Y55+'Gulf Mall'!Y55+BTC!Y55</f>
        <v>5250</v>
      </c>
      <c r="Z55" s="28">
        <f t="shared" si="34"/>
        <v>6.7035551475310134E-3</v>
      </c>
      <c r="AA55" s="59">
        <f t="shared" si="35"/>
        <v>63000</v>
      </c>
      <c r="AB55" s="60">
        <f t="shared" si="36"/>
        <v>6.834906202553251E-3</v>
      </c>
      <c r="AC55" s="67">
        <f t="shared" si="37"/>
        <v>5250</v>
      </c>
      <c r="AD55" s="68">
        <f t="shared" si="38"/>
        <v>6.834906202553251E-3</v>
      </c>
      <c r="AE55" s="44">
        <f t="shared" si="2"/>
        <v>63000</v>
      </c>
      <c r="AF55" s="21">
        <f t="shared" si="3"/>
        <v>0</v>
      </c>
      <c r="AG55" s="113">
        <v>52</v>
      </c>
      <c r="AH55" s="1" t="s">
        <v>134</v>
      </c>
      <c r="AI55" s="1" t="s">
        <v>151</v>
      </c>
      <c r="AW55" s="44"/>
      <c r="AX55" s="44"/>
    </row>
    <row r="56" spans="1:50">
      <c r="A56" s="2">
        <v>6115</v>
      </c>
      <c r="B56" s="2" t="s">
        <v>13</v>
      </c>
      <c r="C56" s="16">
        <f>HO!C56+'Gulf Mall'!C56+BTC!C56</f>
        <v>1750</v>
      </c>
      <c r="D56" s="28">
        <f t="shared" si="23"/>
        <v>2.477075544066923E-3</v>
      </c>
      <c r="E56" s="16">
        <f>HO!E56+'Gulf Mall'!E56+BTC!E56</f>
        <v>1750</v>
      </c>
      <c r="F56" s="28">
        <f t="shared" si="24"/>
        <v>2.2678788209536315E-3</v>
      </c>
      <c r="G56" s="16">
        <f>HO!G56+'Gulf Mall'!G56+BTC!G56</f>
        <v>1750</v>
      </c>
      <c r="H56" s="28">
        <f t="shared" si="25"/>
        <v>2.2816336076017167E-3</v>
      </c>
      <c r="I56" s="16">
        <f>HO!I56+'Gulf Mall'!I56+BTC!I56</f>
        <v>1750</v>
      </c>
      <c r="J56" s="28">
        <f t="shared" si="26"/>
        <v>2.246000296019754E-3</v>
      </c>
      <c r="K56" s="16">
        <f>HO!K56+'Gulf Mall'!K56+BTC!K56</f>
        <v>1750</v>
      </c>
      <c r="L56" s="28">
        <f t="shared" si="27"/>
        <v>2.1056676637688431E-3</v>
      </c>
      <c r="M56" s="16">
        <f>HO!M56+'Gulf Mall'!M56+BTC!M56</f>
        <v>2500</v>
      </c>
      <c r="N56" s="28">
        <f t="shared" si="28"/>
        <v>3.469302755902107E-3</v>
      </c>
      <c r="O56" s="16">
        <f>HO!O56+'Gulf Mall'!O56+BTC!O56</f>
        <v>1750</v>
      </c>
      <c r="P56" s="28">
        <f t="shared" si="29"/>
        <v>2.3157534562849393E-3</v>
      </c>
      <c r="Q56" s="16">
        <f>HO!Q56+'Gulf Mall'!Q56+BTC!Q56</f>
        <v>1750</v>
      </c>
      <c r="R56" s="28">
        <f t="shared" si="30"/>
        <v>2.21956892830551E-3</v>
      </c>
      <c r="S56" s="16">
        <f>HO!S56+'Gulf Mall'!S56+BTC!S56</f>
        <v>1750</v>
      </c>
      <c r="T56" s="28">
        <f t="shared" si="31"/>
        <v>2.2843192820181692E-3</v>
      </c>
      <c r="U56" s="16">
        <f>HO!U56+'Gulf Mall'!U56+BTC!U56</f>
        <v>1750</v>
      </c>
      <c r="V56" s="28">
        <f t="shared" si="32"/>
        <v>2.289557135065374E-3</v>
      </c>
      <c r="W56" s="16">
        <f>HO!W56+'Gulf Mall'!W56+BTC!W56</f>
        <v>1750</v>
      </c>
      <c r="X56" s="28">
        <f t="shared" si="33"/>
        <v>2.2330577618077676E-3</v>
      </c>
      <c r="Y56" s="16">
        <f>HO!Y56+'Gulf Mall'!Y56+BTC!Y56</f>
        <v>2500</v>
      </c>
      <c r="Z56" s="28">
        <f t="shared" si="34"/>
        <v>3.1921691178719114E-3</v>
      </c>
      <c r="AA56" s="59">
        <f t="shared" si="35"/>
        <v>22500</v>
      </c>
      <c r="AB56" s="60">
        <f t="shared" si="36"/>
        <v>2.4410379294833042E-3</v>
      </c>
      <c r="AC56" s="67">
        <f t="shared" si="37"/>
        <v>1875</v>
      </c>
      <c r="AD56" s="68">
        <f t="shared" si="38"/>
        <v>2.4410379294833042E-3</v>
      </c>
      <c r="AE56" s="44">
        <f t="shared" si="2"/>
        <v>22500</v>
      </c>
      <c r="AF56" s="21">
        <f t="shared" si="3"/>
        <v>0</v>
      </c>
      <c r="AG56" s="113">
        <v>925</v>
      </c>
      <c r="AH56" s="1" t="s">
        <v>136</v>
      </c>
      <c r="AW56" s="44"/>
      <c r="AX56" s="44"/>
    </row>
    <row r="57" spans="1:50">
      <c r="A57" s="2">
        <v>6116</v>
      </c>
      <c r="B57" s="82" t="s">
        <v>14</v>
      </c>
      <c r="C57" s="16">
        <f>HO!C57+'Gulf Mall'!C57+BTC!C57</f>
        <v>1617.23</v>
      </c>
      <c r="D57" s="28">
        <f t="shared" si="23"/>
        <v>2.2891433612179141E-3</v>
      </c>
      <c r="E57" s="16">
        <f>HO!E57+'Gulf Mall'!E57+BTC!E57</f>
        <v>1617.23</v>
      </c>
      <c r="F57" s="28">
        <f t="shared" si="24"/>
        <v>2.0958180946347663E-3</v>
      </c>
      <c r="G57" s="16">
        <f>HO!G57+'Gulf Mall'!G57+BTC!G57</f>
        <v>1617.23</v>
      </c>
      <c r="H57" s="28">
        <f t="shared" si="25"/>
        <v>2.1085293252695566E-3</v>
      </c>
      <c r="I57" s="16">
        <f>HO!I57+'Gulf Mall'!I57+BTC!I57</f>
        <v>1617.23</v>
      </c>
      <c r="J57" s="28">
        <f t="shared" si="26"/>
        <v>2.0755994621325866E-3</v>
      </c>
      <c r="K57" s="16">
        <f>HO!K57+'Gulf Mall'!K57+BTC!K57</f>
        <v>1617.23</v>
      </c>
      <c r="L57" s="28">
        <f t="shared" si="27"/>
        <v>1.9459136662153635E-3</v>
      </c>
      <c r="M57" s="16">
        <f>HO!M57+'Gulf Mall'!M57+BTC!M57</f>
        <v>1617.23</v>
      </c>
      <c r="N57" s="28">
        <f t="shared" si="28"/>
        <v>2.2442641983710259E-3</v>
      </c>
      <c r="O57" s="16">
        <f>HO!O57+'Gulf Mall'!O57+BTC!O57</f>
        <v>1617.23</v>
      </c>
      <c r="P57" s="28">
        <f t="shared" si="29"/>
        <v>2.1400605497758243E-3</v>
      </c>
      <c r="Q57" s="16">
        <f>HO!Q57+'Gulf Mall'!Q57+BTC!Q57</f>
        <v>1617.23</v>
      </c>
      <c r="R57" s="28">
        <f t="shared" si="30"/>
        <v>2.0511734045277254E-3</v>
      </c>
      <c r="S57" s="16">
        <f>HO!S57+'Gulf Mall'!S57+BTC!S57</f>
        <v>1617.23</v>
      </c>
      <c r="T57" s="28">
        <f t="shared" si="31"/>
        <v>2.1110112414047108E-3</v>
      </c>
      <c r="U57" s="16">
        <f>HO!U57+'Gulf Mall'!U57+BTC!U57</f>
        <v>1617.23</v>
      </c>
      <c r="V57" s="28">
        <f t="shared" si="32"/>
        <v>2.1158517060238715E-3</v>
      </c>
      <c r="W57" s="16">
        <f>HO!W57+'Gulf Mall'!W57+BTC!W57</f>
        <v>1617.23</v>
      </c>
      <c r="X57" s="28">
        <f t="shared" si="33"/>
        <v>2.0636388595019288E-3</v>
      </c>
      <c r="Y57" s="16">
        <f>HO!Y57+'Gulf Mall'!Y57+BTC!Y57</f>
        <v>1617.23</v>
      </c>
      <c r="Z57" s="28">
        <f t="shared" si="34"/>
        <v>2.0649886649983964E-3</v>
      </c>
      <c r="AA57" s="59">
        <f t="shared" si="35"/>
        <v>19406.759999999998</v>
      </c>
      <c r="AB57" s="60">
        <f t="shared" si="36"/>
        <v>2.1054505443724178E-3</v>
      </c>
      <c r="AC57" s="67">
        <f t="shared" si="37"/>
        <v>1617.2299999999998</v>
      </c>
      <c r="AD57" s="68">
        <f t="shared" si="38"/>
        <v>2.1054505443724178E-3</v>
      </c>
      <c r="AE57" s="44">
        <f t="shared" si="2"/>
        <v>19406.759999999998</v>
      </c>
      <c r="AF57" s="21">
        <f t="shared" si="3"/>
        <v>0</v>
      </c>
      <c r="AG57" s="113"/>
      <c r="AW57" s="44"/>
      <c r="AX57" s="44"/>
    </row>
    <row r="58" spans="1:50">
      <c r="A58" s="82">
        <v>6117</v>
      </c>
      <c r="B58" s="82" t="s">
        <v>15</v>
      </c>
      <c r="C58" s="16">
        <f>HO!C58+'Gulf Mall'!C58+BTC!C58</f>
        <v>0</v>
      </c>
      <c r="D58" s="28">
        <f t="shared" si="23"/>
        <v>0</v>
      </c>
      <c r="E58" s="16">
        <f>HO!E58+'Gulf Mall'!E58+BTC!E58</f>
        <v>0</v>
      </c>
      <c r="F58" s="28">
        <f t="shared" si="24"/>
        <v>0</v>
      </c>
      <c r="G58" s="16">
        <f>HO!G58+'Gulf Mall'!G58+BTC!G58</f>
        <v>0</v>
      </c>
      <c r="H58" s="28">
        <f t="shared" si="25"/>
        <v>0</v>
      </c>
      <c r="I58" s="16">
        <f>HO!I58+'Gulf Mall'!I58+BTC!I58</f>
        <v>0</v>
      </c>
      <c r="J58" s="28">
        <f t="shared" si="26"/>
        <v>0</v>
      </c>
      <c r="K58" s="16">
        <f>HO!K58+'Gulf Mall'!K58+BTC!K58</f>
        <v>0</v>
      </c>
      <c r="L58" s="28">
        <f t="shared" si="27"/>
        <v>0</v>
      </c>
      <c r="M58" s="16">
        <f>HO!M58+'Gulf Mall'!M58+BTC!M58</f>
        <v>0</v>
      </c>
      <c r="N58" s="28">
        <f t="shared" si="28"/>
        <v>0</v>
      </c>
      <c r="O58" s="16">
        <f>HO!O58+'Gulf Mall'!O58+BTC!O58</f>
        <v>0</v>
      </c>
      <c r="P58" s="28">
        <f t="shared" si="29"/>
        <v>0</v>
      </c>
      <c r="Q58" s="16">
        <f>HO!Q58+'Gulf Mall'!Q58+BTC!Q58</f>
        <v>0</v>
      </c>
      <c r="R58" s="28">
        <f t="shared" si="30"/>
        <v>0</v>
      </c>
      <c r="S58" s="16">
        <f>HO!S58+'Gulf Mall'!S58+BTC!S58</f>
        <v>0</v>
      </c>
      <c r="T58" s="28">
        <f t="shared" si="31"/>
        <v>0</v>
      </c>
      <c r="U58" s="16">
        <f>HO!U58+'Gulf Mall'!U58+BTC!U58</f>
        <v>0</v>
      </c>
      <c r="V58" s="28">
        <f t="shared" si="32"/>
        <v>0</v>
      </c>
      <c r="W58" s="16">
        <f>HO!W58+'Gulf Mall'!W58+BTC!W58</f>
        <v>0</v>
      </c>
      <c r="X58" s="28">
        <f t="shared" si="33"/>
        <v>0</v>
      </c>
      <c r="Y58" s="16">
        <f>HO!Y58+'Gulf Mall'!Y58+BTC!Y58</f>
        <v>0</v>
      </c>
      <c r="Z58" s="28">
        <f t="shared" si="34"/>
        <v>0</v>
      </c>
      <c r="AA58" s="59">
        <f t="shared" si="35"/>
        <v>0</v>
      </c>
      <c r="AB58" s="60">
        <f t="shared" si="36"/>
        <v>0</v>
      </c>
      <c r="AC58" s="67">
        <f t="shared" si="37"/>
        <v>0</v>
      </c>
      <c r="AD58" s="68">
        <f t="shared" si="38"/>
        <v>0</v>
      </c>
      <c r="AE58" s="44">
        <f t="shared" si="2"/>
        <v>0</v>
      </c>
      <c r="AF58" s="21">
        <f t="shared" si="3"/>
        <v>0</v>
      </c>
      <c r="AG58" s="113"/>
      <c r="AW58" s="44"/>
      <c r="AX58" s="44"/>
    </row>
    <row r="59" spans="1:50">
      <c r="A59" s="2">
        <v>6118</v>
      </c>
      <c r="B59" s="2" t="s">
        <v>16</v>
      </c>
      <c r="C59" s="16">
        <f>HO!C59+'Gulf Mall'!C59+BTC!C59</f>
        <v>20960</v>
      </c>
      <c r="D59" s="28">
        <f t="shared" si="23"/>
        <v>2.9668287659224402E-2</v>
      </c>
      <c r="E59" s="16">
        <f>HO!E59+'Gulf Mall'!E59+BTC!E59</f>
        <v>20960</v>
      </c>
      <c r="F59" s="28">
        <f t="shared" si="24"/>
        <v>2.716270862125035E-2</v>
      </c>
      <c r="G59" s="16">
        <f>HO!G59+'Gulf Mall'!G59+BTC!G59</f>
        <v>20960</v>
      </c>
      <c r="H59" s="28">
        <f t="shared" si="25"/>
        <v>2.7327451665903987E-2</v>
      </c>
      <c r="I59" s="16">
        <f>HO!I59+'Gulf Mall'!I59+BTC!I59</f>
        <v>20960</v>
      </c>
      <c r="J59" s="28">
        <f t="shared" si="26"/>
        <v>2.6900666402613738E-2</v>
      </c>
      <c r="K59" s="16">
        <f>HO!K59+'Gulf Mall'!K59+BTC!K59</f>
        <v>20960</v>
      </c>
      <c r="L59" s="28">
        <f t="shared" si="27"/>
        <v>2.5219882418625685E-2</v>
      </c>
      <c r="M59" s="16">
        <f>HO!M59+'Gulf Mall'!M59+BTC!M59</f>
        <v>20960</v>
      </c>
      <c r="N59" s="28">
        <f t="shared" si="28"/>
        <v>2.9086634305483264E-2</v>
      </c>
      <c r="O59" s="16">
        <f>HO!O59+'Gulf Mall'!O59+BTC!O59</f>
        <v>20960</v>
      </c>
      <c r="P59" s="28">
        <f t="shared" si="29"/>
        <v>2.7736109967847044E-2</v>
      </c>
      <c r="Q59" s="16">
        <f>HO!Q59+'Gulf Mall'!Q59+BTC!Q59</f>
        <v>20960</v>
      </c>
      <c r="R59" s="28">
        <f t="shared" si="30"/>
        <v>2.6584094135590566E-2</v>
      </c>
      <c r="S59" s="16">
        <f>HO!S59+'Gulf Mall'!S59+BTC!S59</f>
        <v>20960</v>
      </c>
      <c r="T59" s="28">
        <f t="shared" si="31"/>
        <v>2.7359618372057613E-2</v>
      </c>
      <c r="U59" s="16">
        <f>HO!U59+'Gulf Mall'!U59+BTC!U59</f>
        <v>20960</v>
      </c>
      <c r="V59" s="28">
        <f t="shared" si="32"/>
        <v>2.7422352886268708E-2</v>
      </c>
      <c r="W59" s="16">
        <f>HO!W59+'Gulf Mall'!W59+BTC!W59</f>
        <v>20960</v>
      </c>
      <c r="X59" s="28">
        <f t="shared" si="33"/>
        <v>2.6745651821423317E-2</v>
      </c>
      <c r="Y59" s="16">
        <f>HO!Y59+'Gulf Mall'!Y59+BTC!Y59</f>
        <v>20960</v>
      </c>
      <c r="Z59" s="28">
        <f t="shared" si="34"/>
        <v>2.6763145884238105E-2</v>
      </c>
      <c r="AA59" s="59">
        <f t="shared" si="35"/>
        <v>251520</v>
      </c>
      <c r="AB59" s="60">
        <f t="shared" si="36"/>
        <v>2.7287549334384029E-2</v>
      </c>
      <c r="AC59" s="67">
        <f t="shared" si="37"/>
        <v>20960</v>
      </c>
      <c r="AD59" s="68">
        <f t="shared" si="38"/>
        <v>2.7287549334384029E-2</v>
      </c>
      <c r="AE59" s="44">
        <f t="shared" si="2"/>
        <v>251520</v>
      </c>
      <c r="AF59" s="21">
        <f t="shared" si="3"/>
        <v>0</v>
      </c>
      <c r="AG59" s="113"/>
      <c r="AW59" s="44"/>
      <c r="AX59" s="44"/>
    </row>
    <row r="60" spans="1:50">
      <c r="A60" s="2">
        <v>6119</v>
      </c>
      <c r="B60" s="2" t="s">
        <v>17</v>
      </c>
      <c r="C60" s="16">
        <f>HO!C60+'Gulf Mall'!C60+BTC!C60</f>
        <v>0</v>
      </c>
      <c r="D60" s="28">
        <f t="shared" si="23"/>
        <v>0</v>
      </c>
      <c r="E60" s="16">
        <f>HO!E60+'Gulf Mall'!E60+BTC!E60</f>
        <v>0</v>
      </c>
      <c r="F60" s="28">
        <f t="shared" si="24"/>
        <v>0</v>
      </c>
      <c r="G60" s="16">
        <f>HO!G60+'Gulf Mall'!G60+BTC!G60</f>
        <v>0</v>
      </c>
      <c r="H60" s="28">
        <f t="shared" si="25"/>
        <v>0</v>
      </c>
      <c r="I60" s="16">
        <f>HO!I60+'Gulf Mall'!I60+BTC!I60</f>
        <v>0</v>
      </c>
      <c r="J60" s="28">
        <f t="shared" si="26"/>
        <v>0</v>
      </c>
      <c r="K60" s="16">
        <f>HO!K60+'Gulf Mall'!K60+BTC!K60</f>
        <v>0</v>
      </c>
      <c r="L60" s="28">
        <f t="shared" si="27"/>
        <v>0</v>
      </c>
      <c r="M60" s="16">
        <f>HO!M60+'Gulf Mall'!M60+BTC!M60</f>
        <v>0</v>
      </c>
      <c r="N60" s="28">
        <f t="shared" si="28"/>
        <v>0</v>
      </c>
      <c r="O60" s="16">
        <f>HO!O60+'Gulf Mall'!O60+BTC!O60</f>
        <v>0</v>
      </c>
      <c r="P60" s="28">
        <f t="shared" si="29"/>
        <v>0</v>
      </c>
      <c r="Q60" s="16">
        <f>HO!Q60+'Gulf Mall'!Q60+BTC!Q60</f>
        <v>0</v>
      </c>
      <c r="R60" s="28">
        <f t="shared" si="30"/>
        <v>0</v>
      </c>
      <c r="S60" s="16">
        <f>HO!S60+'Gulf Mall'!S60+BTC!S60</f>
        <v>0</v>
      </c>
      <c r="T60" s="28">
        <f t="shared" si="31"/>
        <v>0</v>
      </c>
      <c r="U60" s="16">
        <f>HO!U60+'Gulf Mall'!U60+BTC!U60</f>
        <v>0</v>
      </c>
      <c r="V60" s="28">
        <f t="shared" si="32"/>
        <v>0</v>
      </c>
      <c r="W60" s="16">
        <f>HO!W60+'Gulf Mall'!W60+BTC!W60</f>
        <v>0</v>
      </c>
      <c r="X60" s="28">
        <f t="shared" si="33"/>
        <v>0</v>
      </c>
      <c r="Y60" s="16">
        <f>HO!Y60+'Gulf Mall'!Y60+BTC!Y60</f>
        <v>0</v>
      </c>
      <c r="Z60" s="28">
        <f t="shared" si="34"/>
        <v>0</v>
      </c>
      <c r="AA60" s="59">
        <f t="shared" si="35"/>
        <v>0</v>
      </c>
      <c r="AB60" s="60">
        <f t="shared" si="36"/>
        <v>0</v>
      </c>
      <c r="AC60" s="67">
        <f t="shared" si="37"/>
        <v>0</v>
      </c>
      <c r="AD60" s="68">
        <f t="shared" si="38"/>
        <v>0</v>
      </c>
      <c r="AE60" s="44">
        <f t="shared" si="2"/>
        <v>0</v>
      </c>
      <c r="AF60" s="21">
        <f t="shared" si="3"/>
        <v>0</v>
      </c>
      <c r="AG60" s="113"/>
      <c r="AW60" s="44"/>
      <c r="AX60" s="44"/>
    </row>
    <row r="61" spans="1:50">
      <c r="A61" s="82">
        <v>6120</v>
      </c>
      <c r="B61" s="2" t="s">
        <v>18</v>
      </c>
      <c r="C61" s="16">
        <f>HO!C61+'Gulf Mall'!C61+BTC!C61</f>
        <v>200</v>
      </c>
      <c r="D61" s="28">
        <f t="shared" si="23"/>
        <v>2.8309434789336262E-4</v>
      </c>
      <c r="E61" s="16">
        <f>HO!E61+'Gulf Mall'!E61+BTC!E61</f>
        <v>200</v>
      </c>
      <c r="F61" s="28">
        <f t="shared" si="24"/>
        <v>2.5918615096612931E-4</v>
      </c>
      <c r="G61" s="16">
        <f>HO!G61+'Gulf Mall'!G61+BTC!G61</f>
        <v>200</v>
      </c>
      <c r="H61" s="28">
        <f t="shared" si="25"/>
        <v>2.6075812658305332E-4</v>
      </c>
      <c r="I61" s="16">
        <f>HO!I61+'Gulf Mall'!I61+BTC!I61</f>
        <v>200</v>
      </c>
      <c r="J61" s="28">
        <f t="shared" si="26"/>
        <v>2.5668574811654331E-4</v>
      </c>
      <c r="K61" s="16">
        <f>HO!K61+'Gulf Mall'!K61+BTC!K61</f>
        <v>200</v>
      </c>
      <c r="L61" s="28">
        <f t="shared" si="27"/>
        <v>2.406477330021535E-4</v>
      </c>
      <c r="M61" s="16">
        <f>HO!M61+'Gulf Mall'!M61+BTC!M61</f>
        <v>200</v>
      </c>
      <c r="N61" s="28">
        <f t="shared" si="28"/>
        <v>2.7754422047216858E-4</v>
      </c>
      <c r="O61" s="16">
        <f>HO!O61+'Gulf Mall'!O61+BTC!O61</f>
        <v>5500</v>
      </c>
      <c r="P61" s="28">
        <f t="shared" si="29"/>
        <v>7.2780822911812379E-3</v>
      </c>
      <c r="Q61" s="16">
        <f>HO!Q61+'Gulf Mall'!Q61+BTC!Q61</f>
        <v>200</v>
      </c>
      <c r="R61" s="28">
        <f t="shared" si="30"/>
        <v>2.5366502037777258E-4</v>
      </c>
      <c r="S61" s="16">
        <f>HO!S61+'Gulf Mall'!S61+BTC!S61</f>
        <v>200</v>
      </c>
      <c r="T61" s="28">
        <f t="shared" si="31"/>
        <v>2.6106506080207648E-4</v>
      </c>
      <c r="U61" s="16">
        <f>HO!U61+'Gulf Mall'!U61+BTC!U61</f>
        <v>200</v>
      </c>
      <c r="V61" s="28">
        <f t="shared" si="32"/>
        <v>2.6166367257889989E-4</v>
      </c>
      <c r="W61" s="16">
        <f>HO!W61+'Gulf Mall'!W61+BTC!W61</f>
        <v>200</v>
      </c>
      <c r="X61" s="28">
        <f t="shared" si="33"/>
        <v>2.5520660134945912E-4</v>
      </c>
      <c r="Y61" s="16">
        <f>HO!Y61+'Gulf Mall'!Y61+BTC!Y61</f>
        <v>15000</v>
      </c>
      <c r="Z61" s="28">
        <f t="shared" si="34"/>
        <v>1.9153014707231467E-2</v>
      </c>
      <c r="AA61" s="59">
        <f t="shared" si="35"/>
        <v>22500</v>
      </c>
      <c r="AB61" s="60">
        <f t="shared" si="36"/>
        <v>2.4410379294833042E-3</v>
      </c>
      <c r="AC61" s="67">
        <f t="shared" si="37"/>
        <v>1875</v>
      </c>
      <c r="AD61" s="68">
        <f t="shared" si="38"/>
        <v>2.4410379294833042E-3</v>
      </c>
      <c r="AE61" s="44">
        <f t="shared" si="2"/>
        <v>22500</v>
      </c>
      <c r="AF61" s="21">
        <f t="shared" si="3"/>
        <v>0</v>
      </c>
      <c r="AG61" s="113">
        <v>584</v>
      </c>
      <c r="AH61" s="1" t="s">
        <v>144</v>
      </c>
      <c r="AW61" s="44"/>
      <c r="AX61" s="44"/>
    </row>
    <row r="62" spans="1:50">
      <c r="A62" s="2">
        <v>6121</v>
      </c>
      <c r="B62" s="2" t="s">
        <v>19</v>
      </c>
      <c r="C62" s="16">
        <f>HO!C62+'Gulf Mall'!C62+BTC!C62</f>
        <v>3500</v>
      </c>
      <c r="D62" s="28">
        <f t="shared" si="23"/>
        <v>4.9541510881338461E-3</v>
      </c>
      <c r="E62" s="16">
        <f>HO!E62+'Gulf Mall'!E62+BTC!E62</f>
        <v>3500</v>
      </c>
      <c r="F62" s="28">
        <f t="shared" si="24"/>
        <v>4.5357576419072631E-3</v>
      </c>
      <c r="G62" s="16">
        <f>HO!G62+'Gulf Mall'!G62+BTC!G62</f>
        <v>3500</v>
      </c>
      <c r="H62" s="28">
        <f t="shared" si="25"/>
        <v>4.5632672152034334E-3</v>
      </c>
      <c r="I62" s="16">
        <f>HO!I62+'Gulf Mall'!I62+BTC!I62</f>
        <v>3500</v>
      </c>
      <c r="J62" s="28">
        <f t="shared" si="26"/>
        <v>4.492000592039508E-3</v>
      </c>
      <c r="K62" s="16">
        <f>HO!K62+'Gulf Mall'!K62+BTC!K62</f>
        <v>3500</v>
      </c>
      <c r="L62" s="28">
        <f t="shared" si="27"/>
        <v>4.2113353275376863E-3</v>
      </c>
      <c r="M62" s="16">
        <f>HO!M62+'Gulf Mall'!M62+BTC!M62</f>
        <v>3500</v>
      </c>
      <c r="N62" s="28">
        <f t="shared" si="28"/>
        <v>4.8570238582629497E-3</v>
      </c>
      <c r="O62" s="16">
        <f>HO!O62+'Gulf Mall'!O62+BTC!O62</f>
        <v>3500</v>
      </c>
      <c r="P62" s="28">
        <f t="shared" si="29"/>
        <v>4.6315069125698787E-3</v>
      </c>
      <c r="Q62" s="16">
        <f>HO!Q62+'Gulf Mall'!Q62+BTC!Q62</f>
        <v>3500</v>
      </c>
      <c r="R62" s="28">
        <f t="shared" si="30"/>
        <v>4.4391378566110201E-3</v>
      </c>
      <c r="S62" s="16">
        <f>HO!S62+'Gulf Mall'!S62+BTC!S62</f>
        <v>3500</v>
      </c>
      <c r="T62" s="28">
        <f t="shared" si="31"/>
        <v>4.5686385640363383E-3</v>
      </c>
      <c r="U62" s="16">
        <f>HO!U62+'Gulf Mall'!U62+BTC!U62</f>
        <v>3500</v>
      </c>
      <c r="V62" s="28">
        <f t="shared" si="32"/>
        <v>4.5791142701307481E-3</v>
      </c>
      <c r="W62" s="16">
        <f>HO!W62+'Gulf Mall'!W62+BTC!W62</f>
        <v>3500</v>
      </c>
      <c r="X62" s="28">
        <f t="shared" si="33"/>
        <v>4.4661155236155351E-3</v>
      </c>
      <c r="Y62" s="16">
        <f>HO!Y62+'Gulf Mall'!Y62+BTC!Y62</f>
        <v>3500</v>
      </c>
      <c r="Z62" s="28">
        <f t="shared" si="34"/>
        <v>4.4690367650206753E-3</v>
      </c>
      <c r="AA62" s="59">
        <f t="shared" si="35"/>
        <v>42000</v>
      </c>
      <c r="AB62" s="60">
        <f t="shared" si="36"/>
        <v>4.5566041350355007E-3</v>
      </c>
      <c r="AC62" s="67">
        <f t="shared" si="37"/>
        <v>3500</v>
      </c>
      <c r="AD62" s="68">
        <f t="shared" si="38"/>
        <v>4.5566041350355007E-3</v>
      </c>
      <c r="AE62" s="44">
        <f t="shared" si="2"/>
        <v>42000</v>
      </c>
      <c r="AF62" s="21">
        <f t="shared" si="3"/>
        <v>0</v>
      </c>
      <c r="AG62" s="113">
        <v>1916</v>
      </c>
      <c r="AH62" s="1" t="s">
        <v>220</v>
      </c>
      <c r="AW62" s="44"/>
      <c r="AX62" s="44"/>
    </row>
    <row r="63" spans="1:50">
      <c r="A63" s="2">
        <v>6122</v>
      </c>
      <c r="B63" s="2" t="s">
        <v>20</v>
      </c>
      <c r="C63" s="16">
        <f>HO!C63+'Gulf Mall'!C63+BTC!C63</f>
        <v>0</v>
      </c>
      <c r="D63" s="28">
        <f t="shared" si="23"/>
        <v>0</v>
      </c>
      <c r="E63" s="16">
        <f>HO!E63+'Gulf Mall'!E63+BTC!E63</f>
        <v>0</v>
      </c>
      <c r="F63" s="28">
        <f t="shared" si="24"/>
        <v>0</v>
      </c>
      <c r="G63" s="16">
        <f>HO!G63+'Gulf Mall'!G63+BTC!G63</f>
        <v>0</v>
      </c>
      <c r="H63" s="28">
        <f t="shared" si="25"/>
        <v>0</v>
      </c>
      <c r="I63" s="16">
        <f>HO!I63+'Gulf Mall'!I63+BTC!I63</f>
        <v>0</v>
      </c>
      <c r="J63" s="28">
        <f t="shared" si="26"/>
        <v>0</v>
      </c>
      <c r="K63" s="16">
        <f>HO!K63+'Gulf Mall'!K63+BTC!K63</f>
        <v>0</v>
      </c>
      <c r="L63" s="28">
        <f t="shared" si="27"/>
        <v>0</v>
      </c>
      <c r="M63" s="16">
        <f>HO!M63+'Gulf Mall'!M63+BTC!M63</f>
        <v>0</v>
      </c>
      <c r="N63" s="28">
        <f t="shared" si="28"/>
        <v>0</v>
      </c>
      <c r="O63" s="16">
        <f>HO!O63+'Gulf Mall'!O63+BTC!O63</f>
        <v>0</v>
      </c>
      <c r="P63" s="28">
        <f t="shared" si="29"/>
        <v>0</v>
      </c>
      <c r="Q63" s="16">
        <f>HO!Q63+'Gulf Mall'!Q63+BTC!Q63</f>
        <v>0</v>
      </c>
      <c r="R63" s="28">
        <f t="shared" si="30"/>
        <v>0</v>
      </c>
      <c r="S63" s="16">
        <f>HO!S63+'Gulf Mall'!S63+BTC!S63</f>
        <v>0</v>
      </c>
      <c r="T63" s="28">
        <f t="shared" si="31"/>
        <v>0</v>
      </c>
      <c r="U63" s="16">
        <f>HO!U63+'Gulf Mall'!U63+BTC!U63</f>
        <v>0</v>
      </c>
      <c r="V63" s="28">
        <f t="shared" si="32"/>
        <v>0</v>
      </c>
      <c r="W63" s="16">
        <f>HO!W63+'Gulf Mall'!W63+BTC!W63</f>
        <v>0</v>
      </c>
      <c r="X63" s="28">
        <f t="shared" si="33"/>
        <v>0</v>
      </c>
      <c r="Y63" s="16">
        <f>HO!Y63+'Gulf Mall'!Y63+BTC!Y63</f>
        <v>0</v>
      </c>
      <c r="Z63" s="28">
        <f t="shared" si="34"/>
        <v>0</v>
      </c>
      <c r="AA63" s="59">
        <f t="shared" si="35"/>
        <v>0</v>
      </c>
      <c r="AB63" s="60">
        <f t="shared" si="36"/>
        <v>0</v>
      </c>
      <c r="AC63" s="67">
        <f t="shared" si="37"/>
        <v>0</v>
      </c>
      <c r="AD63" s="68">
        <f t="shared" si="38"/>
        <v>0</v>
      </c>
      <c r="AE63" s="44">
        <f t="shared" si="2"/>
        <v>0</v>
      </c>
      <c r="AF63" s="21">
        <f t="shared" si="3"/>
        <v>0</v>
      </c>
      <c r="AG63" s="113"/>
      <c r="AW63" s="44"/>
      <c r="AX63" s="44"/>
    </row>
    <row r="64" spans="1:50">
      <c r="A64" s="2">
        <v>6123</v>
      </c>
      <c r="B64" s="2" t="s">
        <v>21</v>
      </c>
      <c r="C64" s="16">
        <f>HO!C64+'Gulf Mall'!C64+BTC!C64</f>
        <v>0</v>
      </c>
      <c r="D64" s="28">
        <f t="shared" si="23"/>
        <v>0</v>
      </c>
      <c r="E64" s="16">
        <f>HO!E64+'Gulf Mall'!E64+BTC!E64</f>
        <v>0</v>
      </c>
      <c r="F64" s="28">
        <f t="shared" si="24"/>
        <v>0</v>
      </c>
      <c r="G64" s="16">
        <f>HO!G64+'Gulf Mall'!G64+BTC!G64</f>
        <v>0</v>
      </c>
      <c r="H64" s="28">
        <f t="shared" si="25"/>
        <v>0</v>
      </c>
      <c r="I64" s="16">
        <f>HO!I64+'Gulf Mall'!I64+BTC!I64</f>
        <v>0</v>
      </c>
      <c r="J64" s="28">
        <f t="shared" si="26"/>
        <v>0</v>
      </c>
      <c r="K64" s="16">
        <f>HO!K64+'Gulf Mall'!K64+BTC!K64</f>
        <v>0</v>
      </c>
      <c r="L64" s="28">
        <f t="shared" si="27"/>
        <v>0</v>
      </c>
      <c r="M64" s="16">
        <f>HO!M64+'Gulf Mall'!M64+BTC!M64</f>
        <v>0</v>
      </c>
      <c r="N64" s="28">
        <f t="shared" si="28"/>
        <v>0</v>
      </c>
      <c r="O64" s="16">
        <f>HO!O64+'Gulf Mall'!O64+BTC!O64</f>
        <v>0</v>
      </c>
      <c r="P64" s="28">
        <f t="shared" si="29"/>
        <v>0</v>
      </c>
      <c r="Q64" s="16">
        <f>HO!Q64+'Gulf Mall'!Q64+BTC!Q64</f>
        <v>0</v>
      </c>
      <c r="R64" s="28">
        <f t="shared" si="30"/>
        <v>0</v>
      </c>
      <c r="S64" s="16">
        <f>HO!S64+'Gulf Mall'!S64+BTC!S64</f>
        <v>0</v>
      </c>
      <c r="T64" s="28">
        <f t="shared" si="31"/>
        <v>0</v>
      </c>
      <c r="U64" s="16">
        <f>HO!U64+'Gulf Mall'!U64+BTC!U64</f>
        <v>0</v>
      </c>
      <c r="V64" s="28">
        <f t="shared" si="32"/>
        <v>0</v>
      </c>
      <c r="W64" s="16">
        <f>HO!W64+'Gulf Mall'!W64+BTC!W64</f>
        <v>0</v>
      </c>
      <c r="X64" s="28">
        <f t="shared" si="33"/>
        <v>0</v>
      </c>
      <c r="Y64" s="16">
        <f>HO!Y64+'Gulf Mall'!Y64+BTC!Y64</f>
        <v>0</v>
      </c>
      <c r="Z64" s="28">
        <f t="shared" si="34"/>
        <v>0</v>
      </c>
      <c r="AA64" s="59">
        <f t="shared" si="35"/>
        <v>0</v>
      </c>
      <c r="AB64" s="60">
        <f t="shared" si="36"/>
        <v>0</v>
      </c>
      <c r="AC64" s="67">
        <f t="shared" si="37"/>
        <v>0</v>
      </c>
      <c r="AD64" s="68">
        <f t="shared" si="38"/>
        <v>0</v>
      </c>
      <c r="AE64" s="44">
        <f t="shared" si="2"/>
        <v>0</v>
      </c>
      <c r="AF64" s="21">
        <f t="shared" si="3"/>
        <v>0</v>
      </c>
      <c r="AG64" s="113">
        <v>190</v>
      </c>
      <c r="AH64" s="1" t="s">
        <v>221</v>
      </c>
      <c r="AW64" s="44"/>
      <c r="AX64" s="44"/>
    </row>
    <row r="65" spans="1:50">
      <c r="A65" s="82">
        <v>6124</v>
      </c>
      <c r="B65" s="2" t="s">
        <v>22</v>
      </c>
      <c r="C65" s="16">
        <f>HO!C65+'Gulf Mall'!C65+BTC!C65</f>
        <v>15000</v>
      </c>
      <c r="D65" s="28">
        <f t="shared" si="23"/>
        <v>2.1232076092002197E-2</v>
      </c>
      <c r="E65" s="16">
        <f>HO!E65+'Gulf Mall'!E65+BTC!E65</f>
        <v>15000</v>
      </c>
      <c r="F65" s="28">
        <f t="shared" si="24"/>
        <v>1.9438961322459699E-2</v>
      </c>
      <c r="G65" s="16">
        <f>HO!G65+'Gulf Mall'!G65+BTC!G65</f>
        <v>15000</v>
      </c>
      <c r="H65" s="28">
        <f t="shared" si="25"/>
        <v>1.9556859493728998E-2</v>
      </c>
      <c r="I65" s="16">
        <f>HO!I65+'Gulf Mall'!I65+BTC!I65</f>
        <v>15000</v>
      </c>
      <c r="J65" s="28">
        <f t="shared" si="26"/>
        <v>1.9251431108740748E-2</v>
      </c>
      <c r="K65" s="16">
        <f>HO!K65+'Gulf Mall'!K65+BTC!K65</f>
        <v>15000</v>
      </c>
      <c r="L65" s="28">
        <f t="shared" si="27"/>
        <v>1.8048579975161513E-2</v>
      </c>
      <c r="M65" s="16">
        <f>HO!M65+'Gulf Mall'!M65+BTC!M65</f>
        <v>15000</v>
      </c>
      <c r="N65" s="28">
        <f t="shared" si="28"/>
        <v>2.0815816535412642E-2</v>
      </c>
      <c r="O65" s="16">
        <f>HO!O65+'Gulf Mall'!O65+BTC!O65</f>
        <v>15000</v>
      </c>
      <c r="P65" s="28">
        <f t="shared" si="29"/>
        <v>1.9849315339585193E-2</v>
      </c>
      <c r="Q65" s="16">
        <f>HO!Q65+'Gulf Mall'!Q65+BTC!Q65</f>
        <v>15000</v>
      </c>
      <c r="R65" s="28">
        <f t="shared" si="30"/>
        <v>1.9024876528332943E-2</v>
      </c>
      <c r="S65" s="16">
        <f>HO!S65+'Gulf Mall'!S65+BTC!S65</f>
        <v>15000</v>
      </c>
      <c r="T65" s="28">
        <f t="shared" si="31"/>
        <v>1.9579879560155736E-2</v>
      </c>
      <c r="U65" s="16">
        <f>HO!U65+'Gulf Mall'!U65+BTC!U65</f>
        <v>15000</v>
      </c>
      <c r="V65" s="28">
        <f t="shared" si="32"/>
        <v>1.9624775443417491E-2</v>
      </c>
      <c r="W65" s="16">
        <f>HO!W65+'Gulf Mall'!W65+BTC!W65</f>
        <v>15000</v>
      </c>
      <c r="X65" s="28">
        <f t="shared" si="33"/>
        <v>1.9140495101209434E-2</v>
      </c>
      <c r="Y65" s="16">
        <f>HO!Y65+'Gulf Mall'!Y65+BTC!Y65</f>
        <v>15000</v>
      </c>
      <c r="Z65" s="28">
        <f t="shared" si="34"/>
        <v>1.9153014707231467E-2</v>
      </c>
      <c r="AA65" s="59">
        <f t="shared" si="35"/>
        <v>180000</v>
      </c>
      <c r="AB65" s="60">
        <f t="shared" si="36"/>
        <v>1.9528303435866434E-2</v>
      </c>
      <c r="AC65" s="67">
        <f t="shared" si="37"/>
        <v>15000</v>
      </c>
      <c r="AD65" s="68">
        <f t="shared" si="38"/>
        <v>1.9528303435866434E-2</v>
      </c>
      <c r="AE65" s="44">
        <f t="shared" si="2"/>
        <v>180000</v>
      </c>
      <c r="AF65" s="21">
        <f t="shared" si="3"/>
        <v>0</v>
      </c>
      <c r="AG65" s="113">
        <v>36</v>
      </c>
      <c r="AH65" s="1" t="s">
        <v>197</v>
      </c>
      <c r="AW65" s="44"/>
      <c r="AX65" s="44"/>
    </row>
    <row r="66" spans="1:50">
      <c r="A66" s="2">
        <v>6125</v>
      </c>
      <c r="B66" s="2" t="s">
        <v>78</v>
      </c>
      <c r="C66" s="16">
        <f>HO!C66+'Gulf Mall'!C66+BTC!C66</f>
        <v>11341.67</v>
      </c>
      <c r="D66" s="28">
        <f t="shared" si="23"/>
        <v>1.6053813363358569E-2</v>
      </c>
      <c r="E66" s="16">
        <f>HO!E66+'Gulf Mall'!E66+BTC!E66</f>
        <v>11341.67</v>
      </c>
      <c r="F66" s="28">
        <f t="shared" si="24"/>
        <v>1.46980189641401E-2</v>
      </c>
      <c r="G66" s="16">
        <f>HO!G66+'Gulf Mall'!G66+BTC!G66</f>
        <v>11341.67</v>
      </c>
      <c r="H66" s="28">
        <f t="shared" si="25"/>
        <v>1.4787163107616092E-2</v>
      </c>
      <c r="I66" s="16">
        <f>HO!I66+'Gulf Mall'!I66+BTC!I66</f>
        <v>11341.67</v>
      </c>
      <c r="J66" s="28">
        <f t="shared" si="26"/>
        <v>1.4556225244204779E-2</v>
      </c>
      <c r="K66" s="16">
        <f>HO!K66+'Gulf Mall'!K66+BTC!K66</f>
        <v>11341.67</v>
      </c>
      <c r="L66" s="28">
        <f t="shared" si="27"/>
        <v>1.3646735869792672E-2</v>
      </c>
      <c r="M66" s="16">
        <f>HO!M66+'Gulf Mall'!M66+BTC!M66</f>
        <v>11341.67</v>
      </c>
      <c r="N66" s="28">
        <f t="shared" si="28"/>
        <v>1.5739074795012901E-2</v>
      </c>
      <c r="O66" s="16">
        <f>HO!O66+'Gulf Mall'!O66+BTC!O66</f>
        <v>11341.67</v>
      </c>
      <c r="P66" s="28">
        <f t="shared" si="29"/>
        <v>1.5008292287167546E-2</v>
      </c>
      <c r="Q66" s="16">
        <f>HO!Q66+'Gulf Mall'!Q66+BTC!Q66</f>
        <v>11341.67</v>
      </c>
      <c r="R66" s="28">
        <f t="shared" si="30"/>
        <v>1.4384924758339858E-2</v>
      </c>
      <c r="S66" s="16">
        <f>HO!S66+'Gulf Mall'!S66+BTC!S66</f>
        <v>11341.67</v>
      </c>
      <c r="T66" s="28">
        <f t="shared" si="31"/>
        <v>1.4804568840735433E-2</v>
      </c>
      <c r="U66" s="16">
        <f>HO!U66+'Gulf Mall'!U66+BTC!U66</f>
        <v>11341.67</v>
      </c>
      <c r="V66" s="28">
        <f t="shared" si="32"/>
        <v>1.4838515126889659E-2</v>
      </c>
      <c r="W66" s="16">
        <f>HO!W66+'Gulf Mall'!W66+BTC!W66</f>
        <v>11341.67</v>
      </c>
      <c r="X66" s="28">
        <f t="shared" si="33"/>
        <v>1.44723452716356E-2</v>
      </c>
      <c r="Y66" s="16">
        <f>HO!Y66+'Gulf Mall'!Y66+BTC!Y66</f>
        <v>11341.67</v>
      </c>
      <c r="Z66" s="28">
        <f t="shared" si="34"/>
        <v>1.4481811487637728E-2</v>
      </c>
      <c r="AA66" s="59">
        <f t="shared" si="35"/>
        <v>136100.04</v>
      </c>
      <c r="AB66" s="60">
        <f t="shared" si="36"/>
        <v>1.4765571548630884E-2</v>
      </c>
      <c r="AC66" s="67">
        <f t="shared" si="37"/>
        <v>11341.67</v>
      </c>
      <c r="AD66" s="68">
        <f t="shared" si="38"/>
        <v>1.4765571548630882E-2</v>
      </c>
      <c r="AE66" s="44">
        <f t="shared" si="2"/>
        <v>136100.04</v>
      </c>
      <c r="AF66" s="21">
        <f t="shared" si="3"/>
        <v>0</v>
      </c>
      <c r="AG66" s="113">
        <v>3578</v>
      </c>
      <c r="AH66" s="11" t="s">
        <v>198</v>
      </c>
      <c r="AW66" s="44"/>
      <c r="AX66" s="44"/>
    </row>
    <row r="67" spans="1:50">
      <c r="A67" s="2">
        <v>6126</v>
      </c>
      <c r="B67" s="2" t="s">
        <v>105</v>
      </c>
      <c r="C67" s="16">
        <f>HO!C67+'Gulf Mall'!C67+BTC!C67</f>
        <v>2400</v>
      </c>
      <c r="D67" s="28">
        <f t="shared" si="23"/>
        <v>3.3971321747203517E-3</v>
      </c>
      <c r="E67" s="16">
        <f>HO!E67+'Gulf Mall'!E67+BTC!E67</f>
        <v>2400</v>
      </c>
      <c r="F67" s="28">
        <f t="shared" si="24"/>
        <v>3.1102338115935519E-3</v>
      </c>
      <c r="G67" s="16">
        <f>HO!G67+'Gulf Mall'!G67+BTC!G67</f>
        <v>2400</v>
      </c>
      <c r="H67" s="28">
        <f t="shared" si="25"/>
        <v>3.1290975189966399E-3</v>
      </c>
      <c r="I67" s="16">
        <f>HO!I67+'Gulf Mall'!I67+BTC!I67</f>
        <v>2400</v>
      </c>
      <c r="J67" s="28">
        <f t="shared" si="26"/>
        <v>3.0802289773985197E-3</v>
      </c>
      <c r="K67" s="16">
        <f>HO!K67+'Gulf Mall'!K67+BTC!K67</f>
        <v>2400</v>
      </c>
      <c r="L67" s="28">
        <f t="shared" si="27"/>
        <v>2.8877727960258419E-3</v>
      </c>
      <c r="M67" s="16">
        <f>HO!M67+'Gulf Mall'!M67+BTC!M67</f>
        <v>2400</v>
      </c>
      <c r="N67" s="28">
        <f t="shared" si="28"/>
        <v>3.3305306456660228E-3</v>
      </c>
      <c r="O67" s="16">
        <f>HO!O67+'Gulf Mall'!O67+BTC!O67</f>
        <v>2400</v>
      </c>
      <c r="P67" s="28">
        <f t="shared" si="29"/>
        <v>3.1758904543336308E-3</v>
      </c>
      <c r="Q67" s="16">
        <f>HO!Q67+'Gulf Mall'!Q67+BTC!Q67</f>
        <v>2400</v>
      </c>
      <c r="R67" s="28">
        <f t="shared" si="30"/>
        <v>3.0439802445332708E-3</v>
      </c>
      <c r="S67" s="16">
        <f>HO!S67+'Gulf Mall'!S67+BTC!S67</f>
        <v>2400</v>
      </c>
      <c r="T67" s="28">
        <f t="shared" si="31"/>
        <v>3.1327807296249177E-3</v>
      </c>
      <c r="U67" s="16">
        <f>HO!U67+'Gulf Mall'!U67+BTC!U67</f>
        <v>2400</v>
      </c>
      <c r="V67" s="28">
        <f t="shared" si="32"/>
        <v>3.1399640709467986E-3</v>
      </c>
      <c r="W67" s="16">
        <f>HO!W67+'Gulf Mall'!W67+BTC!W67</f>
        <v>2400</v>
      </c>
      <c r="X67" s="28">
        <f t="shared" si="33"/>
        <v>3.0624792161935096E-3</v>
      </c>
      <c r="Y67" s="16">
        <f>HO!Y67+'Gulf Mall'!Y67+BTC!Y67</f>
        <v>2400</v>
      </c>
      <c r="Z67" s="28">
        <f t="shared" si="34"/>
        <v>3.0644823531570347E-3</v>
      </c>
      <c r="AA67" s="59">
        <f t="shared" si="35"/>
        <v>28800</v>
      </c>
      <c r="AB67" s="60">
        <f t="shared" si="36"/>
        <v>3.1245285497386293E-3</v>
      </c>
      <c r="AC67" s="67">
        <f t="shared" si="37"/>
        <v>2400</v>
      </c>
      <c r="AD67" s="68">
        <f t="shared" si="38"/>
        <v>3.1245285497386293E-3</v>
      </c>
      <c r="AE67" s="44">
        <f t="shared" si="2"/>
        <v>28800</v>
      </c>
      <c r="AF67" s="21">
        <f t="shared" si="3"/>
        <v>0</v>
      </c>
      <c r="AG67" s="113">
        <v>1916</v>
      </c>
      <c r="AH67" s="1" t="s">
        <v>222</v>
      </c>
      <c r="AW67" s="44"/>
      <c r="AX67" s="44"/>
    </row>
    <row r="68" spans="1:50">
      <c r="A68" s="2">
        <v>6127</v>
      </c>
      <c r="B68" s="2" t="s">
        <v>76</v>
      </c>
      <c r="C68" s="16">
        <f>HO!C68+'Gulf Mall'!C68+BTC!C68</f>
        <v>6700</v>
      </c>
      <c r="D68" s="28">
        <f t="shared" si="23"/>
        <v>9.4836606544276471E-3</v>
      </c>
      <c r="E68" s="16">
        <f>HO!E68+'Gulf Mall'!E68+BTC!E68</f>
        <v>6700</v>
      </c>
      <c r="F68" s="28">
        <f t="shared" si="24"/>
        <v>8.6827360573653312E-3</v>
      </c>
      <c r="G68" s="16">
        <f>HO!G68+'Gulf Mall'!G68+BTC!G68</f>
        <v>6700</v>
      </c>
      <c r="H68" s="28">
        <f t="shared" si="25"/>
        <v>8.7353972405322857E-3</v>
      </c>
      <c r="I68" s="16">
        <f>HO!I68+'Gulf Mall'!I68+BTC!I68</f>
        <v>6700</v>
      </c>
      <c r="J68" s="28">
        <f t="shared" si="26"/>
        <v>8.5989725619042001E-3</v>
      </c>
      <c r="K68" s="16">
        <f>HO!K68+'Gulf Mall'!K68+BTC!K68</f>
        <v>6700</v>
      </c>
      <c r="L68" s="28">
        <f t="shared" si="27"/>
        <v>8.0616990555721427E-3</v>
      </c>
      <c r="M68" s="16">
        <f>HO!M68+'Gulf Mall'!M68+BTC!M68</f>
        <v>6700</v>
      </c>
      <c r="N68" s="28">
        <f t="shared" si="28"/>
        <v>9.297731385817647E-3</v>
      </c>
      <c r="O68" s="16">
        <f>HO!O68+'Gulf Mall'!O68+BTC!O68</f>
        <v>6700</v>
      </c>
      <c r="P68" s="28">
        <f t="shared" si="29"/>
        <v>8.8660275183480523E-3</v>
      </c>
      <c r="Q68" s="16">
        <f>HO!Q68+'Gulf Mall'!Q68+BTC!Q68</f>
        <v>6700</v>
      </c>
      <c r="R68" s="28">
        <f t="shared" si="30"/>
        <v>8.4977781826553814E-3</v>
      </c>
      <c r="S68" s="16">
        <f>HO!S68+'Gulf Mall'!S68+BTC!S68</f>
        <v>6700</v>
      </c>
      <c r="T68" s="28">
        <f t="shared" si="31"/>
        <v>8.745679536869562E-3</v>
      </c>
      <c r="U68" s="16">
        <f>HO!U68+'Gulf Mall'!U68+BTC!U68</f>
        <v>6700</v>
      </c>
      <c r="V68" s="28">
        <f t="shared" si="32"/>
        <v>8.7657330313931463E-3</v>
      </c>
      <c r="W68" s="16">
        <f>HO!W68+'Gulf Mall'!W68+BTC!W68</f>
        <v>6700</v>
      </c>
      <c r="X68" s="28">
        <f t="shared" si="33"/>
        <v>8.549421145206881E-3</v>
      </c>
      <c r="Y68" s="16">
        <f>HO!Y68+'Gulf Mall'!Y68+BTC!Y68</f>
        <v>6700</v>
      </c>
      <c r="Z68" s="28">
        <f t="shared" si="34"/>
        <v>8.5550132358967225E-3</v>
      </c>
      <c r="AA68" s="59">
        <f t="shared" si="35"/>
        <v>80400</v>
      </c>
      <c r="AB68" s="60">
        <f t="shared" si="36"/>
        <v>8.7226422013536725E-3</v>
      </c>
      <c r="AC68" s="67">
        <f t="shared" si="37"/>
        <v>6700</v>
      </c>
      <c r="AD68" s="68">
        <f t="shared" si="38"/>
        <v>8.7226422013536725E-3</v>
      </c>
      <c r="AE68" s="44">
        <f t="shared" si="2"/>
        <v>80400</v>
      </c>
      <c r="AF68" s="21">
        <f t="shared" si="3"/>
        <v>0</v>
      </c>
      <c r="AG68" s="113">
        <v>4550</v>
      </c>
      <c r="AH68" s="1" t="s">
        <v>137</v>
      </c>
      <c r="AW68" s="44"/>
      <c r="AX68" s="44"/>
    </row>
    <row r="69" spans="1:50">
      <c r="A69" s="2">
        <v>6128</v>
      </c>
      <c r="B69" s="2" t="s">
        <v>161</v>
      </c>
      <c r="C69" s="16">
        <f>HO!C69+'Gulf Mall'!C69+BTC!C69</f>
        <v>0</v>
      </c>
      <c r="D69" s="28">
        <f t="shared" si="23"/>
        <v>0</v>
      </c>
      <c r="E69" s="16">
        <f>HO!E69+'Gulf Mall'!E69+BTC!E69</f>
        <v>0</v>
      </c>
      <c r="F69" s="28">
        <f t="shared" si="24"/>
        <v>0</v>
      </c>
      <c r="G69" s="16">
        <f>HO!G69+'Gulf Mall'!G69+BTC!G69</f>
        <v>0</v>
      </c>
      <c r="H69" s="28">
        <f t="shared" si="25"/>
        <v>0</v>
      </c>
      <c r="I69" s="16">
        <f>HO!I69+'Gulf Mall'!I69+BTC!I69</f>
        <v>0</v>
      </c>
      <c r="J69" s="28">
        <f t="shared" si="26"/>
        <v>0</v>
      </c>
      <c r="K69" s="16">
        <f>HO!K69+'Gulf Mall'!K69+BTC!K69</f>
        <v>0</v>
      </c>
      <c r="L69" s="28">
        <f t="shared" si="27"/>
        <v>0</v>
      </c>
      <c r="M69" s="16">
        <f>HO!M69+'Gulf Mall'!M69+BTC!M69</f>
        <v>0</v>
      </c>
      <c r="N69" s="28">
        <f t="shared" si="28"/>
        <v>0</v>
      </c>
      <c r="O69" s="16">
        <f>HO!O69+'Gulf Mall'!O69+BTC!O69</f>
        <v>0</v>
      </c>
      <c r="P69" s="28">
        <f t="shared" si="29"/>
        <v>0</v>
      </c>
      <c r="Q69" s="16">
        <f>HO!Q69+'Gulf Mall'!Q69+BTC!Q69</f>
        <v>0</v>
      </c>
      <c r="R69" s="28">
        <f t="shared" si="30"/>
        <v>0</v>
      </c>
      <c r="S69" s="16">
        <f>HO!S69+'Gulf Mall'!S69+BTC!S69</f>
        <v>0</v>
      </c>
      <c r="T69" s="28">
        <f t="shared" si="31"/>
        <v>0</v>
      </c>
      <c r="U69" s="16">
        <f>HO!U69+'Gulf Mall'!U69+BTC!U69</f>
        <v>0</v>
      </c>
      <c r="V69" s="28">
        <f t="shared" si="32"/>
        <v>0</v>
      </c>
      <c r="W69" s="16">
        <f>HO!W69+'Gulf Mall'!W69+BTC!W69</f>
        <v>0</v>
      </c>
      <c r="X69" s="28">
        <f t="shared" si="33"/>
        <v>0</v>
      </c>
      <c r="Y69" s="16">
        <f>HO!Y69+'Gulf Mall'!Y69+BTC!Y69</f>
        <v>0</v>
      </c>
      <c r="Z69" s="28">
        <f t="shared" si="34"/>
        <v>0</v>
      </c>
      <c r="AA69" s="59">
        <f t="shared" si="35"/>
        <v>0</v>
      </c>
      <c r="AB69" s="60">
        <f t="shared" si="36"/>
        <v>0</v>
      </c>
      <c r="AC69" s="67">
        <f t="shared" si="37"/>
        <v>0</v>
      </c>
      <c r="AD69" s="68">
        <f t="shared" si="38"/>
        <v>0</v>
      </c>
      <c r="AE69" s="44">
        <f t="shared" si="2"/>
        <v>0</v>
      </c>
      <c r="AF69" s="21">
        <f t="shared" si="3"/>
        <v>0</v>
      </c>
      <c r="AW69" s="44"/>
      <c r="AX69" s="44"/>
    </row>
    <row r="70" spans="1:50">
      <c r="A70" s="2">
        <v>6131</v>
      </c>
      <c r="B70" s="219" t="s">
        <v>235</v>
      </c>
      <c r="C70" s="16">
        <f>HO!C70+'Gulf Mall'!C70+BTC!C70</f>
        <v>4791.67</v>
      </c>
      <c r="D70" s="28">
        <f t="shared" si="23"/>
        <v>6.7824734698509444E-3</v>
      </c>
      <c r="E70" s="16">
        <f>HO!E70+'Gulf Mall'!E70+BTC!E70</f>
        <v>4791.67</v>
      </c>
      <c r="F70" s="28">
        <f t="shared" si="24"/>
        <v>6.2096725199993642E-3</v>
      </c>
      <c r="G70" s="16">
        <f>HO!G70+'Gulf Mall'!G70+BTC!G70</f>
        <v>4791.67</v>
      </c>
      <c r="H70" s="28">
        <f t="shared" si="25"/>
        <v>6.2473344620210952E-3</v>
      </c>
      <c r="I70" s="16">
        <f>HO!I70+'Gulf Mall'!I70+BTC!I70</f>
        <v>4791.67</v>
      </c>
      <c r="J70" s="28">
        <f t="shared" si="26"/>
        <v>6.1497669933879848E-3</v>
      </c>
      <c r="K70" s="16">
        <f>HO!K70+'Gulf Mall'!K70+BTC!K70</f>
        <v>4791.67</v>
      </c>
      <c r="L70" s="28">
        <f t="shared" si="27"/>
        <v>5.7655226139721443E-3</v>
      </c>
      <c r="M70" s="16">
        <f>HO!M70+'Gulf Mall'!M70+BTC!M70</f>
        <v>4791.67</v>
      </c>
      <c r="N70" s="28">
        <f t="shared" si="28"/>
        <v>6.6495015745493798E-3</v>
      </c>
      <c r="O70" s="16">
        <f>HO!O70+'Gulf Mall'!O70+BTC!O70</f>
        <v>4791.67</v>
      </c>
      <c r="P70" s="28">
        <f t="shared" si="29"/>
        <v>6.3407579222153456E-3</v>
      </c>
      <c r="Q70" s="16">
        <f>HO!Q70+'Gulf Mall'!Q70+BTC!Q70</f>
        <v>4791.67</v>
      </c>
      <c r="R70" s="28">
        <f t="shared" si="30"/>
        <v>6.0773953409678071E-3</v>
      </c>
      <c r="S70" s="16">
        <f>HO!S70+'Gulf Mall'!S70+BTC!S70</f>
        <v>4791.67</v>
      </c>
      <c r="T70" s="28">
        <f t="shared" si="31"/>
        <v>6.2546880994674287E-3</v>
      </c>
      <c r="U70" s="16">
        <f>HO!U70+'Gulf Mall'!U70+BTC!U70</f>
        <v>4791.67</v>
      </c>
      <c r="V70" s="28">
        <f t="shared" si="32"/>
        <v>6.2690298499306863E-3</v>
      </c>
      <c r="W70" s="16">
        <f>HO!W70+'Gulf Mall'!W70+BTC!W70</f>
        <v>4791.67</v>
      </c>
      <c r="X70" s="28">
        <f t="shared" si="33"/>
        <v>6.1143290774408141E-3</v>
      </c>
      <c r="Y70" s="16">
        <f>HO!Y70+'Gulf Mall'!Y70+BTC!Y70</f>
        <v>4791.67</v>
      </c>
      <c r="Z70" s="28">
        <f t="shared" si="34"/>
        <v>6.1183283988133202E-3</v>
      </c>
      <c r="AA70" s="59">
        <f t="shared" si="35"/>
        <v>57500.039999999986</v>
      </c>
      <c r="AB70" s="60">
        <f t="shared" si="36"/>
        <v>6.2382123816358721E-3</v>
      </c>
      <c r="AC70" s="67">
        <f t="shared" si="37"/>
        <v>4791.6699999999992</v>
      </c>
      <c r="AD70" s="68">
        <f t="shared" si="38"/>
        <v>6.238212381635873E-3</v>
      </c>
      <c r="AE70" s="44"/>
      <c r="AF70" s="21"/>
      <c r="AW70" s="44"/>
      <c r="AX70" s="44"/>
    </row>
    <row r="71" spans="1:50">
      <c r="A71" s="2">
        <v>6132</v>
      </c>
      <c r="B71" s="219" t="s">
        <v>236</v>
      </c>
      <c r="C71" s="16">
        <f>HO!C71+'Gulf Mall'!C71+BTC!C71</f>
        <v>45.83</v>
      </c>
      <c r="D71" s="28">
        <f t="shared" si="23"/>
        <v>6.4871069819764048E-5</v>
      </c>
      <c r="E71" s="16">
        <f>HO!E71+'Gulf Mall'!E71+BTC!E71</f>
        <v>45.83</v>
      </c>
      <c r="F71" s="28">
        <f t="shared" si="24"/>
        <v>5.9392506493888527E-5</v>
      </c>
      <c r="G71" s="16">
        <f>HO!G71+'Gulf Mall'!G71+BTC!G71</f>
        <v>45.83</v>
      </c>
      <c r="H71" s="28">
        <f t="shared" si="25"/>
        <v>5.9752724706506665E-5</v>
      </c>
      <c r="I71" s="16">
        <f>HO!I71+'Gulf Mall'!I71+BTC!I71</f>
        <v>45.83</v>
      </c>
      <c r="J71" s="28">
        <f t="shared" si="26"/>
        <v>5.8819539180905897E-5</v>
      </c>
      <c r="K71" s="16">
        <f>HO!K71+'Gulf Mall'!K71+BTC!K71</f>
        <v>45.83</v>
      </c>
      <c r="L71" s="28">
        <f t="shared" si="27"/>
        <v>5.5144428017443475E-5</v>
      </c>
      <c r="M71" s="16">
        <f>HO!M71+'Gulf Mall'!M71+BTC!M71</f>
        <v>6615.83</v>
      </c>
      <c r="N71" s="28">
        <f t="shared" si="28"/>
        <v>9.1809269006319343E-3</v>
      </c>
      <c r="O71" s="16">
        <f>HO!O71+'Gulf Mall'!O71+BTC!O71</f>
        <v>45.83</v>
      </c>
      <c r="P71" s="28">
        <f t="shared" si="29"/>
        <v>6.0646274800879292E-5</v>
      </c>
      <c r="Q71" s="16">
        <f>HO!Q71+'Gulf Mall'!Q71+BTC!Q71</f>
        <v>45.83</v>
      </c>
      <c r="R71" s="28">
        <f t="shared" si="30"/>
        <v>5.8127339419566578E-5</v>
      </c>
      <c r="S71" s="16">
        <f>HO!S71+'Gulf Mall'!S71+BTC!S71</f>
        <v>45.83</v>
      </c>
      <c r="T71" s="28">
        <f t="shared" si="31"/>
        <v>5.9823058682795819E-5</v>
      </c>
      <c r="U71" s="16">
        <f>HO!U71+'Gulf Mall'!U71+BTC!U71</f>
        <v>45.83</v>
      </c>
      <c r="V71" s="28">
        <f t="shared" si="32"/>
        <v>5.9960230571454909E-5</v>
      </c>
      <c r="W71" s="16">
        <f>HO!W71+'Gulf Mall'!W71+BTC!W71</f>
        <v>45.83</v>
      </c>
      <c r="X71" s="28">
        <f t="shared" si="33"/>
        <v>5.8480592699228559E-5</v>
      </c>
      <c r="Y71" s="16">
        <f>HO!Y71+'Gulf Mall'!Y71+BTC!Y71</f>
        <v>45.83</v>
      </c>
      <c r="Z71" s="28">
        <f t="shared" si="34"/>
        <v>5.8518844268827874E-5</v>
      </c>
      <c r="AA71" s="59">
        <f t="shared" si="35"/>
        <v>7119.9599999999991</v>
      </c>
      <c r="AB71" s="60">
        <f t="shared" si="36"/>
        <v>7.7244855184017524E-4</v>
      </c>
      <c r="AC71" s="67">
        <f t="shared" si="37"/>
        <v>593.32999999999993</v>
      </c>
      <c r="AD71" s="68">
        <f t="shared" si="38"/>
        <v>7.7244855184017524E-4</v>
      </c>
      <c r="AE71" s="44"/>
      <c r="AF71" s="21"/>
      <c r="AW71" s="44"/>
      <c r="AX71" s="44"/>
    </row>
    <row r="72" spans="1:50">
      <c r="A72" s="2">
        <v>6133</v>
      </c>
      <c r="B72" s="219" t="s">
        <v>237</v>
      </c>
      <c r="C72" s="16">
        <f>HO!C72+'Gulf Mall'!C72+BTC!C72</f>
        <v>1600</v>
      </c>
      <c r="D72" s="28">
        <f t="shared" si="23"/>
        <v>2.264754783146901E-3</v>
      </c>
      <c r="E72" s="16">
        <f>HO!E72+'Gulf Mall'!E72+BTC!E72</f>
        <v>1600</v>
      </c>
      <c r="F72" s="28">
        <f t="shared" si="24"/>
        <v>2.0734892077290345E-3</v>
      </c>
      <c r="G72" s="16">
        <f>HO!G72+'Gulf Mall'!G72+BTC!G72</f>
        <v>1600</v>
      </c>
      <c r="H72" s="28">
        <f t="shared" si="25"/>
        <v>2.0860650126644266E-3</v>
      </c>
      <c r="I72" s="16">
        <f>HO!I72+'Gulf Mall'!I72+BTC!I72</f>
        <v>1600</v>
      </c>
      <c r="J72" s="28">
        <f t="shared" si="26"/>
        <v>2.0534859849323465E-3</v>
      </c>
      <c r="K72" s="16">
        <f>HO!K72+'Gulf Mall'!K72+BTC!K72</f>
        <v>1600</v>
      </c>
      <c r="L72" s="28">
        <f t="shared" si="27"/>
        <v>1.925181864017228E-3</v>
      </c>
      <c r="M72" s="16">
        <f>HO!M72+'Gulf Mall'!M72+BTC!M72</f>
        <v>1600</v>
      </c>
      <c r="N72" s="28">
        <f t="shared" si="28"/>
        <v>2.2203537637773487E-3</v>
      </c>
      <c r="O72" s="16">
        <f>HO!O72+'Gulf Mall'!O72+BTC!O72</f>
        <v>1600</v>
      </c>
      <c r="P72" s="28">
        <f t="shared" si="29"/>
        <v>2.1172603028890872E-3</v>
      </c>
      <c r="Q72" s="16">
        <f>HO!Q72+'Gulf Mall'!Q72+BTC!Q72</f>
        <v>1600</v>
      </c>
      <c r="R72" s="28">
        <f t="shared" si="30"/>
        <v>2.0293201630221806E-3</v>
      </c>
      <c r="S72" s="16">
        <f>HO!S72+'Gulf Mall'!S72+BTC!S72</f>
        <v>1600</v>
      </c>
      <c r="T72" s="28">
        <f t="shared" si="31"/>
        <v>2.0885204864166118E-3</v>
      </c>
      <c r="U72" s="16">
        <f>HO!U72+'Gulf Mall'!U72+BTC!U72</f>
        <v>1600</v>
      </c>
      <c r="V72" s="28">
        <f t="shared" si="32"/>
        <v>2.0933093806311991E-3</v>
      </c>
      <c r="W72" s="16">
        <f>HO!W72+'Gulf Mall'!W72+BTC!W72</f>
        <v>1600</v>
      </c>
      <c r="X72" s="28">
        <f t="shared" si="33"/>
        <v>2.0416528107956729E-3</v>
      </c>
      <c r="Y72" s="16">
        <f>HO!Y72+'Gulf Mall'!Y72+BTC!Y72</f>
        <v>1600</v>
      </c>
      <c r="Z72" s="28">
        <f t="shared" si="34"/>
        <v>2.0429882354380232E-3</v>
      </c>
      <c r="AA72" s="59">
        <f t="shared" si="35"/>
        <v>19200</v>
      </c>
      <c r="AB72" s="60">
        <f t="shared" si="36"/>
        <v>2.0830190331590859E-3</v>
      </c>
      <c r="AC72" s="67">
        <f t="shared" si="37"/>
        <v>1600</v>
      </c>
      <c r="AD72" s="68">
        <f t="shared" si="38"/>
        <v>2.0830190331590859E-3</v>
      </c>
      <c r="AE72" s="44"/>
      <c r="AF72" s="21"/>
      <c r="AW72" s="44"/>
      <c r="AX72" s="44"/>
    </row>
    <row r="73" spans="1:50">
      <c r="A73" s="2">
        <v>6134</v>
      </c>
      <c r="B73" s="219" t="s">
        <v>238</v>
      </c>
      <c r="C73" s="16">
        <f>HO!C73+'Gulf Mall'!C73+BTC!C73</f>
        <v>145.83000000000001</v>
      </c>
      <c r="D73" s="28">
        <f t="shared" si="23"/>
        <v>2.0641824376644538E-4</v>
      </c>
      <c r="E73" s="16">
        <f>HO!E73+'Gulf Mall'!E73+BTC!E73</f>
        <v>145.83000000000001</v>
      </c>
      <c r="F73" s="28">
        <f t="shared" si="24"/>
        <v>1.889855819769532E-4</v>
      </c>
      <c r="G73" s="16">
        <f>HO!G73+'Gulf Mall'!G73+BTC!G73</f>
        <v>145.83000000000001</v>
      </c>
      <c r="H73" s="28">
        <f t="shared" si="25"/>
        <v>1.9013178799803335E-4</v>
      </c>
      <c r="I73" s="16">
        <f>HO!I73+'Gulf Mall'!I73+BTC!I73</f>
        <v>145.83000000000001</v>
      </c>
      <c r="J73" s="28">
        <f t="shared" si="26"/>
        <v>1.8716241323917757E-4</v>
      </c>
      <c r="K73" s="16">
        <f>HO!K73+'Gulf Mall'!K73+BTC!K73</f>
        <v>145.83000000000001</v>
      </c>
      <c r="L73" s="28">
        <f t="shared" si="27"/>
        <v>1.7546829451852024E-4</v>
      </c>
      <c r="M73" s="16">
        <f>HO!M73+'Gulf Mall'!M73+BTC!M73</f>
        <v>145.83000000000001</v>
      </c>
      <c r="N73" s="28">
        <f t="shared" si="28"/>
        <v>2.0237136835728173E-4</v>
      </c>
      <c r="O73" s="16">
        <f>HO!O73+'Gulf Mall'!O73+BTC!O73</f>
        <v>145.83000000000001</v>
      </c>
      <c r="P73" s="28">
        <f t="shared" si="29"/>
        <v>1.9297504373144727E-4</v>
      </c>
      <c r="Q73" s="16">
        <f>HO!Q73+'Gulf Mall'!Q73+BTC!Q73</f>
        <v>145.83000000000001</v>
      </c>
      <c r="R73" s="28">
        <f t="shared" si="30"/>
        <v>1.8495984960845287E-4</v>
      </c>
      <c r="S73" s="16">
        <f>HO!S73+'Gulf Mall'!S73+BTC!S73</f>
        <v>145.83000000000001</v>
      </c>
      <c r="T73" s="28">
        <f t="shared" si="31"/>
        <v>1.9035558908383408E-4</v>
      </c>
      <c r="U73" s="16">
        <f>HO!U73+'Gulf Mall'!U73+BTC!U73</f>
        <v>145.83000000000001</v>
      </c>
      <c r="V73" s="28">
        <f t="shared" si="32"/>
        <v>1.9079206686090487E-4</v>
      </c>
      <c r="W73" s="16">
        <f>HO!W73+'Gulf Mall'!W73+BTC!W73</f>
        <v>145.83000000000001</v>
      </c>
      <c r="X73" s="28">
        <f t="shared" si="33"/>
        <v>1.8608389337395814E-4</v>
      </c>
      <c r="Y73" s="16">
        <f>HO!Y73+'Gulf Mall'!Y73+BTC!Y73</f>
        <v>145.83000000000001</v>
      </c>
      <c r="Z73" s="28">
        <f t="shared" si="34"/>
        <v>1.8620560898370434E-4</v>
      </c>
      <c r="AA73" s="59">
        <f t="shared" si="35"/>
        <v>1749.9599999999998</v>
      </c>
      <c r="AB73" s="60">
        <f t="shared" si="36"/>
        <v>1.8985416600349344E-4</v>
      </c>
      <c r="AC73" s="67">
        <f t="shared" si="37"/>
        <v>145.82999999999998</v>
      </c>
      <c r="AD73" s="68">
        <f t="shared" si="38"/>
        <v>1.8985416600349344E-4</v>
      </c>
      <c r="AE73" s="44"/>
      <c r="AF73" s="21"/>
      <c r="AW73" s="44"/>
      <c r="AX73" s="44"/>
    </row>
    <row r="74" spans="1:50">
      <c r="A74" s="2">
        <v>6135</v>
      </c>
      <c r="B74" s="219" t="s">
        <v>239</v>
      </c>
      <c r="C74" s="16">
        <f>HO!C74+'Gulf Mall'!C74+BTC!C74</f>
        <v>4500</v>
      </c>
      <c r="D74" s="28">
        <f t="shared" si="23"/>
        <v>6.3696228276006591E-3</v>
      </c>
      <c r="E74" s="16">
        <f>HO!E74+'Gulf Mall'!E74+BTC!E74</f>
        <v>4500</v>
      </c>
      <c r="F74" s="28">
        <f t="shared" si="24"/>
        <v>5.8316883967379097E-3</v>
      </c>
      <c r="G74" s="16">
        <f>HO!G74+'Gulf Mall'!G74+BTC!G74</f>
        <v>4500</v>
      </c>
      <c r="H74" s="28">
        <f t="shared" si="25"/>
        <v>5.8670578481186996E-3</v>
      </c>
      <c r="I74" s="16">
        <f>HO!I74+'Gulf Mall'!I74+BTC!I74</f>
        <v>4500</v>
      </c>
      <c r="J74" s="28">
        <f t="shared" si="26"/>
        <v>5.7754293326222244E-3</v>
      </c>
      <c r="K74" s="16">
        <f>HO!K74+'Gulf Mall'!K74+BTC!K74</f>
        <v>4500</v>
      </c>
      <c r="L74" s="28">
        <f t="shared" si="27"/>
        <v>5.4145739925484538E-3</v>
      </c>
      <c r="M74" s="16">
        <f>HO!M74+'Gulf Mall'!M74+BTC!M74</f>
        <v>4500</v>
      </c>
      <c r="N74" s="28">
        <f t="shared" si="28"/>
        <v>6.2447449606237923E-3</v>
      </c>
      <c r="O74" s="16">
        <f>HO!O74+'Gulf Mall'!O74+BTC!O74</f>
        <v>4500</v>
      </c>
      <c r="P74" s="28">
        <f t="shared" si="29"/>
        <v>5.9547946018755583E-3</v>
      </c>
      <c r="Q74" s="16">
        <f>HO!Q74+'Gulf Mall'!Q74+BTC!Q74</f>
        <v>4500</v>
      </c>
      <c r="R74" s="28">
        <f t="shared" si="30"/>
        <v>5.7074629584998827E-3</v>
      </c>
      <c r="S74" s="16">
        <f>HO!S74+'Gulf Mall'!S74+BTC!S74</f>
        <v>4500</v>
      </c>
      <c r="T74" s="28">
        <f t="shared" si="31"/>
        <v>5.8739638680467207E-3</v>
      </c>
      <c r="U74" s="16">
        <f>HO!U74+'Gulf Mall'!U74+BTC!U74</f>
        <v>4500</v>
      </c>
      <c r="V74" s="28">
        <f t="shared" si="32"/>
        <v>5.8874326330252474E-3</v>
      </c>
      <c r="W74" s="16">
        <f>HO!W74+'Gulf Mall'!W74+BTC!W74</f>
        <v>4500</v>
      </c>
      <c r="X74" s="28">
        <f t="shared" si="33"/>
        <v>5.7421485303628308E-3</v>
      </c>
      <c r="Y74" s="16">
        <f>HO!Y74+'Gulf Mall'!Y74+BTC!Y74</f>
        <v>4500</v>
      </c>
      <c r="Z74" s="28">
        <f t="shared" si="34"/>
        <v>5.7459044121694405E-3</v>
      </c>
      <c r="AA74" s="59">
        <f t="shared" si="35"/>
        <v>54000</v>
      </c>
      <c r="AB74" s="60">
        <f t="shared" si="36"/>
        <v>5.8584910307599297E-3</v>
      </c>
      <c r="AC74" s="67">
        <f t="shared" si="37"/>
        <v>4500</v>
      </c>
      <c r="AD74" s="68">
        <f t="shared" si="38"/>
        <v>5.8584910307599297E-3</v>
      </c>
      <c r="AE74" s="44"/>
      <c r="AF74" s="21"/>
      <c r="AW74" s="44"/>
      <c r="AX74" s="44"/>
    </row>
    <row r="75" spans="1:50">
      <c r="A75" s="2">
        <v>6136</v>
      </c>
      <c r="B75" s="219" t="s">
        <v>257</v>
      </c>
      <c r="C75" s="16">
        <f>HO!C75+'Gulf Mall'!C75+BTC!C75</f>
        <v>3150</v>
      </c>
      <c r="D75" s="28">
        <f t="shared" si="23"/>
        <v>4.4587359793204617E-3</v>
      </c>
      <c r="E75" s="16">
        <f>HO!E75+'Gulf Mall'!E75+BTC!E75</f>
        <v>3150</v>
      </c>
      <c r="F75" s="28">
        <f t="shared" si="24"/>
        <v>4.0821818777165364E-3</v>
      </c>
      <c r="G75" s="16">
        <f>HO!G75+'Gulf Mall'!G75+BTC!G75</f>
        <v>3150</v>
      </c>
      <c r="H75" s="28">
        <f t="shared" si="25"/>
        <v>4.10694049368309E-3</v>
      </c>
      <c r="I75" s="16">
        <f>HO!I75+'Gulf Mall'!I75+BTC!I75</f>
        <v>3150</v>
      </c>
      <c r="J75" s="28">
        <f t="shared" si="26"/>
        <v>4.042800532835557E-3</v>
      </c>
      <c r="K75" s="16">
        <f>HO!K75+'Gulf Mall'!K75+BTC!K75</f>
        <v>3150</v>
      </c>
      <c r="L75" s="28">
        <f t="shared" si="27"/>
        <v>3.7902017947839175E-3</v>
      </c>
      <c r="M75" s="16">
        <f>HO!M75+'Gulf Mall'!M75+BTC!M75</f>
        <v>3150</v>
      </c>
      <c r="N75" s="28">
        <f t="shared" si="28"/>
        <v>4.371321472436655E-3</v>
      </c>
      <c r="O75" s="16">
        <f>HO!O75+'Gulf Mall'!O75+BTC!O75</f>
        <v>3150</v>
      </c>
      <c r="P75" s="28">
        <f t="shared" si="29"/>
        <v>4.1683562213128906E-3</v>
      </c>
      <c r="Q75" s="16">
        <f>HO!Q75+'Gulf Mall'!Q75+BTC!Q75</f>
        <v>3150</v>
      </c>
      <c r="R75" s="28">
        <f t="shared" si="30"/>
        <v>3.9952240709499182E-3</v>
      </c>
      <c r="S75" s="16">
        <f>HO!S75+'Gulf Mall'!S75+BTC!S75</f>
        <v>3150</v>
      </c>
      <c r="T75" s="28">
        <f t="shared" si="31"/>
        <v>4.1117747076327045E-3</v>
      </c>
      <c r="U75" s="16">
        <f>HO!U75+'Gulf Mall'!U75+BTC!U75</f>
        <v>3150</v>
      </c>
      <c r="V75" s="28">
        <f t="shared" si="32"/>
        <v>4.1212028431176738E-3</v>
      </c>
      <c r="W75" s="16">
        <f>HO!W75+'Gulf Mall'!W75+BTC!W75</f>
        <v>3150</v>
      </c>
      <c r="X75" s="28">
        <f t="shared" si="33"/>
        <v>4.0195039712539815E-3</v>
      </c>
      <c r="Y75" s="16">
        <f>HO!Y75+'Gulf Mall'!Y75+BTC!Y75</f>
        <v>3150</v>
      </c>
      <c r="Z75" s="28">
        <f t="shared" si="34"/>
        <v>4.022133088518608E-3</v>
      </c>
      <c r="AA75" s="59">
        <f t="shared" si="35"/>
        <v>37800</v>
      </c>
      <c r="AB75" s="60">
        <f t="shared" si="36"/>
        <v>4.1009437215319506E-3</v>
      </c>
      <c r="AC75" s="67">
        <f t="shared" si="37"/>
        <v>3150</v>
      </c>
      <c r="AD75" s="68">
        <f t="shared" si="38"/>
        <v>4.1009437215319506E-3</v>
      </c>
      <c r="AE75" s="44"/>
      <c r="AF75" s="21"/>
      <c r="AW75" s="44"/>
      <c r="AX75" s="44"/>
    </row>
    <row r="76" spans="1:50" ht="15.75" thickBot="1">
      <c r="A76" s="39">
        <v>6199</v>
      </c>
      <c r="B76" s="39" t="s">
        <v>23</v>
      </c>
      <c r="C76" s="31">
        <f>HO!C76+'Gulf Mall'!C76+BTC!C76</f>
        <v>409088.73386029009</v>
      </c>
      <c r="D76" s="52">
        <f t="shared" ref="D76:D77" si="39">C76/C$145</f>
        <v>0.57905354171350099</v>
      </c>
      <c r="E76" s="31">
        <f>HO!E76+'Gulf Mall'!E76+BTC!E76</f>
        <v>407889.82990856271</v>
      </c>
      <c r="F76" s="52">
        <f t="shared" ref="F76:F77" si="40">E76/E$145</f>
        <v>0.52859697516114768</v>
      </c>
      <c r="G76" s="31">
        <f>HO!G76+'Gulf Mall'!G76+BTC!G76</f>
        <v>410657.74979038117</v>
      </c>
      <c r="H76" s="52">
        <f t="shared" ref="H76:H77" si="41">G76/G$145</f>
        <v>0.53541172751076027</v>
      </c>
      <c r="I76" s="31">
        <f>HO!I76+'Gulf Mall'!I76+BTC!I76</f>
        <v>409842.27606237936</v>
      </c>
      <c r="J76" s="52">
        <f t="shared" ref="J76:J77" si="42">I76/I$145</f>
        <v>0.5260033562042935</v>
      </c>
      <c r="K76" s="31">
        <f>HO!K76+'Gulf Mall'!K76+BTC!K76</f>
        <v>409316.7319963749</v>
      </c>
      <c r="L76" s="52">
        <f t="shared" ref="L76:L77" si="43">K76/K$145</f>
        <v>0.49250571817388822</v>
      </c>
      <c r="M76" s="31">
        <f>HO!M76+'Gulf Mall'!M76+BTC!M76</f>
        <v>418989.36787800572</v>
      </c>
      <c r="N76" s="52">
        <f t="shared" ref="N76:N77" si="44">M76/M$145</f>
        <v>0.58144038746913884</v>
      </c>
      <c r="O76" s="31">
        <f>HO!O76+'Gulf Mall'!O76+BTC!O76</f>
        <v>414041.17237669951</v>
      </c>
      <c r="P76" s="52">
        <f t="shared" ref="P76:P77" si="45">O76/O$145</f>
        <v>0.54789558627177726</v>
      </c>
      <c r="Q76" s="31">
        <f>HO!Q76+'Gulf Mall'!Q76+BTC!Q76</f>
        <v>409962.66581091256</v>
      </c>
      <c r="R76" s="52">
        <f t="shared" ref="R76:R77" si="46">Q76/Q$145</f>
        <v>0.51996593988525552</v>
      </c>
      <c r="S76" s="31">
        <f>HO!S76+'Gulf Mall'!S76+BTC!S76</f>
        <v>410008.96660314145</v>
      </c>
      <c r="T76" s="52">
        <f t="shared" ref="T76:AD77" si="47">S76/S$145</f>
        <v>0.53519507897822838</v>
      </c>
      <c r="U76" s="31">
        <f>HO!U76+'Gulf Mall'!U76+BTC!U76</f>
        <v>408701.87954338186</v>
      </c>
      <c r="V76" s="52">
        <f t="shared" ref="V76:V77" si="48">U76/U$145</f>
        <v>0.53471217395610227</v>
      </c>
      <c r="W76" s="31">
        <f>HO!W76+'Gulf Mall'!W76+BTC!W76</f>
        <v>408789.32525889261</v>
      </c>
      <c r="X76" s="52">
        <f t="shared" ref="X76:X77" si="49">W76/W$145</f>
        <v>0.52162867183630302</v>
      </c>
      <c r="Y76" s="31">
        <f>HO!Y76+'Gulf Mall'!Y76+BTC!Y76</f>
        <v>426944.26832709427</v>
      </c>
      <c r="Z76" s="52">
        <f t="shared" ref="Z76:Z94" si="50">Y76/Y$145</f>
        <v>0.54515132336246763</v>
      </c>
      <c r="AA76" s="61">
        <f>SUM(AA42:AA75)</f>
        <v>4944232.967416116</v>
      </c>
      <c r="AB76" s="74">
        <f t="shared" si="47"/>
        <v>0.53640267580731238</v>
      </c>
      <c r="AC76" s="24">
        <f t="shared" ref="AC76:AC148" si="51">AA76/12</f>
        <v>412019.41395134298</v>
      </c>
      <c r="AD76" s="77">
        <f t="shared" si="47"/>
        <v>0.53640267580731227</v>
      </c>
      <c r="AE76" s="44">
        <f t="shared" ref="AE76:AE149" si="52">C76+E76+G76+I76+K76+M76+O76+Q76+S76+U76+W76+Y76</f>
        <v>4944232.967416116</v>
      </c>
      <c r="AF76" s="21">
        <f t="shared" ref="AF76:AF149" si="53">AA76-AE76</f>
        <v>0</v>
      </c>
      <c r="AG76" s="116">
        <v>70000</v>
      </c>
      <c r="AH76" s="83" t="s">
        <v>132</v>
      </c>
      <c r="AW76" s="44"/>
      <c r="AX76" s="44"/>
    </row>
    <row r="77" spans="1:50" ht="15.75" thickTop="1">
      <c r="A77" s="2">
        <v>6201</v>
      </c>
      <c r="B77" s="2" t="s">
        <v>24</v>
      </c>
      <c r="C77" s="16">
        <f>HO!C77+'Gulf Mall'!C77+BTC!C77</f>
        <v>400058.70999999996</v>
      </c>
      <c r="D77" s="28">
        <f t="shared" si="39"/>
        <v>0.56627179813254924</v>
      </c>
      <c r="E77" s="16">
        <f>HO!E77+'Gulf Mall'!E77+BTC!E77</f>
        <v>400058.70999999996</v>
      </c>
      <c r="F77" s="28">
        <f t="shared" si="40"/>
        <v>0.51844838602687471</v>
      </c>
      <c r="G77" s="16">
        <f>HO!G77+'Gulf Mall'!G77+BTC!G77</f>
        <v>400058.70999999996</v>
      </c>
      <c r="H77" s="28">
        <f t="shared" si="41"/>
        <v>0.52159279871416508</v>
      </c>
      <c r="I77" s="16">
        <f>HO!I77+'Gulf Mall'!I77+BTC!I77</f>
        <v>400058.70999999996</v>
      </c>
      <c r="J77" s="28">
        <f t="shared" si="42"/>
        <v>0.51344684633444615</v>
      </c>
      <c r="K77" s="16">
        <f>HO!K77+'Gulf Mall'!K77+BTC!K77</f>
        <v>400058.70999999996</v>
      </c>
      <c r="L77" s="28">
        <f t="shared" si="43"/>
        <v>0.48136610814632974</v>
      </c>
      <c r="M77" s="16">
        <f>HO!M77+'Gulf Mall'!M77+BTC!M77</f>
        <v>400058.70999999996</v>
      </c>
      <c r="N77" s="28">
        <f t="shared" si="44"/>
        <v>0.55516991405025673</v>
      </c>
      <c r="O77" s="16">
        <f>HO!O77+'Gulf Mall'!O77+BTC!O77</f>
        <v>400058.70999999996</v>
      </c>
      <c r="P77" s="28">
        <f t="shared" si="45"/>
        <v>0.52939276594251095</v>
      </c>
      <c r="Q77" s="16">
        <f>HO!Q77+'Gulf Mall'!Q77+BTC!Q77</f>
        <v>400058.70999999996</v>
      </c>
      <c r="R77" s="28">
        <f t="shared" si="46"/>
        <v>0.507404504122277</v>
      </c>
      <c r="S77" s="16">
        <f>HO!S77+'Gulf Mall'!S77+BTC!S77</f>
        <v>400058.70999999996</v>
      </c>
      <c r="T77" s="28">
        <f t="shared" si="47"/>
        <v>0.52220675725275134</v>
      </c>
      <c r="U77" s="16">
        <f>HO!U77+'Gulf Mall'!U77+BTC!U77</f>
        <v>400058.70999999996</v>
      </c>
      <c r="V77" s="28">
        <f t="shared" si="48"/>
        <v>0.52340415652888528</v>
      </c>
      <c r="W77" s="16">
        <f>HO!W77+'Gulf Mall'!W77+BTC!W77</f>
        <v>400058.70999999996</v>
      </c>
      <c r="X77" s="28">
        <f t="shared" si="49"/>
        <v>0.51048811859674437</v>
      </c>
      <c r="Y77" s="16">
        <f>HO!Y77+'Gulf Mall'!Y77+BTC!Y77</f>
        <v>400058.70999999996</v>
      </c>
      <c r="Z77" s="28">
        <f t="shared" si="50"/>
        <v>0.51082202375906982</v>
      </c>
      <c r="AA77" s="59">
        <f t="shared" ref="AA77" si="54">C77+E77+G77+I77+K77+M77+O77+Q77+S77+U77+W77+Y77</f>
        <v>4800704.5199999996</v>
      </c>
      <c r="AB77" s="60">
        <f t="shared" si="47"/>
        <v>0.52083119206941941</v>
      </c>
      <c r="AC77" s="67">
        <f t="shared" si="51"/>
        <v>400058.70999999996</v>
      </c>
      <c r="AD77" s="68">
        <f t="shared" si="47"/>
        <v>0.52083119206941941</v>
      </c>
      <c r="AE77" s="44">
        <f t="shared" si="52"/>
        <v>4800704.5199999996</v>
      </c>
      <c r="AF77" s="21">
        <f t="shared" si="53"/>
        <v>0</v>
      </c>
      <c r="AG77" s="16">
        <v>163021.54900000003</v>
      </c>
      <c r="AI77" s="1">
        <v>6000</v>
      </c>
      <c r="AJ77" s="44">
        <f>AI77/AG77*100</f>
        <v>3.6804950246178794</v>
      </c>
      <c r="AW77" s="44"/>
      <c r="AX77" s="44"/>
    </row>
    <row r="78" spans="1:50">
      <c r="A78" s="2">
        <v>6202</v>
      </c>
      <c r="B78" s="2" t="s">
        <v>25</v>
      </c>
      <c r="C78" s="16">
        <f>HO!C78+'Gulf Mall'!C78+BTC!C78</f>
        <v>164951.29999999999</v>
      </c>
      <c r="D78" s="28">
        <f t="shared" ref="D78:D92" si="55">C78/C$145</f>
        <v>0.23348390353831211</v>
      </c>
      <c r="E78" s="16">
        <f>HO!E78+'Gulf Mall'!E78+BTC!E78</f>
        <v>164951.29999999999</v>
      </c>
      <c r="F78" s="28">
        <f t="shared" ref="F78:F92" si="56">E78/E$145</f>
        <v>0.21376546271929642</v>
      </c>
      <c r="G78" s="16">
        <f>HO!G78+'Gulf Mall'!G78+BTC!G78</f>
        <v>164951.29999999999</v>
      </c>
      <c r="H78" s="28">
        <f t="shared" ref="H78:H92" si="57">G78/G$145</f>
        <v>0.215061959827196</v>
      </c>
      <c r="I78" s="16">
        <f>HO!I78+'Gulf Mall'!I78+BTC!I78</f>
        <v>164951.29999999999</v>
      </c>
      <c r="J78" s="28">
        <f t="shared" ref="J78:J92" si="58">I78/I$145</f>
        <v>0.21170323921648182</v>
      </c>
      <c r="K78" s="16">
        <f>HO!K78+'Gulf Mall'!K78+BTC!K78</f>
        <v>164951.29999999999</v>
      </c>
      <c r="L78" s="28">
        <f t="shared" ref="L78:L92" si="59">K78/K$145</f>
        <v>0.1984757820037906</v>
      </c>
      <c r="M78" s="16">
        <f>HO!M78+'Gulf Mall'!M78+BTC!M78</f>
        <v>164951.29999999999</v>
      </c>
      <c r="N78" s="28">
        <f t="shared" ref="N78:N92" si="60">M78/M$145</f>
        <v>0.22890639987185407</v>
      </c>
      <c r="O78" s="16">
        <f>HO!O78+'Gulf Mall'!O78+BTC!O78</f>
        <v>164951.29999999999</v>
      </c>
      <c r="P78" s="28">
        <f t="shared" ref="P78:P92" si="61">O78/O$145</f>
        <v>0.21827802462496793</v>
      </c>
      <c r="Q78" s="16">
        <f>HO!Q78+'Gulf Mall'!Q78+BTC!Q78</f>
        <v>164951.29999999999</v>
      </c>
      <c r="R78" s="28">
        <f t="shared" ref="R78:R92" si="62">Q78/Q$145</f>
        <v>0.20921187437920036</v>
      </c>
      <c r="S78" s="16">
        <f>HO!S78+'Gulf Mall'!S78+BTC!S78</f>
        <v>164951.29999999999</v>
      </c>
      <c r="T78" s="28">
        <f t="shared" ref="T78:T92" si="63">S78/S$145</f>
        <v>0.21531510581940777</v>
      </c>
      <c r="U78" s="16">
        <f>HO!U78+'Gulf Mall'!U78+BTC!U78</f>
        <v>164951.29999999999</v>
      </c>
      <c r="V78" s="28">
        <f t="shared" ref="V78:V92" si="64">U78/U$145</f>
        <v>0.21580881477331945</v>
      </c>
      <c r="W78" s="16">
        <f>HO!W78+'Gulf Mall'!W78+BTC!W78</f>
        <v>164951.29999999999</v>
      </c>
      <c r="X78" s="28">
        <f t="shared" ref="X78:X92" si="65">W78/W$145</f>
        <v>0.21048330330587517</v>
      </c>
      <c r="Y78" s="16">
        <f>HO!Y78+'Gulf Mall'!Y78+BTC!Y78</f>
        <v>164951.29999999999</v>
      </c>
      <c r="Z78" s="28">
        <f t="shared" ref="Z78:Z92" si="66">Y78/Y$145</f>
        <v>0.21062097832512999</v>
      </c>
      <c r="AA78" s="59">
        <f t="shared" ref="AA78:AA92" si="67">C78+E78+G78+I78+K78+M78+O78+Q78+S78+U78+W78+Y78</f>
        <v>1979415.6000000003</v>
      </c>
      <c r="AB78" s="60">
        <f t="shared" ref="AB78:AB92" si="68">AA78/AA$145</f>
        <v>0.21474793590270902</v>
      </c>
      <c r="AC78" s="67">
        <f t="shared" ref="AC78:AC92" si="69">AA78/12</f>
        <v>164951.30000000002</v>
      </c>
      <c r="AD78" s="68">
        <f t="shared" ref="AD78:AD92" si="70">AC78/AC$145</f>
        <v>0.21474793590270899</v>
      </c>
      <c r="AE78" s="44">
        <f t="shared" si="52"/>
        <v>1979415.6000000003</v>
      </c>
      <c r="AF78" s="21">
        <f t="shared" si="53"/>
        <v>0</v>
      </c>
      <c r="AG78" s="16">
        <v>68639.687000000005</v>
      </c>
      <c r="AW78" s="44"/>
      <c r="AX78" s="44"/>
    </row>
    <row r="79" spans="1:50">
      <c r="A79" s="2">
        <v>6203</v>
      </c>
      <c r="B79" s="2" t="s">
        <v>26</v>
      </c>
      <c r="C79" s="16">
        <f>HO!C79+'Gulf Mall'!C79+BTC!C79</f>
        <v>61317.490000000005</v>
      </c>
      <c r="D79" s="28">
        <f t="shared" si="55"/>
        <v>8.6793174230038919E-2</v>
      </c>
      <c r="E79" s="16">
        <f>HO!E79+'Gulf Mall'!E79+BTC!E79</f>
        <v>61317.490000000005</v>
      </c>
      <c r="F79" s="28">
        <f t="shared" si="56"/>
        <v>7.9463221100020631E-2</v>
      </c>
      <c r="G79" s="16">
        <f>HO!G79+'Gulf Mall'!G79+BTC!G79</f>
        <v>61317.490000000005</v>
      </c>
      <c r="H79" s="28">
        <f t="shared" si="57"/>
        <v>7.994516909587554E-2</v>
      </c>
      <c r="I79" s="16">
        <f>HO!I79+'Gulf Mall'!I79+BTC!I79</f>
        <v>61317.490000000005</v>
      </c>
      <c r="J79" s="28">
        <f t="shared" si="58"/>
        <v>7.8696628966393317E-2</v>
      </c>
      <c r="K79" s="16">
        <f>HO!K79+'Gulf Mall'!K79+BTC!K79</f>
        <v>61317.490000000005</v>
      </c>
      <c r="L79" s="28">
        <f t="shared" si="59"/>
        <v>7.3779574809411094E-2</v>
      </c>
      <c r="M79" s="16">
        <f>HO!M79+'Gulf Mall'!M79+BTC!M79</f>
        <v>61317.490000000005</v>
      </c>
      <c r="N79" s="28">
        <f t="shared" si="60"/>
        <v>8.5091574816799964E-2</v>
      </c>
      <c r="O79" s="16">
        <f>HO!O79+'Gulf Mall'!O79+BTC!O79</f>
        <v>61317.490000000005</v>
      </c>
      <c r="P79" s="28">
        <f t="shared" si="61"/>
        <v>8.1140679656124121E-2</v>
      </c>
      <c r="Q79" s="16">
        <f>HO!Q79+'Gulf Mall'!Q79+BTC!Q79</f>
        <v>61317.490000000005</v>
      </c>
      <c r="R79" s="28">
        <f t="shared" si="62"/>
        <v>7.777051175181933E-2</v>
      </c>
      <c r="S79" s="16">
        <f>HO!S79+'Gulf Mall'!S79+BTC!S79</f>
        <v>61317.490000000005</v>
      </c>
      <c r="T79" s="28">
        <f t="shared" si="63"/>
        <v>8.0039271275403584E-2</v>
      </c>
      <c r="U79" s="16">
        <f>HO!U79+'Gulf Mall'!U79+BTC!U79</f>
        <v>61317.490000000005</v>
      </c>
      <c r="V79" s="28">
        <f t="shared" si="64"/>
        <v>8.0222798133599851E-2</v>
      </c>
      <c r="W79" s="16">
        <f>HO!W79+'Gulf Mall'!W79+BTC!W79</f>
        <v>61317.490000000005</v>
      </c>
      <c r="X79" s="28">
        <f t="shared" si="65"/>
        <v>7.824314113089724E-2</v>
      </c>
      <c r="Y79" s="16">
        <f>HO!Y79+'Gulf Mall'!Y79+BTC!Y79</f>
        <v>61317.490000000005</v>
      </c>
      <c r="Z79" s="28">
        <f t="shared" si="66"/>
        <v>7.8294319185367903E-2</v>
      </c>
      <c r="AA79" s="59">
        <f t="shared" si="67"/>
        <v>735809.88</v>
      </c>
      <c r="AB79" s="60">
        <f t="shared" si="68"/>
        <v>7.9828436709713707E-2</v>
      </c>
      <c r="AC79" s="67">
        <f t="shared" si="69"/>
        <v>61317.49</v>
      </c>
      <c r="AD79" s="68">
        <f t="shared" si="70"/>
        <v>7.9828436709713707E-2</v>
      </c>
      <c r="AE79" s="44">
        <f t="shared" si="52"/>
        <v>735809.88</v>
      </c>
      <c r="AF79" s="21">
        <f t="shared" si="53"/>
        <v>0</v>
      </c>
      <c r="AG79" s="16">
        <v>21508.587000000003</v>
      </c>
      <c r="AW79" s="44"/>
      <c r="AX79" s="44"/>
    </row>
    <row r="80" spans="1:50">
      <c r="A80" s="2">
        <v>6204</v>
      </c>
      <c r="B80" s="2" t="s">
        <v>27</v>
      </c>
      <c r="C80" s="16">
        <f>HO!C80+'Gulf Mall'!C80+BTC!C80</f>
        <v>1675</v>
      </c>
      <c r="D80" s="28">
        <f t="shared" si="55"/>
        <v>2.3709151636069118E-3</v>
      </c>
      <c r="E80" s="16">
        <f>HO!E80+'Gulf Mall'!E80+BTC!E80</f>
        <v>1675</v>
      </c>
      <c r="F80" s="28">
        <f t="shared" si="56"/>
        <v>2.1706840143413328E-3</v>
      </c>
      <c r="G80" s="16">
        <f>HO!G80+'Gulf Mall'!G80+BTC!G80</f>
        <v>1675</v>
      </c>
      <c r="H80" s="28">
        <f t="shared" si="57"/>
        <v>2.1838493101330714E-3</v>
      </c>
      <c r="I80" s="16">
        <f>HO!I80+'Gulf Mall'!I80+BTC!I80</f>
        <v>1675</v>
      </c>
      <c r="J80" s="28">
        <f t="shared" si="58"/>
        <v>2.14974314047605E-3</v>
      </c>
      <c r="K80" s="16">
        <f>HO!K80+'Gulf Mall'!K80+BTC!K80</f>
        <v>1675</v>
      </c>
      <c r="L80" s="28">
        <f t="shared" si="59"/>
        <v>2.0154247638930357E-3</v>
      </c>
      <c r="M80" s="16">
        <f>HO!M80+'Gulf Mall'!M80+BTC!M80</f>
        <v>1675</v>
      </c>
      <c r="N80" s="28">
        <f t="shared" si="60"/>
        <v>2.3244328464544117E-3</v>
      </c>
      <c r="O80" s="16">
        <f>HO!O80+'Gulf Mall'!O80+BTC!O80</f>
        <v>1675</v>
      </c>
      <c r="P80" s="28">
        <f t="shared" si="61"/>
        <v>2.2165068795870131E-3</v>
      </c>
      <c r="Q80" s="16">
        <f>HO!Q80+'Gulf Mall'!Q80+BTC!Q80</f>
        <v>1675</v>
      </c>
      <c r="R80" s="28">
        <f t="shared" si="62"/>
        <v>2.1244445456638453E-3</v>
      </c>
      <c r="S80" s="16">
        <f>HO!S80+'Gulf Mall'!S80+BTC!S80</f>
        <v>1675</v>
      </c>
      <c r="T80" s="28">
        <f t="shared" si="63"/>
        <v>2.1864198842173905E-3</v>
      </c>
      <c r="U80" s="16">
        <f>HO!U80+'Gulf Mall'!U80+BTC!U80</f>
        <v>1675</v>
      </c>
      <c r="V80" s="28">
        <f t="shared" si="64"/>
        <v>2.1914332578482866E-3</v>
      </c>
      <c r="W80" s="16">
        <f>HO!W80+'Gulf Mall'!W80+BTC!W80</f>
        <v>1675</v>
      </c>
      <c r="X80" s="28">
        <f t="shared" si="65"/>
        <v>2.1373552863017202E-3</v>
      </c>
      <c r="Y80" s="16">
        <f>HO!Y80+'Gulf Mall'!Y80+BTC!Y80</f>
        <v>1675</v>
      </c>
      <c r="Z80" s="28">
        <f t="shared" si="66"/>
        <v>2.1387533089741806E-3</v>
      </c>
      <c r="AA80" s="59">
        <f t="shared" si="67"/>
        <v>20100</v>
      </c>
      <c r="AB80" s="60">
        <f t="shared" si="68"/>
        <v>2.1806605503384181E-3</v>
      </c>
      <c r="AC80" s="67">
        <f t="shared" si="69"/>
        <v>1675</v>
      </c>
      <c r="AD80" s="68">
        <f t="shared" si="70"/>
        <v>2.1806605503384181E-3</v>
      </c>
      <c r="AE80" s="44">
        <f t="shared" si="52"/>
        <v>20100</v>
      </c>
      <c r="AF80" s="21">
        <f t="shared" si="53"/>
        <v>0</v>
      </c>
      <c r="AG80" s="16">
        <v>1216.127</v>
      </c>
      <c r="AW80" s="44"/>
      <c r="AX80" s="44"/>
    </row>
    <row r="81" spans="1:50">
      <c r="A81" s="82">
        <v>6205</v>
      </c>
      <c r="B81" s="2" t="s">
        <v>28</v>
      </c>
      <c r="C81" s="16">
        <f>HO!C81+'Gulf Mall'!C81+BTC!C81</f>
        <v>7500</v>
      </c>
      <c r="D81" s="28">
        <f t="shared" si="55"/>
        <v>1.0616038046001098E-2</v>
      </c>
      <c r="E81" s="16">
        <f>HO!E81+'Gulf Mall'!E81+BTC!E81</f>
        <v>7500</v>
      </c>
      <c r="F81" s="28">
        <f t="shared" si="56"/>
        <v>9.7194806612298495E-3</v>
      </c>
      <c r="G81" s="16">
        <f>HO!G81+'Gulf Mall'!G81+BTC!G81</f>
        <v>7500</v>
      </c>
      <c r="H81" s="28">
        <f t="shared" si="57"/>
        <v>9.778429746864499E-3</v>
      </c>
      <c r="I81" s="16">
        <f>HO!I81+'Gulf Mall'!I81+BTC!I81</f>
        <v>7500</v>
      </c>
      <c r="J81" s="28">
        <f t="shared" si="58"/>
        <v>9.6257155543703742E-3</v>
      </c>
      <c r="K81" s="16">
        <f>HO!K81+'Gulf Mall'!K81+BTC!K81</f>
        <v>7500</v>
      </c>
      <c r="L81" s="28">
        <f t="shared" si="59"/>
        <v>9.0242899875807563E-3</v>
      </c>
      <c r="M81" s="16">
        <f>HO!M81+'Gulf Mall'!M81+BTC!M81</f>
        <v>7500</v>
      </c>
      <c r="N81" s="28">
        <f t="shared" si="60"/>
        <v>1.0407908267706321E-2</v>
      </c>
      <c r="O81" s="16">
        <f>HO!O81+'Gulf Mall'!O81+BTC!O81</f>
        <v>7500</v>
      </c>
      <c r="P81" s="28">
        <f t="shared" si="61"/>
        <v>9.9246576697925963E-3</v>
      </c>
      <c r="Q81" s="16">
        <f>HO!Q81+'Gulf Mall'!Q81+BTC!Q81</f>
        <v>7500</v>
      </c>
      <c r="R81" s="28">
        <f t="shared" si="62"/>
        <v>9.5124382641664715E-3</v>
      </c>
      <c r="S81" s="16">
        <f>HO!S81+'Gulf Mall'!S81+BTC!S81</f>
        <v>7500</v>
      </c>
      <c r="T81" s="28">
        <f t="shared" si="63"/>
        <v>9.7899397800778679E-3</v>
      </c>
      <c r="U81" s="16">
        <f>HO!U81+'Gulf Mall'!U81+BTC!U81</f>
        <v>7500</v>
      </c>
      <c r="V81" s="28">
        <f t="shared" si="64"/>
        <v>9.8123877217087454E-3</v>
      </c>
      <c r="W81" s="16">
        <f>HO!W81+'Gulf Mall'!W81+BTC!W81</f>
        <v>7500</v>
      </c>
      <c r="X81" s="28">
        <f t="shared" si="65"/>
        <v>9.5702475506047168E-3</v>
      </c>
      <c r="Y81" s="16">
        <f>HO!Y81+'Gulf Mall'!Y81+BTC!Y81</f>
        <v>7500</v>
      </c>
      <c r="Z81" s="28">
        <f t="shared" si="66"/>
        <v>9.5765073536157336E-3</v>
      </c>
      <c r="AA81" s="59">
        <f t="shared" si="67"/>
        <v>90000</v>
      </c>
      <c r="AB81" s="60">
        <f t="shared" si="68"/>
        <v>9.7641517179332168E-3</v>
      </c>
      <c r="AC81" s="67">
        <f t="shared" si="69"/>
        <v>7500</v>
      </c>
      <c r="AD81" s="68">
        <f t="shared" si="70"/>
        <v>9.7641517179332168E-3</v>
      </c>
      <c r="AE81" s="44">
        <f t="shared" si="52"/>
        <v>90000</v>
      </c>
      <c r="AF81" s="21">
        <f t="shared" si="53"/>
        <v>0</v>
      </c>
      <c r="AG81" s="16">
        <v>9160</v>
      </c>
      <c r="AH81" s="1" t="s">
        <v>138</v>
      </c>
      <c r="AW81" s="44"/>
      <c r="AX81" s="44"/>
    </row>
    <row r="82" spans="1:50">
      <c r="A82" s="2">
        <v>6206</v>
      </c>
      <c r="B82" s="2" t="s">
        <v>156</v>
      </c>
      <c r="C82" s="16">
        <f>HO!C82+'Gulf Mall'!C82+BTC!C82</f>
        <v>22484.391233333332</v>
      </c>
      <c r="D82" s="28">
        <f t="shared" si="55"/>
        <v>3.1826020369898692E-2</v>
      </c>
      <c r="E82" s="16">
        <f>HO!E82+'Gulf Mall'!E82+BTC!E82</f>
        <v>22484.391233333332</v>
      </c>
      <c r="F82" s="28">
        <f t="shared" si="56"/>
        <v>2.9138214102921237E-2</v>
      </c>
      <c r="G82" s="16">
        <f>HO!G82+'Gulf Mall'!G82+BTC!G82</f>
        <v>22484.391233333332</v>
      </c>
      <c r="H82" s="28">
        <f t="shared" si="57"/>
        <v>2.9314938676822135E-2</v>
      </c>
      <c r="I82" s="16">
        <f>HO!I82+'Gulf Mall'!I82+BTC!I82</f>
        <v>22484.391233333332</v>
      </c>
      <c r="J82" s="28">
        <f t="shared" si="58"/>
        <v>2.8857113923366071E-2</v>
      </c>
      <c r="K82" s="16">
        <f>HO!K82+'Gulf Mall'!K82+BTC!K82</f>
        <v>22484.391233333332</v>
      </c>
      <c r="L82" s="28">
        <f t="shared" si="59"/>
        <v>2.7054088891175804E-2</v>
      </c>
      <c r="M82" s="16">
        <f>HO!M82+'Gulf Mall'!M82+BTC!M82</f>
        <v>22484.391233333332</v>
      </c>
      <c r="N82" s="28">
        <f t="shared" si="60"/>
        <v>3.1202064188233802E-2</v>
      </c>
      <c r="O82" s="16">
        <f>HO!O82+'Gulf Mall'!O82+BTC!O82</f>
        <v>22484.391233333332</v>
      </c>
      <c r="P82" s="28">
        <f t="shared" si="61"/>
        <v>2.9753318120602543E-2</v>
      </c>
      <c r="Q82" s="16">
        <f>HO!Q82+'Gulf Mall'!Q82+BTC!Q82</f>
        <v>22484.391233333332</v>
      </c>
      <c r="R82" s="28">
        <f t="shared" si="62"/>
        <v>2.8517517801926552E-2</v>
      </c>
      <c r="S82" s="16">
        <f>HO!S82+'Gulf Mall'!S82+BTC!S82</f>
        <v>22484.391233333332</v>
      </c>
      <c r="T82" s="28">
        <f t="shared" si="63"/>
        <v>2.9349444822139206E-2</v>
      </c>
      <c r="U82" s="16">
        <f>HO!U82+'Gulf Mall'!U82+BTC!U82</f>
        <v>22484.391233333332</v>
      </c>
      <c r="V82" s="28">
        <f t="shared" si="64"/>
        <v>2.9416741929074102E-2</v>
      </c>
      <c r="W82" s="16">
        <f>HO!W82+'Gulf Mall'!W82+BTC!W82</f>
        <v>22484.391233333332</v>
      </c>
      <c r="X82" s="28">
        <f t="shared" si="65"/>
        <v>2.8690825350352868E-2</v>
      </c>
      <c r="Y82" s="16">
        <f>HO!Y82+'Gulf Mall'!Y82+BTC!Y82</f>
        <v>22786.491233333334</v>
      </c>
      <c r="Z82" s="28">
        <f t="shared" si="66"/>
        <v>2.9095333447882284E-2</v>
      </c>
      <c r="AA82" s="59">
        <f t="shared" si="67"/>
        <v>270114.79479999997</v>
      </c>
      <c r="AB82" s="60">
        <f t="shared" si="68"/>
        <v>2.9304909307617755E-2</v>
      </c>
      <c r="AC82" s="67">
        <f t="shared" si="69"/>
        <v>22509.566233333331</v>
      </c>
      <c r="AD82" s="68">
        <f t="shared" si="70"/>
        <v>2.9304909307617755E-2</v>
      </c>
      <c r="AE82" s="44">
        <f t="shared" si="52"/>
        <v>270114.79479999997</v>
      </c>
      <c r="AF82" s="21">
        <f t="shared" si="53"/>
        <v>0</v>
      </c>
      <c r="AG82" s="16">
        <v>3917.0819999999999</v>
      </c>
      <c r="AH82" s="1" t="s">
        <v>203</v>
      </c>
      <c r="AW82" s="44"/>
      <c r="AX82" s="44"/>
    </row>
    <row r="83" spans="1:50">
      <c r="A83" s="2">
        <v>6207</v>
      </c>
      <c r="B83" s="2" t="s">
        <v>157</v>
      </c>
      <c r="C83" s="16">
        <f>HO!C83+'Gulf Mall'!C83+BTC!C83</f>
        <v>11592.5</v>
      </c>
      <c r="D83" s="28">
        <f t="shared" si="55"/>
        <v>1.6408856139769033E-2</v>
      </c>
      <c r="E83" s="16">
        <f>HO!E83+'Gulf Mall'!E83+BTC!E83</f>
        <v>11592.5</v>
      </c>
      <c r="F83" s="28">
        <f t="shared" si="56"/>
        <v>1.502307727537427E-2</v>
      </c>
      <c r="G83" s="16">
        <f>HO!G83+'Gulf Mall'!G83+BTC!G83</f>
        <v>11592.5</v>
      </c>
      <c r="H83" s="28">
        <f t="shared" si="57"/>
        <v>1.5114192912070229E-2</v>
      </c>
      <c r="I83" s="16">
        <f>HO!I83+'Gulf Mall'!I83+BTC!I83</f>
        <v>11592.5</v>
      </c>
      <c r="J83" s="28">
        <f t="shared" si="58"/>
        <v>1.4878147675205141E-2</v>
      </c>
      <c r="K83" s="16">
        <f>HO!K83+'Gulf Mall'!K83+BTC!K83</f>
        <v>11592.5</v>
      </c>
      <c r="L83" s="28">
        <f t="shared" si="59"/>
        <v>1.3948544224137322E-2</v>
      </c>
      <c r="M83" s="16">
        <f>HO!M83+'Gulf Mall'!M83+BTC!M83</f>
        <v>11592.5</v>
      </c>
      <c r="N83" s="28">
        <f t="shared" si="60"/>
        <v>1.6087156879118072E-2</v>
      </c>
      <c r="O83" s="16">
        <f>HO!O83+'Gulf Mall'!O83+BTC!O83</f>
        <v>11592.5</v>
      </c>
      <c r="P83" s="28">
        <f t="shared" si="61"/>
        <v>1.5340212538276091E-2</v>
      </c>
      <c r="Q83" s="16">
        <f>HO!Q83+'Gulf Mall'!Q83+BTC!Q83</f>
        <v>11592.5</v>
      </c>
      <c r="R83" s="28">
        <f t="shared" si="62"/>
        <v>1.4703058743646642E-2</v>
      </c>
      <c r="S83" s="16">
        <f>HO!S83+'Gulf Mall'!S83+BTC!S83</f>
        <v>11592.5</v>
      </c>
      <c r="T83" s="28">
        <f t="shared" si="63"/>
        <v>1.5131983586740358E-2</v>
      </c>
      <c r="U83" s="16">
        <f>HO!U83+'Gulf Mall'!U83+BTC!U83</f>
        <v>11592.5</v>
      </c>
      <c r="V83" s="28">
        <f t="shared" si="64"/>
        <v>1.5166680621854485E-2</v>
      </c>
      <c r="W83" s="16">
        <f>HO!W83+'Gulf Mall'!W83+BTC!W83</f>
        <v>11592.5</v>
      </c>
      <c r="X83" s="28">
        <f t="shared" si="65"/>
        <v>1.4792412630718026E-2</v>
      </c>
      <c r="Y83" s="16">
        <f>HO!Y83+'Gulf Mall'!Y83+BTC!Y83</f>
        <v>11292.5</v>
      </c>
      <c r="Z83" s="28">
        <f t="shared" si="66"/>
        <v>1.4419027905427423E-2</v>
      </c>
      <c r="AA83" s="59">
        <f t="shared" si="67"/>
        <v>138810</v>
      </c>
      <c r="AB83" s="60">
        <f t="shared" si="68"/>
        <v>1.505957666629233E-2</v>
      </c>
      <c r="AC83" s="67">
        <f t="shared" si="69"/>
        <v>11567.5</v>
      </c>
      <c r="AD83" s="68">
        <f t="shared" si="70"/>
        <v>1.505957666629233E-2</v>
      </c>
      <c r="AE83" s="44">
        <f t="shared" si="52"/>
        <v>138810</v>
      </c>
      <c r="AF83" s="21">
        <f t="shared" si="53"/>
        <v>0</v>
      </c>
      <c r="AG83" s="16">
        <v>5304.4259999999995</v>
      </c>
      <c r="AW83" s="44"/>
      <c r="AX83" s="44"/>
    </row>
    <row r="84" spans="1:50">
      <c r="A84" s="2">
        <v>6208</v>
      </c>
      <c r="B84" s="2" t="s">
        <v>158</v>
      </c>
      <c r="C84" s="16">
        <f>HO!C84+'Gulf Mall'!C84+BTC!C84</f>
        <v>0</v>
      </c>
      <c r="D84" s="28">
        <f t="shared" si="55"/>
        <v>0</v>
      </c>
      <c r="E84" s="16">
        <f>HO!E84+'Gulf Mall'!E84+BTC!E84</f>
        <v>0</v>
      </c>
      <c r="F84" s="28">
        <f t="shared" si="56"/>
        <v>0</v>
      </c>
      <c r="G84" s="16">
        <f>HO!G84+'Gulf Mall'!G84+BTC!G84</f>
        <v>0</v>
      </c>
      <c r="H84" s="28">
        <f t="shared" si="57"/>
        <v>0</v>
      </c>
      <c r="I84" s="16">
        <f>HO!I84+'Gulf Mall'!I84+BTC!I84</f>
        <v>0</v>
      </c>
      <c r="J84" s="28">
        <f t="shared" si="58"/>
        <v>0</v>
      </c>
      <c r="K84" s="16">
        <f>HO!K84+'Gulf Mall'!K84+BTC!K84</f>
        <v>0</v>
      </c>
      <c r="L84" s="28">
        <f t="shared" si="59"/>
        <v>0</v>
      </c>
      <c r="M84" s="16">
        <f>HO!M84+'Gulf Mall'!M84+BTC!M84</f>
        <v>0</v>
      </c>
      <c r="N84" s="28">
        <f t="shared" si="60"/>
        <v>0</v>
      </c>
      <c r="O84" s="16">
        <f>HO!O84+'Gulf Mall'!O84+BTC!O84</f>
        <v>0</v>
      </c>
      <c r="P84" s="28">
        <f t="shared" si="61"/>
        <v>0</v>
      </c>
      <c r="Q84" s="16">
        <f>HO!Q84+'Gulf Mall'!Q84+BTC!Q84</f>
        <v>0</v>
      </c>
      <c r="R84" s="28">
        <f t="shared" si="62"/>
        <v>0</v>
      </c>
      <c r="S84" s="16">
        <f>HO!S84+'Gulf Mall'!S84+BTC!S84</f>
        <v>0</v>
      </c>
      <c r="T84" s="28">
        <f t="shared" si="63"/>
        <v>0</v>
      </c>
      <c r="U84" s="16">
        <f>HO!U84+'Gulf Mall'!U84+BTC!U84</f>
        <v>0</v>
      </c>
      <c r="V84" s="28">
        <f t="shared" si="64"/>
        <v>0</v>
      </c>
      <c r="W84" s="16">
        <f>HO!W84+'Gulf Mall'!W84+BTC!W84</f>
        <v>0</v>
      </c>
      <c r="X84" s="28">
        <f t="shared" si="65"/>
        <v>0</v>
      </c>
      <c r="Y84" s="16">
        <f>HO!Y84+'Gulf Mall'!Y84+BTC!Y84</f>
        <v>0</v>
      </c>
      <c r="Z84" s="28">
        <f t="shared" si="66"/>
        <v>0</v>
      </c>
      <c r="AA84" s="59">
        <f t="shared" si="67"/>
        <v>0</v>
      </c>
      <c r="AB84" s="60">
        <f t="shared" si="68"/>
        <v>0</v>
      </c>
      <c r="AC84" s="67">
        <f t="shared" si="69"/>
        <v>0</v>
      </c>
      <c r="AD84" s="68">
        <f t="shared" si="70"/>
        <v>0</v>
      </c>
      <c r="AE84" s="44">
        <f t="shared" si="52"/>
        <v>0</v>
      </c>
      <c r="AF84" s="21">
        <f t="shared" si="53"/>
        <v>0</v>
      </c>
      <c r="AG84" s="16">
        <v>16159.206</v>
      </c>
      <c r="AW84" s="44"/>
      <c r="AX84" s="44"/>
    </row>
    <row r="85" spans="1:50">
      <c r="A85" s="2">
        <v>6209</v>
      </c>
      <c r="B85" s="2" t="s">
        <v>29</v>
      </c>
      <c r="C85" s="16">
        <f>HO!C85+'Gulf Mall'!C85+BTC!C85</f>
        <v>42513.416666666672</v>
      </c>
      <c r="D85" s="28">
        <f t="shared" si="55"/>
        <v>6.0176539839844077E-2</v>
      </c>
      <c r="E85" s="16">
        <f>HO!E85+'Gulf Mall'!E85+BTC!E85</f>
        <v>42513.416666666672</v>
      </c>
      <c r="F85" s="28">
        <f t="shared" si="56"/>
        <v>5.5094444151263126E-2</v>
      </c>
      <c r="G85" s="16">
        <f>HO!G85+'Gulf Mall'!G85+BTC!G85</f>
        <v>42513.416666666672</v>
      </c>
      <c r="H85" s="28">
        <f t="shared" si="57"/>
        <v>5.542859442322378E-2</v>
      </c>
      <c r="I85" s="16">
        <f>HO!I85+'Gulf Mall'!I85+BTC!I85</f>
        <v>42513.416666666672</v>
      </c>
      <c r="J85" s="28">
        <f t="shared" si="58"/>
        <v>5.4562940810368277E-2</v>
      </c>
      <c r="K85" s="16">
        <f>HO!K85+'Gulf Mall'!K85+BTC!K85</f>
        <v>42513.416666666672</v>
      </c>
      <c r="L85" s="28">
        <f t="shared" si="59"/>
        <v>5.1153786715046522E-2</v>
      </c>
      <c r="M85" s="16">
        <f>HO!M85+'Gulf Mall'!M85+BTC!M85</f>
        <v>42513.416666666672</v>
      </c>
      <c r="N85" s="28">
        <f t="shared" si="60"/>
        <v>5.8996765441792498E-2</v>
      </c>
      <c r="O85" s="16">
        <f>HO!O85+'Gulf Mall'!O85+BTC!O85</f>
        <v>42513.416666666672</v>
      </c>
      <c r="P85" s="28">
        <f t="shared" si="61"/>
        <v>5.6257480905322906E-2</v>
      </c>
      <c r="Q85" s="16">
        <f>HO!Q85+'Gulf Mall'!Q85+BTC!Q85</f>
        <v>42513.416666666672</v>
      </c>
      <c r="R85" s="28">
        <f t="shared" si="62"/>
        <v>5.3920833525393688E-2</v>
      </c>
      <c r="S85" s="16">
        <f>HO!S85+'Gulf Mall'!S85+BTC!S85</f>
        <v>42513.416666666672</v>
      </c>
      <c r="T85" s="28">
        <f t="shared" si="63"/>
        <v>5.5493838534936731E-2</v>
      </c>
      <c r="U85" s="16">
        <f>HO!U85+'Gulf Mall'!U85+BTC!U85</f>
        <v>42513.416666666672</v>
      </c>
      <c r="V85" s="28">
        <f t="shared" si="64"/>
        <v>5.5621083694385072E-2</v>
      </c>
      <c r="W85" s="16">
        <f>HO!W85+'Gulf Mall'!W85+BTC!W85</f>
        <v>42513.416666666672</v>
      </c>
      <c r="X85" s="28">
        <f t="shared" si="65"/>
        <v>5.4248522896267262E-2</v>
      </c>
      <c r="Y85" s="16">
        <f>HO!Y85+'Gulf Mall'!Y85+BTC!Y85</f>
        <v>42513.416666666672</v>
      </c>
      <c r="Z85" s="28">
        <f t="shared" si="66"/>
        <v>5.4284006311421745E-2</v>
      </c>
      <c r="AA85" s="59">
        <f t="shared" si="67"/>
        <v>510161.00000000017</v>
      </c>
      <c r="AB85" s="60">
        <f t="shared" si="68"/>
        <v>5.534766005080588E-2</v>
      </c>
      <c r="AC85" s="67">
        <f t="shared" si="69"/>
        <v>42513.416666666679</v>
      </c>
      <c r="AD85" s="68">
        <f t="shared" si="70"/>
        <v>5.5347660050805873E-2</v>
      </c>
      <c r="AE85" s="44">
        <f t="shared" si="52"/>
        <v>510161.00000000017</v>
      </c>
      <c r="AF85" s="21">
        <f t="shared" si="53"/>
        <v>0</v>
      </c>
      <c r="AG85" s="16">
        <v>30347.906999999999</v>
      </c>
      <c r="AW85" s="44"/>
      <c r="AX85" s="44"/>
    </row>
    <row r="86" spans="1:50">
      <c r="A86" s="2">
        <v>6210</v>
      </c>
      <c r="B86" s="2" t="s">
        <v>30</v>
      </c>
      <c r="C86" s="16">
        <f>HO!C86+'Gulf Mall'!C86+BTC!C86</f>
        <v>21574.318356164385</v>
      </c>
      <c r="D86" s="28">
        <f t="shared" si="55"/>
        <v>3.0537837931410797E-2</v>
      </c>
      <c r="E86" s="16">
        <f>HO!E86+'Gulf Mall'!E86+BTC!E86</f>
        <v>21574.318356164385</v>
      </c>
      <c r="F86" s="28">
        <f t="shared" si="56"/>
        <v>2.7958822672260786E-2</v>
      </c>
      <c r="G86" s="16">
        <f>HO!G86+'Gulf Mall'!G86+BTC!G86</f>
        <v>21574.318356164385</v>
      </c>
      <c r="H86" s="28">
        <f t="shared" si="57"/>
        <v>2.8128394184299018E-2</v>
      </c>
      <c r="I86" s="16">
        <f>HO!I86+'Gulf Mall'!I86+BTC!I86</f>
        <v>21574.318356164385</v>
      </c>
      <c r="J86" s="28">
        <f t="shared" si="58"/>
        <v>2.768910023678264E-2</v>
      </c>
      <c r="K86" s="16">
        <f>HO!K86+'Gulf Mall'!K86+BTC!K86</f>
        <v>21574.318356164385</v>
      </c>
      <c r="L86" s="28">
        <f t="shared" si="59"/>
        <v>2.595905401738853E-2</v>
      </c>
      <c r="M86" s="16">
        <f>HO!M86+'Gulf Mall'!M86+BTC!M86</f>
        <v>21574.318356164385</v>
      </c>
      <c r="N86" s="28">
        <f t="shared" si="60"/>
        <v>2.9939136851900208E-2</v>
      </c>
      <c r="O86" s="16">
        <f>HO!O86+'Gulf Mall'!O86+BTC!O86</f>
        <v>21574.318356164385</v>
      </c>
      <c r="P86" s="28">
        <f t="shared" si="61"/>
        <v>2.8549029885873878E-2</v>
      </c>
      <c r="Q86" s="16">
        <f>HO!Q86+'Gulf Mall'!Q86+BTC!Q86</f>
        <v>21574.318356164385</v>
      </c>
      <c r="R86" s="28">
        <f t="shared" si="62"/>
        <v>2.7363249527264957E-2</v>
      </c>
      <c r="S86" s="16">
        <f>HO!S86+'Gulf Mall'!S86+BTC!S86</f>
        <v>21574.318356164385</v>
      </c>
      <c r="T86" s="28">
        <f t="shared" si="63"/>
        <v>2.8161503667077051E-2</v>
      </c>
      <c r="U86" s="16">
        <f>HO!U86+'Gulf Mall'!U86+BTC!U86</f>
        <v>21574.318356164385</v>
      </c>
      <c r="V86" s="28">
        <f t="shared" si="64"/>
        <v>2.8226076872301737E-2</v>
      </c>
      <c r="W86" s="16">
        <f>HO!W86+'Gulf Mall'!W86+BTC!W86</f>
        <v>21574.318356164385</v>
      </c>
      <c r="X86" s="28">
        <f t="shared" si="65"/>
        <v>2.7529542320539814E-2</v>
      </c>
      <c r="Y86" s="16">
        <f>HO!Y86+'Gulf Mall'!Y86+BTC!Y86</f>
        <v>21574.318356164385</v>
      </c>
      <c r="Z86" s="28">
        <f t="shared" si="66"/>
        <v>2.754754911827402E-2</v>
      </c>
      <c r="AA86" s="59">
        <f t="shared" si="67"/>
        <v>258891.82027397261</v>
      </c>
      <c r="AB86" s="60">
        <f t="shared" si="68"/>
        <v>2.808732235207741E-2</v>
      </c>
      <c r="AC86" s="67">
        <f t="shared" si="69"/>
        <v>21574.318356164385</v>
      </c>
      <c r="AD86" s="68">
        <f t="shared" si="70"/>
        <v>2.8087322352077414E-2</v>
      </c>
      <c r="AE86" s="44">
        <f t="shared" si="52"/>
        <v>258891.82027397261</v>
      </c>
      <c r="AF86" s="21">
        <f t="shared" si="53"/>
        <v>0</v>
      </c>
      <c r="AG86" s="16">
        <v>23170.356999999996</v>
      </c>
      <c r="AW86" s="44"/>
      <c r="AX86" s="44"/>
    </row>
    <row r="87" spans="1:50">
      <c r="A87" s="2">
        <v>6211</v>
      </c>
      <c r="B87" s="2" t="s">
        <v>31</v>
      </c>
      <c r="C87" s="16">
        <f>HO!C87+'Gulf Mall'!C87+BTC!C87</f>
        <v>17958.333333333332</v>
      </c>
      <c r="D87" s="28">
        <f t="shared" si="55"/>
        <v>2.5419513321258184E-2</v>
      </c>
      <c r="E87" s="16">
        <f>HO!E87+'Gulf Mall'!E87+BTC!E87</f>
        <v>17958.333333333332</v>
      </c>
      <c r="F87" s="28">
        <f t="shared" si="56"/>
        <v>2.3272756472167026E-2</v>
      </c>
      <c r="G87" s="16">
        <f>HO!G87+'Gulf Mall'!G87+BTC!G87</f>
        <v>17958.333333333332</v>
      </c>
      <c r="H87" s="28">
        <f t="shared" si="57"/>
        <v>2.3413906782769993E-2</v>
      </c>
      <c r="I87" s="16">
        <f>HO!I87+'Gulf Mall'!I87+BTC!I87</f>
        <v>17958.333333333332</v>
      </c>
      <c r="J87" s="28">
        <f t="shared" si="58"/>
        <v>2.3048241132964616E-2</v>
      </c>
      <c r="K87" s="16">
        <f>HO!K87+'Gulf Mall'!K87+BTC!K87</f>
        <v>17958.333333333332</v>
      </c>
      <c r="L87" s="28">
        <f t="shared" si="59"/>
        <v>2.1608161025818366E-2</v>
      </c>
      <c r="M87" s="16">
        <f>HO!M87+'Gulf Mall'!M87+BTC!M87</f>
        <v>17958.333333333332</v>
      </c>
      <c r="N87" s="28">
        <f t="shared" si="60"/>
        <v>2.49211581298968E-2</v>
      </c>
      <c r="O87" s="16">
        <f>HO!O87+'Gulf Mall'!O87+BTC!O87</f>
        <v>17958.333333333332</v>
      </c>
      <c r="P87" s="28">
        <f t="shared" si="61"/>
        <v>2.3764041420447825E-2</v>
      </c>
      <c r="Q87" s="16">
        <f>HO!Q87+'Gulf Mall'!Q87+BTC!Q87</f>
        <v>17958.333333333332</v>
      </c>
      <c r="R87" s="28">
        <f t="shared" si="62"/>
        <v>2.2777004954754161E-2</v>
      </c>
      <c r="S87" s="16">
        <f>HO!S87+'Gulf Mall'!S87+BTC!S87</f>
        <v>17958.333333333332</v>
      </c>
      <c r="T87" s="28">
        <f t="shared" si="63"/>
        <v>2.3441466917853114E-2</v>
      </c>
      <c r="U87" s="16">
        <f>HO!U87+'Gulf Mall'!U87+BTC!U87</f>
        <v>17958.333333333332</v>
      </c>
      <c r="V87" s="28">
        <f t="shared" si="64"/>
        <v>2.3495217266980385E-2</v>
      </c>
      <c r="W87" s="16">
        <f>HO!W87+'Gulf Mall'!W87+BTC!W87</f>
        <v>17958.333333333332</v>
      </c>
      <c r="X87" s="28">
        <f t="shared" si="65"/>
        <v>2.2915426079503518E-2</v>
      </c>
      <c r="Y87" s="16">
        <f>HO!Y87+'Gulf Mall'!Y87+BTC!Y87</f>
        <v>17958.333333333332</v>
      </c>
      <c r="Z87" s="28">
        <f t="shared" si="66"/>
        <v>2.2930414830046559E-2</v>
      </c>
      <c r="AA87" s="59">
        <f t="shared" si="67"/>
        <v>215500.00000000003</v>
      </c>
      <c r="AB87" s="60">
        <f t="shared" si="68"/>
        <v>2.3379718835717871E-2</v>
      </c>
      <c r="AC87" s="67">
        <f t="shared" si="69"/>
        <v>17958.333333333336</v>
      </c>
      <c r="AD87" s="68">
        <f t="shared" si="70"/>
        <v>2.3379718835717871E-2</v>
      </c>
      <c r="AE87" s="44">
        <f t="shared" si="52"/>
        <v>215500.00000000003</v>
      </c>
      <c r="AF87" s="21">
        <f t="shared" si="53"/>
        <v>0</v>
      </c>
      <c r="AG87" s="16">
        <v>7662.8539999999994</v>
      </c>
      <c r="AW87" s="44"/>
      <c r="AX87" s="44"/>
    </row>
    <row r="88" spans="1:50">
      <c r="A88" s="2">
        <v>6212</v>
      </c>
      <c r="B88" s="2" t="s">
        <v>32</v>
      </c>
      <c r="C88" s="16">
        <f>HO!C88+'Gulf Mall'!C88+BTC!C88</f>
        <v>250</v>
      </c>
      <c r="D88" s="28">
        <f t="shared" si="55"/>
        <v>3.5386793486670326E-4</v>
      </c>
      <c r="E88" s="16">
        <f>HO!E88+'Gulf Mall'!E88+BTC!E88</f>
        <v>250</v>
      </c>
      <c r="F88" s="28">
        <f t="shared" si="56"/>
        <v>3.2398268870766165E-4</v>
      </c>
      <c r="G88" s="16">
        <f>HO!G88+'Gulf Mall'!G88+BTC!G88</f>
        <v>250</v>
      </c>
      <c r="H88" s="28">
        <f t="shared" si="57"/>
        <v>3.2594765822881666E-4</v>
      </c>
      <c r="I88" s="16">
        <f>HO!I88+'Gulf Mall'!I88+BTC!I88</f>
        <v>250</v>
      </c>
      <c r="J88" s="28">
        <f t="shared" si="58"/>
        <v>3.2085718514567914E-4</v>
      </c>
      <c r="K88" s="16">
        <f>HO!K88+'Gulf Mall'!K88+BTC!K88</f>
        <v>250</v>
      </c>
      <c r="L88" s="28">
        <f t="shared" si="59"/>
        <v>3.0080966625269188E-4</v>
      </c>
      <c r="M88" s="16">
        <f>HO!M88+'Gulf Mall'!M88+BTC!M88</f>
        <v>250</v>
      </c>
      <c r="N88" s="28">
        <f t="shared" si="60"/>
        <v>3.4693027559021071E-4</v>
      </c>
      <c r="O88" s="16">
        <f>HO!O88+'Gulf Mall'!O88+BTC!O88</f>
        <v>250</v>
      </c>
      <c r="P88" s="28">
        <f t="shared" si="61"/>
        <v>3.3082192232641991E-4</v>
      </c>
      <c r="Q88" s="16">
        <f>HO!Q88+'Gulf Mall'!Q88+BTC!Q88</f>
        <v>250</v>
      </c>
      <c r="R88" s="28">
        <f t="shared" si="62"/>
        <v>3.1708127547221571E-4</v>
      </c>
      <c r="S88" s="16">
        <f>HO!S88+'Gulf Mall'!S88+BTC!S88</f>
        <v>250</v>
      </c>
      <c r="T88" s="28">
        <f t="shared" si="63"/>
        <v>3.263313260025956E-4</v>
      </c>
      <c r="U88" s="16">
        <f>HO!U88+'Gulf Mall'!U88+BTC!U88</f>
        <v>250</v>
      </c>
      <c r="V88" s="28">
        <f t="shared" si="64"/>
        <v>3.2707959072362489E-4</v>
      </c>
      <c r="W88" s="16">
        <f>HO!W88+'Gulf Mall'!W88+BTC!W88</f>
        <v>250</v>
      </c>
      <c r="X88" s="28">
        <f t="shared" si="65"/>
        <v>3.1900825168682391E-4</v>
      </c>
      <c r="Y88" s="16">
        <f>HO!Y88+'Gulf Mall'!Y88+BTC!Y88</f>
        <v>250</v>
      </c>
      <c r="Z88" s="28">
        <f t="shared" si="66"/>
        <v>3.1921691178719115E-4</v>
      </c>
      <c r="AA88" s="59">
        <f t="shared" si="67"/>
        <v>3000</v>
      </c>
      <c r="AB88" s="60">
        <f t="shared" si="68"/>
        <v>3.254717239311072E-4</v>
      </c>
      <c r="AC88" s="67">
        <f t="shared" si="69"/>
        <v>250</v>
      </c>
      <c r="AD88" s="68">
        <f t="shared" si="70"/>
        <v>3.254717239311072E-4</v>
      </c>
      <c r="AE88" s="44">
        <f t="shared" si="52"/>
        <v>3000</v>
      </c>
      <c r="AF88" s="21">
        <f t="shared" si="53"/>
        <v>0</v>
      </c>
      <c r="AG88" s="19">
        <v>24.9</v>
      </c>
      <c r="AW88" s="44"/>
      <c r="AX88" s="44"/>
    </row>
    <row r="89" spans="1:50">
      <c r="A89" s="2">
        <v>6213</v>
      </c>
      <c r="B89" s="2" t="s">
        <v>33</v>
      </c>
      <c r="C89" s="16">
        <f>HO!C89+'Gulf Mall'!C89+BTC!C89</f>
        <v>0</v>
      </c>
      <c r="D89" s="28">
        <f t="shared" si="55"/>
        <v>0</v>
      </c>
      <c r="E89" s="16">
        <f>HO!E89+'Gulf Mall'!E89+BTC!E89</f>
        <v>0</v>
      </c>
      <c r="F89" s="28">
        <f t="shared" si="56"/>
        <v>0</v>
      </c>
      <c r="G89" s="16">
        <f>HO!G89+'Gulf Mall'!G89+BTC!G89</f>
        <v>0</v>
      </c>
      <c r="H89" s="28">
        <f t="shared" si="57"/>
        <v>0</v>
      </c>
      <c r="I89" s="16">
        <f>HO!I89+'Gulf Mall'!I89+BTC!I89</f>
        <v>0</v>
      </c>
      <c r="J89" s="28">
        <f t="shared" si="58"/>
        <v>0</v>
      </c>
      <c r="K89" s="16">
        <f>HO!K89+'Gulf Mall'!K89+BTC!K89</f>
        <v>0</v>
      </c>
      <c r="L89" s="28">
        <f t="shared" si="59"/>
        <v>0</v>
      </c>
      <c r="M89" s="16">
        <f>HO!M89+'Gulf Mall'!M89+BTC!M89</f>
        <v>0</v>
      </c>
      <c r="N89" s="28">
        <f t="shared" si="60"/>
        <v>0</v>
      </c>
      <c r="O89" s="16">
        <f>HO!O89+'Gulf Mall'!O89+BTC!O89</f>
        <v>0</v>
      </c>
      <c r="P89" s="28">
        <f t="shared" si="61"/>
        <v>0</v>
      </c>
      <c r="Q89" s="16">
        <f>HO!Q89+'Gulf Mall'!Q89+BTC!Q89</f>
        <v>0</v>
      </c>
      <c r="R89" s="28">
        <f t="shared" si="62"/>
        <v>0</v>
      </c>
      <c r="S89" s="16">
        <f>HO!S89+'Gulf Mall'!S89+BTC!S89</f>
        <v>0</v>
      </c>
      <c r="T89" s="28">
        <f t="shared" si="63"/>
        <v>0</v>
      </c>
      <c r="U89" s="16">
        <f>HO!U89+'Gulf Mall'!U89+BTC!U89</f>
        <v>0</v>
      </c>
      <c r="V89" s="28">
        <f t="shared" si="64"/>
        <v>0</v>
      </c>
      <c r="W89" s="16">
        <f>HO!W89+'Gulf Mall'!W89+BTC!W89</f>
        <v>0</v>
      </c>
      <c r="X89" s="28">
        <f t="shared" si="65"/>
        <v>0</v>
      </c>
      <c r="Y89" s="16">
        <f>HO!Y89+'Gulf Mall'!Y89+BTC!Y89</f>
        <v>0</v>
      </c>
      <c r="Z89" s="28">
        <f t="shared" si="66"/>
        <v>0</v>
      </c>
      <c r="AA89" s="59">
        <f t="shared" si="67"/>
        <v>0</v>
      </c>
      <c r="AB89" s="60">
        <f t="shared" si="68"/>
        <v>0</v>
      </c>
      <c r="AC89" s="67">
        <f t="shared" si="69"/>
        <v>0</v>
      </c>
      <c r="AD89" s="68">
        <f t="shared" si="70"/>
        <v>0</v>
      </c>
      <c r="AE89" s="44">
        <f t="shared" si="52"/>
        <v>0</v>
      </c>
      <c r="AF89" s="21">
        <f t="shared" si="53"/>
        <v>0</v>
      </c>
      <c r="AG89" s="19">
        <v>78.048000000000002</v>
      </c>
      <c r="AW89" s="44"/>
      <c r="AX89" s="44"/>
    </row>
    <row r="90" spans="1:50">
      <c r="A90" s="82">
        <v>6214</v>
      </c>
      <c r="B90" s="2" t="s">
        <v>34</v>
      </c>
      <c r="C90" s="16">
        <f>HO!C90+'Gulf Mall'!C90+BTC!C90</f>
        <v>34909.808333333334</v>
      </c>
      <c r="D90" s="28">
        <f t="shared" si="55"/>
        <v>4.941384712603638E-2</v>
      </c>
      <c r="E90" s="16">
        <f>HO!E90+'Gulf Mall'!E90+BTC!E90</f>
        <v>34909.808333333334</v>
      </c>
      <c r="F90" s="28">
        <f t="shared" si="56"/>
        <v>4.524069426440986E-2</v>
      </c>
      <c r="G90" s="16">
        <f>HO!G90+'Gulf Mall'!G90+BTC!G90</f>
        <v>34909.808333333334</v>
      </c>
      <c r="H90" s="28">
        <f t="shared" si="57"/>
        <v>4.5515081101867319E-2</v>
      </c>
      <c r="I90" s="16">
        <f>HO!I90+'Gulf Mall'!I90+BTC!I90</f>
        <v>34909.808333333334</v>
      </c>
      <c r="J90" s="28">
        <f t="shared" si="58"/>
        <v>4.4804251343234021E-2</v>
      </c>
      <c r="K90" s="16">
        <f>HO!K90+'Gulf Mall'!K90+BTC!K90</f>
        <v>34909.808333333334</v>
      </c>
      <c r="L90" s="28">
        <f t="shared" si="59"/>
        <v>4.2004831174781765E-2</v>
      </c>
      <c r="M90" s="16">
        <f>HO!M90+'Gulf Mall'!M90+BTC!M90</f>
        <v>34909.808333333334</v>
      </c>
      <c r="N90" s="28">
        <f t="shared" si="60"/>
        <v>4.844507770353907E-2</v>
      </c>
      <c r="O90" s="16">
        <f>HO!O90+'Gulf Mall'!O90+BTC!O90</f>
        <v>34909.808333333334</v>
      </c>
      <c r="P90" s="28">
        <f t="shared" si="61"/>
        <v>4.6195719603520827E-2</v>
      </c>
      <c r="Q90" s="16">
        <f>HO!Q90+'Gulf Mall'!Q90+BTC!Q90</f>
        <v>34909.808333333334</v>
      </c>
      <c r="R90" s="28">
        <f t="shared" si="62"/>
        <v>4.4276986211295673E-2</v>
      </c>
      <c r="S90" s="16">
        <f>HO!S90+'Gulf Mall'!S90+BTC!S90</f>
        <v>34909.808333333334</v>
      </c>
      <c r="T90" s="28">
        <f t="shared" si="63"/>
        <v>4.5568656175652512E-2</v>
      </c>
      <c r="U90" s="16">
        <f>HO!U90+'Gulf Mall'!U90+BTC!U90</f>
        <v>34909.808333333334</v>
      </c>
      <c r="V90" s="28">
        <f t="shared" si="64"/>
        <v>4.5673143287627421E-2</v>
      </c>
      <c r="W90" s="16">
        <f>HO!W90+'Gulf Mall'!W90+BTC!W90</f>
        <v>34909.808333333334</v>
      </c>
      <c r="X90" s="28">
        <f t="shared" si="65"/>
        <v>4.4546067692555133E-2</v>
      </c>
      <c r="Y90" s="16">
        <f>HO!Y90+'Gulf Mall'!Y90+BTC!Y90</f>
        <v>34909.808333333334</v>
      </c>
      <c r="Z90" s="28">
        <f t="shared" si="66"/>
        <v>4.4575204828997662E-2</v>
      </c>
      <c r="AA90" s="59">
        <f t="shared" si="67"/>
        <v>418917.70000000013</v>
      </c>
      <c r="AB90" s="60">
        <f t="shared" si="68"/>
        <v>4.5448622001418144E-2</v>
      </c>
      <c r="AC90" s="67">
        <f t="shared" si="69"/>
        <v>34909.808333333342</v>
      </c>
      <c r="AD90" s="68">
        <f t="shared" si="70"/>
        <v>4.5448622001418137E-2</v>
      </c>
      <c r="AE90" s="44">
        <f t="shared" si="52"/>
        <v>418917.70000000013</v>
      </c>
      <c r="AF90" s="21">
        <f t="shared" si="53"/>
        <v>0</v>
      </c>
      <c r="AG90" s="19">
        <v>-9565</v>
      </c>
      <c r="AW90" s="44"/>
      <c r="AX90" s="44"/>
    </row>
    <row r="91" spans="1:50">
      <c r="A91" s="2">
        <v>6215</v>
      </c>
      <c r="B91" s="2" t="s">
        <v>35</v>
      </c>
      <c r="C91" s="16">
        <f>HO!C91+'Gulf Mall'!C91+BTC!C91</f>
        <v>7505.6347500000002</v>
      </c>
      <c r="D91" s="28">
        <f t="shared" si="55"/>
        <v>1.0624013875385059E-2</v>
      </c>
      <c r="E91" s="16">
        <f>HO!E91+'Gulf Mall'!E91+BTC!E91</f>
        <v>7505.6347500000002</v>
      </c>
      <c r="F91" s="28">
        <f t="shared" si="56"/>
        <v>9.7267829070506306E-3</v>
      </c>
      <c r="G91" s="16">
        <f>HO!G91+'Gulf Mall'!G91+BTC!G91</f>
        <v>7505.6347500000002</v>
      </c>
      <c r="H91" s="28">
        <f t="shared" si="57"/>
        <v>9.7857762811333193E-3</v>
      </c>
      <c r="I91" s="16">
        <f>HO!I91+'Gulf Mall'!I91+BTC!I91</f>
        <v>7505.6347500000002</v>
      </c>
      <c r="J91" s="28">
        <f t="shared" si="58"/>
        <v>9.6329473544663723E-3</v>
      </c>
      <c r="K91" s="16">
        <f>HO!K91+'Gulf Mall'!K91+BTC!K91</f>
        <v>7505.6347500000002</v>
      </c>
      <c r="L91" s="28">
        <f t="shared" si="59"/>
        <v>9.0310699366484264E-3</v>
      </c>
      <c r="M91" s="16">
        <f>HO!M91+'Gulf Mall'!M91+BTC!M91</f>
        <v>7505.6347500000002</v>
      </c>
      <c r="N91" s="28">
        <f t="shared" si="60"/>
        <v>1.0415727729187849E-2</v>
      </c>
      <c r="O91" s="16">
        <f>HO!O91+'Gulf Mall'!O91+BTC!O91</f>
        <v>7505.6347500000002</v>
      </c>
      <c r="P91" s="28">
        <f t="shared" si="61"/>
        <v>9.9321140650999121E-3</v>
      </c>
      <c r="Q91" s="16">
        <f>HO!Q91+'Gulf Mall'!Q91+BTC!Q91</f>
        <v>7505.6347500000002</v>
      </c>
      <c r="R91" s="28">
        <f t="shared" si="62"/>
        <v>9.5195849590343391E-3</v>
      </c>
      <c r="S91" s="16">
        <f>HO!S91+'Gulf Mall'!S91+BTC!S91</f>
        <v>7505.6347500000002</v>
      </c>
      <c r="T91" s="28">
        <f t="shared" si="63"/>
        <v>9.7972949618346412E-3</v>
      </c>
      <c r="U91" s="16">
        <f>HO!U91+'Gulf Mall'!U91+BTC!U91</f>
        <v>7505.6347500000002</v>
      </c>
      <c r="V91" s="28">
        <f t="shared" si="64"/>
        <v>9.8197597686040666E-3</v>
      </c>
      <c r="W91" s="16">
        <f>HO!W91+'Gulf Mall'!W91+BTC!W91</f>
        <v>7505.6347500000002</v>
      </c>
      <c r="X91" s="28">
        <f t="shared" si="65"/>
        <v>9.5774376775894874E-3</v>
      </c>
      <c r="Y91" s="16">
        <f>HO!Y91+'Gulf Mall'!Y91+BTC!Y91</f>
        <v>7505.6347500000002</v>
      </c>
      <c r="Z91" s="28">
        <f t="shared" si="66"/>
        <v>9.5837021835905051E-3</v>
      </c>
      <c r="AA91" s="59">
        <f t="shared" si="67"/>
        <v>90067.616999999984</v>
      </c>
      <c r="AB91" s="60">
        <f t="shared" si="68"/>
        <v>9.7714875251188969E-3</v>
      </c>
      <c r="AC91" s="67">
        <f t="shared" si="69"/>
        <v>7505.6347499999983</v>
      </c>
      <c r="AD91" s="68">
        <f t="shared" si="70"/>
        <v>9.7714875251188969E-3</v>
      </c>
      <c r="AE91" s="44">
        <f t="shared" si="52"/>
        <v>90067.616999999984</v>
      </c>
      <c r="AF91" s="21">
        <f t="shared" si="53"/>
        <v>0</v>
      </c>
      <c r="AG91" s="16">
        <v>0</v>
      </c>
      <c r="AW91" s="44"/>
      <c r="AX91" s="44"/>
    </row>
    <row r="92" spans="1:50">
      <c r="A92" s="2">
        <v>6216</v>
      </c>
      <c r="B92" s="2" t="s">
        <v>91</v>
      </c>
      <c r="C92" s="16">
        <f>HO!C92+'Gulf Mall'!C92+BTC!C92</f>
        <v>0</v>
      </c>
      <c r="D92" s="28">
        <f t="shared" si="55"/>
        <v>0</v>
      </c>
      <c r="E92" s="16">
        <f>HO!E92+'Gulf Mall'!E92+BTC!E92</f>
        <v>0</v>
      </c>
      <c r="F92" s="28">
        <f t="shared" si="56"/>
        <v>0</v>
      </c>
      <c r="G92" s="16">
        <f>HO!G92+'Gulf Mall'!G92+BTC!G92</f>
        <v>0</v>
      </c>
      <c r="H92" s="28">
        <f t="shared" si="57"/>
        <v>0</v>
      </c>
      <c r="I92" s="16">
        <f>HO!I92+'Gulf Mall'!I92+BTC!I92</f>
        <v>0</v>
      </c>
      <c r="J92" s="28">
        <f t="shared" si="58"/>
        <v>0</v>
      </c>
      <c r="K92" s="16">
        <f>HO!K92+'Gulf Mall'!K92+BTC!K92</f>
        <v>0</v>
      </c>
      <c r="L92" s="28">
        <f t="shared" si="59"/>
        <v>0</v>
      </c>
      <c r="M92" s="16">
        <f>HO!M92+'Gulf Mall'!M92+BTC!M92</f>
        <v>0</v>
      </c>
      <c r="N92" s="28">
        <f t="shared" si="60"/>
        <v>0</v>
      </c>
      <c r="O92" s="16">
        <f>HO!O92+'Gulf Mall'!O92+BTC!O92</f>
        <v>0</v>
      </c>
      <c r="P92" s="28">
        <f t="shared" si="61"/>
        <v>0</v>
      </c>
      <c r="Q92" s="16">
        <f>HO!Q92+'Gulf Mall'!Q92+BTC!Q92</f>
        <v>0</v>
      </c>
      <c r="R92" s="28">
        <f t="shared" si="62"/>
        <v>0</v>
      </c>
      <c r="S92" s="16">
        <f>HO!S92+'Gulf Mall'!S92+BTC!S92</f>
        <v>0</v>
      </c>
      <c r="T92" s="28">
        <f t="shared" si="63"/>
        <v>0</v>
      </c>
      <c r="U92" s="16">
        <f>HO!U92+'Gulf Mall'!U92+BTC!U92</f>
        <v>0</v>
      </c>
      <c r="V92" s="28">
        <f t="shared" si="64"/>
        <v>0</v>
      </c>
      <c r="W92" s="16">
        <f>HO!W92+'Gulf Mall'!W92+BTC!W92</f>
        <v>0</v>
      </c>
      <c r="X92" s="28">
        <f t="shared" si="65"/>
        <v>0</v>
      </c>
      <c r="Y92" s="16">
        <f>HO!Y92+'Gulf Mall'!Y92+BTC!Y92</f>
        <v>0</v>
      </c>
      <c r="Z92" s="28">
        <f t="shared" si="66"/>
        <v>0</v>
      </c>
      <c r="AA92" s="59">
        <f t="shared" si="67"/>
        <v>0</v>
      </c>
      <c r="AB92" s="60">
        <f t="shared" si="68"/>
        <v>0</v>
      </c>
      <c r="AC92" s="67">
        <f t="shared" si="69"/>
        <v>0</v>
      </c>
      <c r="AD92" s="68">
        <f t="shared" si="70"/>
        <v>0</v>
      </c>
      <c r="AE92" s="44">
        <f t="shared" si="52"/>
        <v>0</v>
      </c>
      <c r="AF92" s="21">
        <f t="shared" si="53"/>
        <v>0</v>
      </c>
      <c r="AG92" s="16">
        <v>444.75</v>
      </c>
      <c r="AW92" s="44"/>
      <c r="AX92" s="44"/>
    </row>
    <row r="93" spans="1:50" ht="15.75" thickBot="1">
      <c r="A93" s="39">
        <v>6299</v>
      </c>
      <c r="B93" s="39" t="s">
        <v>102</v>
      </c>
      <c r="C93" s="31">
        <f>HO!C93+'Gulf Mall'!C93+BTC!C93</f>
        <v>794290.90267283097</v>
      </c>
      <c r="D93" s="52">
        <f>C93/C$145</f>
        <v>1.1242963256489773</v>
      </c>
      <c r="E93" s="31">
        <f>HO!E93+'Gulf Mall'!E93+BTC!E93</f>
        <v>794290.90267283097</v>
      </c>
      <c r="F93" s="52">
        <f>E93/E$145</f>
        <v>1.0293460090559174</v>
      </c>
      <c r="G93" s="31">
        <f>HO!G93+'Gulf Mall'!G93+BTC!G93</f>
        <v>794290.90267283097</v>
      </c>
      <c r="H93" s="52">
        <f>G93/G$145</f>
        <v>1.0355890387146487</v>
      </c>
      <c r="I93" s="31">
        <f>HO!I93+'Gulf Mall'!I93+BTC!I93</f>
        <v>794290.90267283097</v>
      </c>
      <c r="J93" s="52">
        <f>I93/I$145</f>
        <v>1.0194157728737006</v>
      </c>
      <c r="K93" s="31">
        <f>HO!K93+'Gulf Mall'!K93+BTC!K93</f>
        <v>794290.90267283097</v>
      </c>
      <c r="L93" s="52">
        <f>K93/K$145</f>
        <v>0.95572152536225463</v>
      </c>
      <c r="M93" s="31">
        <f>HO!M93+'Gulf Mall'!M93+BTC!M93</f>
        <v>794290.90267283097</v>
      </c>
      <c r="N93" s="52">
        <f>M93/M$145</f>
        <v>1.10225424705233</v>
      </c>
      <c r="O93" s="31">
        <f>HO!O93+'Gulf Mall'!O93+BTC!O93</f>
        <v>794290.90267283097</v>
      </c>
      <c r="P93" s="52">
        <f>O93/O$145</f>
        <v>1.0510753732344529</v>
      </c>
      <c r="Q93" s="31">
        <f>HO!Q93+'Gulf Mall'!Q93+BTC!Q93</f>
        <v>794290.90267283097</v>
      </c>
      <c r="R93" s="52">
        <f>Q93/Q$145</f>
        <v>1.0074190900619151</v>
      </c>
      <c r="S93" s="31">
        <f>HO!S93+'Gulf Mall'!S93+BTC!S93</f>
        <v>794290.90267283097</v>
      </c>
      <c r="T93" s="52">
        <f t="shared" ref="T93:AD94" si="71">S93/S$145</f>
        <v>1.0368080140040941</v>
      </c>
      <c r="U93" s="31">
        <f>HO!U93+'Gulf Mall'!U93+BTC!U93</f>
        <v>794290.90267283097</v>
      </c>
      <c r="V93" s="52">
        <f>U93/U$145</f>
        <v>1.0391853734469125</v>
      </c>
      <c r="W93" s="31">
        <f>HO!W93+'Gulf Mall'!W93+BTC!W93</f>
        <v>794290.90267283097</v>
      </c>
      <c r="X93" s="52">
        <f>W93/W$145</f>
        <v>1.0135414087696362</v>
      </c>
      <c r="Y93" s="31">
        <f>HO!Y93+'Gulf Mall'!Y93+BTC!Y93</f>
        <v>794293.00267283106</v>
      </c>
      <c r="Z93" s="52">
        <f t="shared" si="50"/>
        <v>1.0142070374695851</v>
      </c>
      <c r="AA93" s="61">
        <f>SUM(AA77:AA92)</f>
        <v>9531492.9320739731</v>
      </c>
      <c r="AB93" s="74">
        <f t="shared" si="71"/>
        <v>1.0340771454130933</v>
      </c>
      <c r="AC93" s="24">
        <f t="shared" si="51"/>
        <v>794291.07767283113</v>
      </c>
      <c r="AD93" s="77">
        <f t="shared" si="71"/>
        <v>1.0340771454130933</v>
      </c>
      <c r="AE93" s="44">
        <f t="shared" si="52"/>
        <v>9531492.9320739713</v>
      </c>
      <c r="AF93" s="21">
        <f t="shared" si="53"/>
        <v>0</v>
      </c>
      <c r="AG93" s="115">
        <f>SUM(AG77:AG92)</f>
        <v>341090.4800000001</v>
      </c>
      <c r="AH93" s="1" t="s">
        <v>141</v>
      </c>
      <c r="AW93" s="44"/>
      <c r="AX93" s="44"/>
    </row>
    <row r="94" spans="1:50" ht="15.75" thickTop="1">
      <c r="A94" s="2">
        <v>6301</v>
      </c>
      <c r="B94" s="2" t="s">
        <v>36</v>
      </c>
      <c r="C94" s="16">
        <f>HO!C94+'Gulf Mall'!C94+BTC!C94</f>
        <v>0</v>
      </c>
      <c r="D94" s="28">
        <f t="shared" ref="D94" si="72">C94/C$145</f>
        <v>0</v>
      </c>
      <c r="E94" s="16">
        <f>HO!E94+'Gulf Mall'!E94+BTC!E94</f>
        <v>0</v>
      </c>
      <c r="F94" s="28">
        <f t="shared" ref="F94" si="73">E94/E$145</f>
        <v>0</v>
      </c>
      <c r="G94" s="16">
        <f>HO!G94+'Gulf Mall'!G94+BTC!G94</f>
        <v>0</v>
      </c>
      <c r="H94" s="28">
        <f t="shared" ref="H94" si="74">G94/G$145</f>
        <v>0</v>
      </c>
      <c r="I94" s="16">
        <f>HO!I94+'Gulf Mall'!I94+BTC!I94</f>
        <v>0</v>
      </c>
      <c r="J94" s="28">
        <f t="shared" ref="J94" si="75">I94/I$145</f>
        <v>0</v>
      </c>
      <c r="K94" s="16">
        <f>HO!K94+'Gulf Mall'!K94+BTC!K94</f>
        <v>0</v>
      </c>
      <c r="L94" s="28">
        <f t="shared" ref="L94" si="76">K94/K$145</f>
        <v>0</v>
      </c>
      <c r="M94" s="16">
        <f>HO!M94+'Gulf Mall'!M94+BTC!M94</f>
        <v>0</v>
      </c>
      <c r="N94" s="28">
        <f t="shared" ref="N94" si="77">M94/M$145</f>
        <v>0</v>
      </c>
      <c r="O94" s="16">
        <f>HO!O94+'Gulf Mall'!O94+BTC!O94</f>
        <v>0</v>
      </c>
      <c r="P94" s="28">
        <f t="shared" ref="P94" si="78">O94/O$145</f>
        <v>0</v>
      </c>
      <c r="Q94" s="16">
        <f>HO!Q94+'Gulf Mall'!Q94+BTC!Q94</f>
        <v>0</v>
      </c>
      <c r="R94" s="28">
        <f t="shared" ref="R94" si="79">Q94/Q$145</f>
        <v>0</v>
      </c>
      <c r="S94" s="16">
        <f>HO!S94+'Gulf Mall'!S94+BTC!S94</f>
        <v>0</v>
      </c>
      <c r="T94" s="28">
        <f t="shared" si="71"/>
        <v>0</v>
      </c>
      <c r="U94" s="16">
        <f>HO!U94+'Gulf Mall'!U94+BTC!U94</f>
        <v>0</v>
      </c>
      <c r="V94" s="28">
        <f t="shared" ref="V94" si="80">U94/U$145</f>
        <v>0</v>
      </c>
      <c r="W94" s="16">
        <f>HO!W94+'Gulf Mall'!W94+BTC!W94</f>
        <v>0</v>
      </c>
      <c r="X94" s="28">
        <f t="shared" ref="X94" si="81">W94/W$145</f>
        <v>0</v>
      </c>
      <c r="Y94" s="16">
        <f>HO!Y94+'Gulf Mall'!Y94+BTC!Y94</f>
        <v>0</v>
      </c>
      <c r="Z94" s="28">
        <f t="shared" si="50"/>
        <v>0</v>
      </c>
      <c r="AA94" s="59">
        <f t="shared" ref="AA94" si="82">C94+E94+G94+I94+K94+M94+O94+Q94+S94+U94+W94+Y94</f>
        <v>0</v>
      </c>
      <c r="AB94" s="60">
        <f t="shared" si="71"/>
        <v>0</v>
      </c>
      <c r="AC94" s="67">
        <f t="shared" si="51"/>
        <v>0</v>
      </c>
      <c r="AD94" s="68">
        <f t="shared" si="71"/>
        <v>0</v>
      </c>
      <c r="AE94" s="44">
        <f t="shared" si="52"/>
        <v>0</v>
      </c>
      <c r="AF94" s="21">
        <f t="shared" si="53"/>
        <v>0</v>
      </c>
      <c r="AW94" s="44"/>
      <c r="AX94" s="44"/>
    </row>
    <row r="95" spans="1:50">
      <c r="A95" s="2">
        <v>6302</v>
      </c>
      <c r="B95" s="2" t="s">
        <v>37</v>
      </c>
      <c r="C95" s="16">
        <f>HO!C95+'Gulf Mall'!C95+BTC!C95</f>
        <v>0</v>
      </c>
      <c r="D95" s="28">
        <f t="shared" ref="D95:D114" si="83">C95/C$145</f>
        <v>0</v>
      </c>
      <c r="E95" s="16">
        <f>HO!E95+'Gulf Mall'!E95+BTC!E95</f>
        <v>0</v>
      </c>
      <c r="F95" s="28">
        <f t="shared" ref="F95:F114" si="84">E95/E$145</f>
        <v>0</v>
      </c>
      <c r="G95" s="16">
        <f>HO!G95+'Gulf Mall'!G95+BTC!G95</f>
        <v>0</v>
      </c>
      <c r="H95" s="28">
        <f t="shared" ref="H95:H114" si="85">G95/G$145</f>
        <v>0</v>
      </c>
      <c r="I95" s="16">
        <f>HO!I95+'Gulf Mall'!I95+BTC!I95</f>
        <v>0</v>
      </c>
      <c r="J95" s="28">
        <f t="shared" ref="J95:J114" si="86">I95/I$145</f>
        <v>0</v>
      </c>
      <c r="K95" s="16">
        <f>HO!K95+'Gulf Mall'!K95+BTC!K95</f>
        <v>0</v>
      </c>
      <c r="L95" s="28">
        <f t="shared" ref="L95:L114" si="87">K95/K$145</f>
        <v>0</v>
      </c>
      <c r="M95" s="16">
        <f>HO!M95+'Gulf Mall'!M95+BTC!M95</f>
        <v>0</v>
      </c>
      <c r="N95" s="28">
        <f t="shared" ref="N95:N114" si="88">M95/M$145</f>
        <v>0</v>
      </c>
      <c r="O95" s="16">
        <f>HO!O95+'Gulf Mall'!O95+BTC!O95</f>
        <v>0</v>
      </c>
      <c r="P95" s="28">
        <f t="shared" ref="P95:P114" si="89">O95/O$145</f>
        <v>0</v>
      </c>
      <c r="Q95" s="16">
        <f>HO!Q95+'Gulf Mall'!Q95+BTC!Q95</f>
        <v>0</v>
      </c>
      <c r="R95" s="28">
        <f t="shared" ref="R95:R114" si="90">Q95/Q$145</f>
        <v>0</v>
      </c>
      <c r="S95" s="16">
        <f>HO!S95+'Gulf Mall'!S95+BTC!S95</f>
        <v>0</v>
      </c>
      <c r="T95" s="28">
        <f t="shared" ref="T95:T114" si="91">S95/S$145</f>
        <v>0</v>
      </c>
      <c r="U95" s="16">
        <f>HO!U95+'Gulf Mall'!U95+BTC!U95</f>
        <v>0</v>
      </c>
      <c r="V95" s="28">
        <f t="shared" ref="V95:V114" si="92">U95/U$145</f>
        <v>0</v>
      </c>
      <c r="W95" s="16">
        <f>HO!W95+'Gulf Mall'!W95+BTC!W95</f>
        <v>0</v>
      </c>
      <c r="X95" s="28">
        <f t="shared" ref="X95:X114" si="93">W95/W$145</f>
        <v>0</v>
      </c>
      <c r="Y95" s="16">
        <f>HO!Y95+'Gulf Mall'!Y95+BTC!Y95</f>
        <v>0</v>
      </c>
      <c r="Z95" s="28">
        <f t="shared" ref="Z95:Z114" si="94">Y95/Y$145</f>
        <v>0</v>
      </c>
      <c r="AA95" s="59">
        <f t="shared" ref="AA95:AA114" si="95">C95+E95+G95+I95+K95+M95+O95+Q95+S95+U95+W95+Y95</f>
        <v>0</v>
      </c>
      <c r="AB95" s="60">
        <f t="shared" ref="AB95:AB114" si="96">AA95/AA$145</f>
        <v>0</v>
      </c>
      <c r="AC95" s="67">
        <f t="shared" ref="AC95:AC114" si="97">AA95/12</f>
        <v>0</v>
      </c>
      <c r="AD95" s="68">
        <f t="shared" ref="AD95:AD114" si="98">AC95/AC$145</f>
        <v>0</v>
      </c>
      <c r="AE95" s="44">
        <f t="shared" si="52"/>
        <v>0</v>
      </c>
      <c r="AF95" s="21">
        <f t="shared" si="53"/>
        <v>0</v>
      </c>
      <c r="AW95" s="44"/>
      <c r="AX95" s="44"/>
    </row>
    <row r="96" spans="1:50">
      <c r="A96" s="2">
        <v>6303</v>
      </c>
      <c r="B96" s="2" t="s">
        <v>115</v>
      </c>
      <c r="C96" s="16">
        <f>HO!C96+'Gulf Mall'!C96+BTC!C96</f>
        <v>0</v>
      </c>
      <c r="D96" s="28">
        <f t="shared" si="83"/>
        <v>0</v>
      </c>
      <c r="E96" s="16">
        <f>HO!E96+'Gulf Mall'!E96+BTC!E96</f>
        <v>0</v>
      </c>
      <c r="F96" s="28">
        <f t="shared" si="84"/>
        <v>0</v>
      </c>
      <c r="G96" s="16">
        <f>HO!G96+'Gulf Mall'!G96+BTC!G96</f>
        <v>0</v>
      </c>
      <c r="H96" s="28">
        <f t="shared" si="85"/>
        <v>0</v>
      </c>
      <c r="I96" s="16">
        <f>HO!I96+'Gulf Mall'!I96+BTC!I96</f>
        <v>0</v>
      </c>
      <c r="J96" s="28">
        <f t="shared" si="86"/>
        <v>0</v>
      </c>
      <c r="K96" s="16">
        <f>HO!K96+'Gulf Mall'!K96+BTC!K96</f>
        <v>50000</v>
      </c>
      <c r="L96" s="28">
        <f t="shared" si="87"/>
        <v>6.0161933250538376E-2</v>
      </c>
      <c r="M96" s="16">
        <f>HO!M96+'Gulf Mall'!M96+BTC!M96</f>
        <v>0</v>
      </c>
      <c r="N96" s="28">
        <f t="shared" si="88"/>
        <v>0</v>
      </c>
      <c r="O96" s="16">
        <f>HO!O96+'Gulf Mall'!O96+BTC!O96</f>
        <v>0</v>
      </c>
      <c r="P96" s="28">
        <f t="shared" si="89"/>
        <v>0</v>
      </c>
      <c r="Q96" s="16">
        <f>HO!Q96+'Gulf Mall'!Q96+BTC!Q96</f>
        <v>0</v>
      </c>
      <c r="R96" s="28">
        <f t="shared" si="90"/>
        <v>0</v>
      </c>
      <c r="S96" s="16">
        <f>HO!S96+'Gulf Mall'!S96+BTC!S96</f>
        <v>0</v>
      </c>
      <c r="T96" s="28">
        <f t="shared" si="91"/>
        <v>0</v>
      </c>
      <c r="U96" s="16">
        <f>HO!U96+'Gulf Mall'!U96+BTC!U96</f>
        <v>0</v>
      </c>
      <c r="V96" s="28">
        <f t="shared" si="92"/>
        <v>0</v>
      </c>
      <c r="W96" s="16">
        <f>HO!W96+'Gulf Mall'!W96+BTC!W96</f>
        <v>34000</v>
      </c>
      <c r="X96" s="28">
        <f t="shared" si="93"/>
        <v>4.3385122229408053E-2</v>
      </c>
      <c r="Y96" s="16">
        <f>HO!Y96+'Gulf Mall'!Y96+BTC!Y96</f>
        <v>0</v>
      </c>
      <c r="Z96" s="28">
        <f t="shared" si="94"/>
        <v>0</v>
      </c>
      <c r="AA96" s="59">
        <f t="shared" si="95"/>
        <v>84000</v>
      </c>
      <c r="AB96" s="60">
        <f t="shared" si="96"/>
        <v>9.1132082700710014E-3</v>
      </c>
      <c r="AC96" s="67">
        <f t="shared" si="97"/>
        <v>7000</v>
      </c>
      <c r="AD96" s="68">
        <f t="shared" si="98"/>
        <v>9.1132082700710014E-3</v>
      </c>
      <c r="AE96" s="44">
        <f t="shared" si="52"/>
        <v>84000</v>
      </c>
      <c r="AF96" s="21">
        <f t="shared" si="53"/>
        <v>0</v>
      </c>
      <c r="AW96" s="44"/>
      <c r="AX96" s="44"/>
    </row>
    <row r="97" spans="1:50">
      <c r="A97" s="2">
        <v>6304</v>
      </c>
      <c r="B97" s="2" t="s">
        <v>38</v>
      </c>
      <c r="C97" s="16">
        <f>HO!C97+'Gulf Mall'!C97+BTC!C97</f>
        <v>0</v>
      </c>
      <c r="D97" s="28">
        <f t="shared" si="83"/>
        <v>0</v>
      </c>
      <c r="E97" s="16">
        <f>HO!E97+'Gulf Mall'!E97+BTC!E97</f>
        <v>0</v>
      </c>
      <c r="F97" s="28">
        <f t="shared" si="84"/>
        <v>0</v>
      </c>
      <c r="G97" s="16">
        <f>HO!G97+'Gulf Mall'!G97+BTC!G97</f>
        <v>0</v>
      </c>
      <c r="H97" s="28">
        <f t="shared" si="85"/>
        <v>0</v>
      </c>
      <c r="I97" s="16">
        <f>HO!I97+'Gulf Mall'!I97+BTC!I97</f>
        <v>0</v>
      </c>
      <c r="J97" s="28">
        <f t="shared" si="86"/>
        <v>0</v>
      </c>
      <c r="K97" s="16">
        <f>HO!K97+'Gulf Mall'!K97+BTC!K97</f>
        <v>0</v>
      </c>
      <c r="L97" s="28">
        <f t="shared" si="87"/>
        <v>0</v>
      </c>
      <c r="M97" s="16">
        <f>HO!M97+'Gulf Mall'!M97+BTC!M97</f>
        <v>0</v>
      </c>
      <c r="N97" s="28">
        <f t="shared" si="88"/>
        <v>0</v>
      </c>
      <c r="O97" s="16">
        <f>HO!O97+'Gulf Mall'!O97+BTC!O97</f>
        <v>0</v>
      </c>
      <c r="P97" s="28">
        <f t="shared" si="89"/>
        <v>0</v>
      </c>
      <c r="Q97" s="16">
        <f>HO!Q97+'Gulf Mall'!Q97+BTC!Q97</f>
        <v>0</v>
      </c>
      <c r="R97" s="28">
        <f t="shared" si="90"/>
        <v>0</v>
      </c>
      <c r="S97" s="16">
        <f>HO!S97+'Gulf Mall'!S97+BTC!S97</f>
        <v>0</v>
      </c>
      <c r="T97" s="28">
        <f t="shared" si="91"/>
        <v>0</v>
      </c>
      <c r="U97" s="16">
        <f>HO!U97+'Gulf Mall'!U97+BTC!U97</f>
        <v>0</v>
      </c>
      <c r="V97" s="28">
        <f t="shared" si="92"/>
        <v>0</v>
      </c>
      <c r="W97" s="16">
        <f>HO!W97+'Gulf Mall'!W97+BTC!W97</f>
        <v>0</v>
      </c>
      <c r="X97" s="28">
        <f t="shared" si="93"/>
        <v>0</v>
      </c>
      <c r="Y97" s="16">
        <f>HO!Y97+'Gulf Mall'!Y97+BTC!Y97</f>
        <v>0</v>
      </c>
      <c r="Z97" s="28">
        <f t="shared" si="94"/>
        <v>0</v>
      </c>
      <c r="AA97" s="59">
        <f t="shared" si="95"/>
        <v>0</v>
      </c>
      <c r="AB97" s="60">
        <f t="shared" si="96"/>
        <v>0</v>
      </c>
      <c r="AC97" s="67">
        <f t="shared" si="97"/>
        <v>0</v>
      </c>
      <c r="AD97" s="68">
        <f t="shared" si="98"/>
        <v>0</v>
      </c>
      <c r="AE97" s="44">
        <f t="shared" si="52"/>
        <v>0</v>
      </c>
      <c r="AF97" s="21">
        <f t="shared" si="53"/>
        <v>0</v>
      </c>
      <c r="AW97" s="44"/>
      <c r="AX97" s="44"/>
    </row>
    <row r="98" spans="1:50">
      <c r="A98" s="2">
        <v>6305</v>
      </c>
      <c r="B98" s="2" t="s">
        <v>39</v>
      </c>
      <c r="C98" s="16">
        <f>HO!C98+'Gulf Mall'!C98+BTC!C98</f>
        <v>0</v>
      </c>
      <c r="D98" s="28">
        <f t="shared" si="83"/>
        <v>0</v>
      </c>
      <c r="E98" s="16">
        <f>HO!E98+'Gulf Mall'!E98+BTC!E98</f>
        <v>0</v>
      </c>
      <c r="F98" s="28">
        <f t="shared" si="84"/>
        <v>0</v>
      </c>
      <c r="G98" s="16">
        <f>HO!G98+'Gulf Mall'!G98+BTC!G98</f>
        <v>0</v>
      </c>
      <c r="H98" s="28">
        <f t="shared" si="85"/>
        <v>0</v>
      </c>
      <c r="I98" s="16">
        <f>HO!I98+'Gulf Mall'!I98+BTC!I98</f>
        <v>0</v>
      </c>
      <c r="J98" s="28">
        <f t="shared" si="86"/>
        <v>0</v>
      </c>
      <c r="K98" s="16">
        <f>HO!K98+'Gulf Mall'!K98+BTC!K98</f>
        <v>0</v>
      </c>
      <c r="L98" s="28">
        <f t="shared" si="87"/>
        <v>0</v>
      </c>
      <c r="M98" s="16">
        <f>HO!M98+'Gulf Mall'!M98+BTC!M98</f>
        <v>0</v>
      </c>
      <c r="N98" s="28">
        <f t="shared" si="88"/>
        <v>0</v>
      </c>
      <c r="O98" s="16">
        <f>HO!O98+'Gulf Mall'!O98+BTC!O98</f>
        <v>0</v>
      </c>
      <c r="P98" s="28">
        <f t="shared" si="89"/>
        <v>0</v>
      </c>
      <c r="Q98" s="16">
        <f>HO!Q98+'Gulf Mall'!Q98+BTC!Q98</f>
        <v>0</v>
      </c>
      <c r="R98" s="28">
        <f t="shared" si="90"/>
        <v>0</v>
      </c>
      <c r="S98" s="16">
        <f>HO!S98+'Gulf Mall'!S98+BTC!S98</f>
        <v>0</v>
      </c>
      <c r="T98" s="28">
        <f t="shared" si="91"/>
        <v>0</v>
      </c>
      <c r="U98" s="16">
        <f>HO!U98+'Gulf Mall'!U98+BTC!U98</f>
        <v>0</v>
      </c>
      <c r="V98" s="28">
        <f t="shared" si="92"/>
        <v>0</v>
      </c>
      <c r="W98" s="16">
        <f>HO!W98+'Gulf Mall'!W98+BTC!W98</f>
        <v>0</v>
      </c>
      <c r="X98" s="28">
        <f t="shared" si="93"/>
        <v>0</v>
      </c>
      <c r="Y98" s="16">
        <f>HO!Y98+'Gulf Mall'!Y98+BTC!Y98</f>
        <v>0</v>
      </c>
      <c r="Z98" s="28">
        <f t="shared" si="94"/>
        <v>0</v>
      </c>
      <c r="AA98" s="59">
        <f t="shared" si="95"/>
        <v>0</v>
      </c>
      <c r="AB98" s="60">
        <f t="shared" si="96"/>
        <v>0</v>
      </c>
      <c r="AC98" s="67">
        <f t="shared" si="97"/>
        <v>0</v>
      </c>
      <c r="AD98" s="68">
        <f t="shared" si="98"/>
        <v>0</v>
      </c>
      <c r="AE98" s="44">
        <f t="shared" si="52"/>
        <v>0</v>
      </c>
      <c r="AF98" s="21">
        <f t="shared" si="53"/>
        <v>0</v>
      </c>
      <c r="AW98" s="44"/>
      <c r="AX98" s="44"/>
    </row>
    <row r="99" spans="1:50">
      <c r="A99" s="2">
        <v>6306</v>
      </c>
      <c r="B99" s="2" t="s">
        <v>40</v>
      </c>
      <c r="C99" s="16">
        <f>HO!C99+'Gulf Mall'!C99+BTC!C99</f>
        <v>0</v>
      </c>
      <c r="D99" s="28">
        <f t="shared" si="83"/>
        <v>0</v>
      </c>
      <c r="E99" s="16">
        <f>HO!E99+'Gulf Mall'!E99+BTC!E99</f>
        <v>0</v>
      </c>
      <c r="F99" s="28">
        <f t="shared" si="84"/>
        <v>0</v>
      </c>
      <c r="G99" s="16">
        <f>HO!G99+'Gulf Mall'!G99+BTC!G99</f>
        <v>0</v>
      </c>
      <c r="H99" s="28">
        <f t="shared" si="85"/>
        <v>0</v>
      </c>
      <c r="I99" s="16">
        <f>HO!I99+'Gulf Mall'!I99+BTC!I99</f>
        <v>0</v>
      </c>
      <c r="J99" s="28">
        <f t="shared" si="86"/>
        <v>0</v>
      </c>
      <c r="K99" s="16">
        <f>HO!K99+'Gulf Mall'!K99+BTC!K99</f>
        <v>0</v>
      </c>
      <c r="L99" s="28">
        <f t="shared" si="87"/>
        <v>0</v>
      </c>
      <c r="M99" s="16">
        <f>HO!M99+'Gulf Mall'!M99+BTC!M99</f>
        <v>0</v>
      </c>
      <c r="N99" s="28">
        <f t="shared" si="88"/>
        <v>0</v>
      </c>
      <c r="O99" s="16">
        <f>HO!O99+'Gulf Mall'!O99+BTC!O99</f>
        <v>0</v>
      </c>
      <c r="P99" s="28">
        <f t="shared" si="89"/>
        <v>0</v>
      </c>
      <c r="Q99" s="16">
        <f>HO!Q99+'Gulf Mall'!Q99+BTC!Q99</f>
        <v>0</v>
      </c>
      <c r="R99" s="28">
        <f t="shared" si="90"/>
        <v>0</v>
      </c>
      <c r="S99" s="16">
        <f>HO!S99+'Gulf Mall'!S99+BTC!S99</f>
        <v>0</v>
      </c>
      <c r="T99" s="28">
        <f t="shared" si="91"/>
        <v>0</v>
      </c>
      <c r="U99" s="16">
        <f>HO!U99+'Gulf Mall'!U99+BTC!U99</f>
        <v>0</v>
      </c>
      <c r="V99" s="28">
        <f t="shared" si="92"/>
        <v>0</v>
      </c>
      <c r="W99" s="16">
        <f>HO!W99+'Gulf Mall'!W99+BTC!W99</f>
        <v>0</v>
      </c>
      <c r="X99" s="28">
        <f t="shared" si="93"/>
        <v>0</v>
      </c>
      <c r="Y99" s="16">
        <f>HO!Y99+'Gulf Mall'!Y99+BTC!Y99</f>
        <v>0</v>
      </c>
      <c r="Z99" s="28">
        <f t="shared" si="94"/>
        <v>0</v>
      </c>
      <c r="AA99" s="59">
        <f t="shared" si="95"/>
        <v>0</v>
      </c>
      <c r="AB99" s="60">
        <f t="shared" si="96"/>
        <v>0</v>
      </c>
      <c r="AC99" s="67">
        <f t="shared" si="97"/>
        <v>0</v>
      </c>
      <c r="AD99" s="68">
        <f t="shared" si="98"/>
        <v>0</v>
      </c>
      <c r="AE99" s="44">
        <f t="shared" si="52"/>
        <v>0</v>
      </c>
      <c r="AF99" s="21">
        <f t="shared" si="53"/>
        <v>0</v>
      </c>
      <c r="AW99" s="44"/>
      <c r="AX99" s="44"/>
    </row>
    <row r="100" spans="1:50">
      <c r="A100" s="2">
        <v>6307</v>
      </c>
      <c r="B100" s="2" t="s">
        <v>248</v>
      </c>
      <c r="C100" s="16">
        <f>HO!C100+'Gulf Mall'!C100+BTC!C100</f>
        <v>0</v>
      </c>
      <c r="D100" s="28">
        <f t="shared" si="83"/>
        <v>0</v>
      </c>
      <c r="E100" s="16">
        <f>HO!E100+'Gulf Mall'!E100+BTC!E100</f>
        <v>625</v>
      </c>
      <c r="F100" s="28">
        <f t="shared" si="84"/>
        <v>8.0995672176915412E-4</v>
      </c>
      <c r="G100" s="16">
        <f>HO!G100+'Gulf Mall'!G100+BTC!G100</f>
        <v>625</v>
      </c>
      <c r="H100" s="28">
        <f t="shared" si="85"/>
        <v>8.1486914557204158E-4</v>
      </c>
      <c r="I100" s="16">
        <f>HO!I100+'Gulf Mall'!I100+BTC!I100</f>
        <v>3495</v>
      </c>
      <c r="J100" s="28">
        <f t="shared" si="86"/>
        <v>4.485583448336594E-3</v>
      </c>
      <c r="K100" s="16">
        <f>HO!K100+'Gulf Mall'!K100+BTC!K100</f>
        <v>625</v>
      </c>
      <c r="L100" s="28">
        <f t="shared" si="87"/>
        <v>7.5202416563172969E-4</v>
      </c>
      <c r="M100" s="16">
        <f>HO!M100+'Gulf Mall'!M100+BTC!M100</f>
        <v>0</v>
      </c>
      <c r="N100" s="28">
        <f t="shared" si="88"/>
        <v>0</v>
      </c>
      <c r="O100" s="16">
        <f>HO!O100+'Gulf Mall'!O100+BTC!O100</f>
        <v>625</v>
      </c>
      <c r="P100" s="28">
        <f t="shared" si="89"/>
        <v>8.2705480581604976E-4</v>
      </c>
      <c r="Q100" s="16">
        <f>HO!Q100+'Gulf Mall'!Q100+BTC!Q100</f>
        <v>625</v>
      </c>
      <c r="R100" s="28">
        <f t="shared" si="90"/>
        <v>7.9270318868053925E-4</v>
      </c>
      <c r="S100" s="16">
        <f>HO!S100+'Gulf Mall'!S100+BTC!S100</f>
        <v>625</v>
      </c>
      <c r="T100" s="28">
        <f t="shared" si="91"/>
        <v>8.1582831500648899E-4</v>
      </c>
      <c r="U100" s="16">
        <f>HO!U100+'Gulf Mall'!U100+BTC!U100</f>
        <v>625</v>
      </c>
      <c r="V100" s="28">
        <f t="shared" si="92"/>
        <v>8.1769897680906219E-4</v>
      </c>
      <c r="W100" s="16">
        <f>HO!W100+'Gulf Mall'!W100+BTC!W100</f>
        <v>625</v>
      </c>
      <c r="X100" s="28">
        <f t="shared" si="93"/>
        <v>7.9752062921705977E-4</v>
      </c>
      <c r="Y100" s="16">
        <f>HO!Y100+'Gulf Mall'!Y100+BTC!Y100</f>
        <v>625</v>
      </c>
      <c r="Z100" s="28">
        <f t="shared" si="94"/>
        <v>7.9804227946797784E-4</v>
      </c>
      <c r="AA100" s="59">
        <f t="shared" si="95"/>
        <v>9120</v>
      </c>
      <c r="AB100" s="60">
        <f t="shared" si="96"/>
        <v>9.8943404075056587E-4</v>
      </c>
      <c r="AC100" s="67">
        <f t="shared" si="97"/>
        <v>760</v>
      </c>
      <c r="AD100" s="68">
        <f t="shared" si="98"/>
        <v>9.8943404075056587E-4</v>
      </c>
      <c r="AE100" s="44"/>
      <c r="AF100" s="21"/>
      <c r="AW100" s="44"/>
      <c r="AX100" s="44"/>
    </row>
    <row r="101" spans="1:50">
      <c r="A101" s="2">
        <v>6308</v>
      </c>
      <c r="B101" s="2" t="s">
        <v>126</v>
      </c>
      <c r="C101" s="16">
        <f>HO!C101+'Gulf Mall'!C101+BTC!C101</f>
        <v>0</v>
      </c>
      <c r="D101" s="28">
        <f t="shared" si="83"/>
        <v>0</v>
      </c>
      <c r="E101" s="16">
        <f>HO!E101+'Gulf Mall'!E101+BTC!E101</f>
        <v>0</v>
      </c>
      <c r="F101" s="28">
        <f t="shared" si="84"/>
        <v>0</v>
      </c>
      <c r="G101" s="16">
        <f>HO!G101+'Gulf Mall'!G101+BTC!G101</f>
        <v>0</v>
      </c>
      <c r="H101" s="28">
        <f t="shared" si="85"/>
        <v>0</v>
      </c>
      <c r="I101" s="16">
        <f>HO!I101+'Gulf Mall'!I101+BTC!I101</f>
        <v>0</v>
      </c>
      <c r="J101" s="28">
        <f t="shared" si="86"/>
        <v>0</v>
      </c>
      <c r="K101" s="16">
        <f>HO!K101+'Gulf Mall'!K101+BTC!K101</f>
        <v>0</v>
      </c>
      <c r="L101" s="28">
        <f t="shared" si="87"/>
        <v>0</v>
      </c>
      <c r="M101" s="16">
        <f>HO!M101+'Gulf Mall'!M101+BTC!M101</f>
        <v>0</v>
      </c>
      <c r="N101" s="28">
        <f t="shared" si="88"/>
        <v>0</v>
      </c>
      <c r="O101" s="16">
        <f>HO!O101+'Gulf Mall'!O101+BTC!O101</f>
        <v>0</v>
      </c>
      <c r="P101" s="28">
        <f t="shared" si="89"/>
        <v>0</v>
      </c>
      <c r="Q101" s="16">
        <f>HO!Q101+'Gulf Mall'!Q101+BTC!Q101</f>
        <v>0</v>
      </c>
      <c r="R101" s="28">
        <f t="shared" si="90"/>
        <v>0</v>
      </c>
      <c r="S101" s="16">
        <f>HO!S101+'Gulf Mall'!S101+BTC!S101</f>
        <v>0</v>
      </c>
      <c r="T101" s="28">
        <f t="shared" si="91"/>
        <v>0</v>
      </c>
      <c r="U101" s="16">
        <f>HO!U101+'Gulf Mall'!U101+BTC!U101</f>
        <v>0</v>
      </c>
      <c r="V101" s="28">
        <f t="shared" si="92"/>
        <v>0</v>
      </c>
      <c r="W101" s="16">
        <f>HO!W101+'Gulf Mall'!W101+BTC!W101</f>
        <v>0</v>
      </c>
      <c r="X101" s="28">
        <f t="shared" si="93"/>
        <v>0</v>
      </c>
      <c r="Y101" s="16">
        <f>HO!Y101+'Gulf Mall'!Y101+BTC!Y101</f>
        <v>0</v>
      </c>
      <c r="Z101" s="28">
        <f t="shared" si="94"/>
        <v>0</v>
      </c>
      <c r="AA101" s="59">
        <f t="shared" si="95"/>
        <v>0</v>
      </c>
      <c r="AB101" s="60">
        <f t="shared" si="96"/>
        <v>0</v>
      </c>
      <c r="AC101" s="67">
        <f t="shared" si="97"/>
        <v>0</v>
      </c>
      <c r="AD101" s="68">
        <f t="shared" si="98"/>
        <v>0</v>
      </c>
      <c r="AE101" s="44">
        <f t="shared" si="52"/>
        <v>0</v>
      </c>
      <c r="AF101" s="21">
        <f t="shared" si="53"/>
        <v>0</v>
      </c>
      <c r="AW101" s="44"/>
      <c r="AX101" s="44"/>
    </row>
    <row r="102" spans="1:50">
      <c r="A102" s="2">
        <v>6309</v>
      </c>
      <c r="B102" s="2" t="s">
        <v>127</v>
      </c>
      <c r="C102" s="16">
        <f>HO!C102+'Gulf Mall'!C102+BTC!C102</f>
        <v>6167.5198463340012</v>
      </c>
      <c r="D102" s="28">
        <f t="shared" si="83"/>
        <v>8.7299500450864799E-3</v>
      </c>
      <c r="E102" s="16">
        <f>HO!E102+'Gulf Mall'!E102+BTC!E102</f>
        <v>6229.1950447973413</v>
      </c>
      <c r="F102" s="28">
        <f t="shared" si="84"/>
        <v>8.072605436391541E-3</v>
      </c>
      <c r="G102" s="16">
        <f>HO!G102+'Gulf Mall'!G102+BTC!G102</f>
        <v>3145.7434976226573</v>
      </c>
      <c r="H102" s="28">
        <f t="shared" si="85"/>
        <v>4.1013909057545286E-3</v>
      </c>
      <c r="I102" s="16">
        <f>HO!I102+'Gulf Mall'!I102+BTC!I102</f>
        <v>3304.0444395393929</v>
      </c>
      <c r="J102" s="28">
        <f t="shared" si="86"/>
        <v>4.2405055938673705E-3</v>
      </c>
      <c r="K102" s="16">
        <f>HO!K102+'Gulf Mall'!K102+BTC!K102</f>
        <v>6882.4678884397481</v>
      </c>
      <c r="L102" s="28">
        <f t="shared" si="87"/>
        <v>8.2812514740657189E-3</v>
      </c>
      <c r="M102" s="16">
        <f>HO!M102+'Gulf Mall'!M102+BTC!M102</f>
        <v>3521.7779093852555</v>
      </c>
      <c r="N102" s="28">
        <f t="shared" si="88"/>
        <v>4.8872455226821711E-3</v>
      </c>
      <c r="O102" s="16">
        <f>HO!O102+'Gulf Mall'!O102+BTC!O102</f>
        <v>3775.8119033238186</v>
      </c>
      <c r="P102" s="28">
        <f t="shared" si="89"/>
        <v>4.9964854088022561E-3</v>
      </c>
      <c r="Q102" s="16">
        <f>HO!Q102+'Gulf Mall'!Q102+BTC!Q102</f>
        <v>3932.0922786403839</v>
      </c>
      <c r="R102" s="28">
        <f t="shared" si="90"/>
        <v>4.987171339942976E-3</v>
      </c>
      <c r="S102" s="16">
        <f>HO!S102+'Gulf Mall'!S102+BTC!S102</f>
        <v>8235.4114140291676</v>
      </c>
      <c r="T102" s="28">
        <f t="shared" si="91"/>
        <v>1.0749890907668196E-2</v>
      </c>
      <c r="U102" s="16">
        <f>HO!U102+'Gulf Mall'!U102+BTC!U102</f>
        <v>8511.8806647006495</v>
      </c>
      <c r="V102" s="28">
        <f t="shared" si="92"/>
        <v>1.1136249776394498E-2</v>
      </c>
      <c r="W102" s="16">
        <f>HO!W102+'Gulf Mall'!W102+BTC!W102</f>
        <v>4470.1088950006588</v>
      </c>
      <c r="X102" s="28">
        <f t="shared" si="93"/>
        <v>5.7040064937755224E-3</v>
      </c>
      <c r="Y102" s="16">
        <f>HO!Y102+'Gulf Mall'!Y102+BTC!Y102</f>
        <v>4695.05490508818</v>
      </c>
      <c r="Z102" s="28">
        <f t="shared" si="94"/>
        <v>5.9949637098942101E-3</v>
      </c>
      <c r="AA102" s="59">
        <f t="shared" si="95"/>
        <v>62871.108686901251</v>
      </c>
      <c r="AB102" s="60">
        <f t="shared" si="96"/>
        <v>6.8209227099285865E-3</v>
      </c>
      <c r="AC102" s="67">
        <f t="shared" si="97"/>
        <v>5239.2590572417712</v>
      </c>
      <c r="AD102" s="68">
        <f t="shared" si="98"/>
        <v>6.8209227099285865E-3</v>
      </c>
      <c r="AE102" s="44">
        <f t="shared" si="52"/>
        <v>62871.108686901251</v>
      </c>
      <c r="AF102" s="21">
        <f t="shared" si="53"/>
        <v>0</v>
      </c>
      <c r="AW102" s="44"/>
      <c r="AX102" s="44"/>
    </row>
    <row r="103" spans="1:50">
      <c r="A103" s="2">
        <v>6310</v>
      </c>
      <c r="B103" s="2" t="s">
        <v>128</v>
      </c>
      <c r="C103" s="16">
        <f>HO!C103+'Gulf Mall'!C103+BTC!C103</f>
        <v>0</v>
      </c>
      <c r="D103" s="28">
        <f t="shared" si="83"/>
        <v>0</v>
      </c>
      <c r="E103" s="16">
        <f>HO!E103+'Gulf Mall'!E103+BTC!E103</f>
        <v>2000</v>
      </c>
      <c r="F103" s="28">
        <f t="shared" si="84"/>
        <v>2.5918615096612932E-3</v>
      </c>
      <c r="G103" s="16">
        <f>HO!G103+'Gulf Mall'!G103+BTC!G103</f>
        <v>2000</v>
      </c>
      <c r="H103" s="28">
        <f t="shared" si="85"/>
        <v>2.6075812658305332E-3</v>
      </c>
      <c r="I103" s="16">
        <f>HO!I103+'Gulf Mall'!I103+BTC!I103</f>
        <v>2000</v>
      </c>
      <c r="J103" s="28">
        <f t="shared" si="86"/>
        <v>2.5668574811654331E-3</v>
      </c>
      <c r="K103" s="16">
        <f>HO!K103+'Gulf Mall'!K103+BTC!K103</f>
        <v>2000</v>
      </c>
      <c r="L103" s="28">
        <f t="shared" si="87"/>
        <v>2.406477330021535E-3</v>
      </c>
      <c r="M103" s="16">
        <f>HO!M103+'Gulf Mall'!M103+BTC!M103</f>
        <v>0</v>
      </c>
      <c r="N103" s="28">
        <f t="shared" si="88"/>
        <v>0</v>
      </c>
      <c r="O103" s="16">
        <f>HO!O103+'Gulf Mall'!O103+BTC!O103</f>
        <v>2000</v>
      </c>
      <c r="P103" s="28">
        <f t="shared" si="89"/>
        <v>2.6465753786113592E-3</v>
      </c>
      <c r="Q103" s="16">
        <f>HO!Q103+'Gulf Mall'!Q103+BTC!Q103</f>
        <v>2000</v>
      </c>
      <c r="R103" s="28">
        <f t="shared" si="90"/>
        <v>2.5366502037777257E-3</v>
      </c>
      <c r="S103" s="16">
        <f>HO!S103+'Gulf Mall'!S103+BTC!S103</f>
        <v>2000</v>
      </c>
      <c r="T103" s="28">
        <f t="shared" si="91"/>
        <v>2.6106506080207648E-3</v>
      </c>
      <c r="U103" s="16">
        <f>HO!U103+'Gulf Mall'!U103+BTC!U103</f>
        <v>2000</v>
      </c>
      <c r="V103" s="28">
        <f t="shared" si="92"/>
        <v>2.6166367257889991E-3</v>
      </c>
      <c r="W103" s="16">
        <f>HO!W103+'Gulf Mall'!W103+BTC!W103</f>
        <v>2000</v>
      </c>
      <c r="X103" s="28">
        <f t="shared" si="93"/>
        <v>2.5520660134945913E-3</v>
      </c>
      <c r="Y103" s="16">
        <f>HO!Y103+'Gulf Mall'!Y103+BTC!Y103</f>
        <v>2000</v>
      </c>
      <c r="Z103" s="28">
        <f t="shared" si="94"/>
        <v>2.5537352942975292E-3</v>
      </c>
      <c r="AA103" s="59">
        <f t="shared" si="95"/>
        <v>20000</v>
      </c>
      <c r="AB103" s="60">
        <f t="shared" si="96"/>
        <v>2.1698114928740478E-3</v>
      </c>
      <c r="AC103" s="67">
        <f t="shared" si="97"/>
        <v>1666.6666666666667</v>
      </c>
      <c r="AD103" s="68">
        <f t="shared" si="98"/>
        <v>2.1698114928740482E-3</v>
      </c>
      <c r="AE103" s="44">
        <f t="shared" si="52"/>
        <v>20000</v>
      </c>
      <c r="AF103" s="21">
        <f t="shared" si="53"/>
        <v>0</v>
      </c>
      <c r="AW103" s="44"/>
      <c r="AX103" s="44"/>
    </row>
    <row r="104" spans="1:50">
      <c r="A104" s="2">
        <v>6311</v>
      </c>
      <c r="B104" s="2" t="s">
        <v>129</v>
      </c>
      <c r="C104" s="16">
        <f>HO!C104+'Gulf Mall'!C104+BTC!C104</f>
        <v>10000</v>
      </c>
      <c r="D104" s="28">
        <f t="shared" si="83"/>
        <v>1.415471739466813E-2</v>
      </c>
      <c r="E104" s="16">
        <f>HO!E104+'Gulf Mall'!E104+BTC!E104</f>
        <v>0</v>
      </c>
      <c r="F104" s="28">
        <f t="shared" si="84"/>
        <v>0</v>
      </c>
      <c r="G104" s="16">
        <f>HO!G104+'Gulf Mall'!G104+BTC!G104</f>
        <v>0</v>
      </c>
      <c r="H104" s="28">
        <f t="shared" si="85"/>
        <v>0</v>
      </c>
      <c r="I104" s="16">
        <f>HO!I104+'Gulf Mall'!I104+BTC!I104</f>
        <v>0</v>
      </c>
      <c r="J104" s="28">
        <f t="shared" si="86"/>
        <v>0</v>
      </c>
      <c r="K104" s="16">
        <f>HO!K104+'Gulf Mall'!K104+BTC!K104</f>
        <v>0</v>
      </c>
      <c r="L104" s="28">
        <f t="shared" si="87"/>
        <v>0</v>
      </c>
      <c r="M104" s="16">
        <f>HO!M104+'Gulf Mall'!M104+BTC!M104</f>
        <v>0</v>
      </c>
      <c r="N104" s="28">
        <f t="shared" si="88"/>
        <v>0</v>
      </c>
      <c r="O104" s="16">
        <f>HO!O104+'Gulf Mall'!O104+BTC!O104</f>
        <v>0</v>
      </c>
      <c r="P104" s="28">
        <f t="shared" si="89"/>
        <v>0</v>
      </c>
      <c r="Q104" s="16">
        <f>HO!Q104+'Gulf Mall'!Q104+BTC!Q104</f>
        <v>0</v>
      </c>
      <c r="R104" s="28">
        <f t="shared" si="90"/>
        <v>0</v>
      </c>
      <c r="S104" s="16">
        <f>HO!S104+'Gulf Mall'!S104+BTC!S104</f>
        <v>0</v>
      </c>
      <c r="T104" s="28">
        <f t="shared" si="91"/>
        <v>0</v>
      </c>
      <c r="U104" s="16">
        <f>HO!U104+'Gulf Mall'!U104+BTC!U104</f>
        <v>0</v>
      </c>
      <c r="V104" s="28">
        <f t="shared" si="92"/>
        <v>0</v>
      </c>
      <c r="W104" s="16">
        <f>HO!W104+'Gulf Mall'!W104+BTC!W104</f>
        <v>0</v>
      </c>
      <c r="X104" s="28">
        <f t="shared" si="93"/>
        <v>0</v>
      </c>
      <c r="Y104" s="16">
        <f>HO!Y104+'Gulf Mall'!Y104+BTC!Y104</f>
        <v>0</v>
      </c>
      <c r="Z104" s="28">
        <f t="shared" si="94"/>
        <v>0</v>
      </c>
      <c r="AA104" s="59">
        <f t="shared" si="95"/>
        <v>10000</v>
      </c>
      <c r="AB104" s="60">
        <f t="shared" si="96"/>
        <v>1.0849057464370239E-3</v>
      </c>
      <c r="AC104" s="67">
        <f t="shared" si="97"/>
        <v>833.33333333333337</v>
      </c>
      <c r="AD104" s="68">
        <f t="shared" si="98"/>
        <v>1.0849057464370241E-3</v>
      </c>
      <c r="AE104" s="44">
        <f t="shared" si="52"/>
        <v>10000</v>
      </c>
      <c r="AF104" s="21">
        <f t="shared" si="53"/>
        <v>0</v>
      </c>
      <c r="AW104" s="44"/>
      <c r="AX104" s="44"/>
    </row>
    <row r="105" spans="1:50">
      <c r="A105" s="2">
        <v>6312</v>
      </c>
      <c r="B105" s="2" t="s">
        <v>130</v>
      </c>
      <c r="C105" s="16">
        <f>HO!C105+'Gulf Mall'!C105+BTC!C105</f>
        <v>0</v>
      </c>
      <c r="D105" s="28">
        <f t="shared" si="83"/>
        <v>0</v>
      </c>
      <c r="E105" s="16">
        <f>HO!E105+'Gulf Mall'!E105+BTC!E105</f>
        <v>0</v>
      </c>
      <c r="F105" s="28">
        <f t="shared" si="84"/>
        <v>0</v>
      </c>
      <c r="G105" s="16">
        <f>HO!G105+'Gulf Mall'!G105+BTC!G105</f>
        <v>0</v>
      </c>
      <c r="H105" s="28">
        <f t="shared" si="85"/>
        <v>0</v>
      </c>
      <c r="I105" s="16">
        <f>HO!I105+'Gulf Mall'!I105+BTC!I105</f>
        <v>0</v>
      </c>
      <c r="J105" s="28">
        <f t="shared" si="86"/>
        <v>0</v>
      </c>
      <c r="K105" s="16">
        <f>HO!K105+'Gulf Mall'!K105+BTC!K105</f>
        <v>0</v>
      </c>
      <c r="L105" s="28">
        <f t="shared" si="87"/>
        <v>0</v>
      </c>
      <c r="M105" s="16">
        <f>HO!M105+'Gulf Mall'!M105+BTC!M105</f>
        <v>0</v>
      </c>
      <c r="N105" s="28">
        <f t="shared" si="88"/>
        <v>0</v>
      </c>
      <c r="O105" s="16">
        <f>HO!O105+'Gulf Mall'!O105+BTC!O105</f>
        <v>0</v>
      </c>
      <c r="P105" s="28">
        <f t="shared" si="89"/>
        <v>0</v>
      </c>
      <c r="Q105" s="16">
        <f>HO!Q105+'Gulf Mall'!Q105+BTC!Q105</f>
        <v>0</v>
      </c>
      <c r="R105" s="28">
        <f t="shared" si="90"/>
        <v>0</v>
      </c>
      <c r="S105" s="16">
        <f>HO!S105+'Gulf Mall'!S105+BTC!S105</f>
        <v>0</v>
      </c>
      <c r="T105" s="28">
        <f t="shared" si="91"/>
        <v>0</v>
      </c>
      <c r="U105" s="16">
        <f>HO!U105+'Gulf Mall'!U105+BTC!U105</f>
        <v>0</v>
      </c>
      <c r="V105" s="28">
        <f t="shared" si="92"/>
        <v>0</v>
      </c>
      <c r="W105" s="16">
        <f>HO!W105+'Gulf Mall'!W105+BTC!W105</f>
        <v>0</v>
      </c>
      <c r="X105" s="28">
        <f t="shared" si="93"/>
        <v>0</v>
      </c>
      <c r="Y105" s="16">
        <f>HO!Y105+'Gulf Mall'!Y105+BTC!Y105</f>
        <v>0</v>
      </c>
      <c r="Z105" s="28">
        <f t="shared" si="94"/>
        <v>0</v>
      </c>
      <c r="AA105" s="59">
        <f t="shared" si="95"/>
        <v>0</v>
      </c>
      <c r="AB105" s="60">
        <f t="shared" si="96"/>
        <v>0</v>
      </c>
      <c r="AC105" s="67">
        <f t="shared" si="97"/>
        <v>0</v>
      </c>
      <c r="AD105" s="68">
        <f t="shared" si="98"/>
        <v>0</v>
      </c>
      <c r="AE105" s="44">
        <f t="shared" si="52"/>
        <v>0</v>
      </c>
      <c r="AF105" s="21">
        <f t="shared" si="53"/>
        <v>0</v>
      </c>
      <c r="AW105" s="44"/>
      <c r="AX105" s="44"/>
    </row>
    <row r="106" spans="1:50">
      <c r="A106" s="2">
        <v>6313</v>
      </c>
      <c r="B106" s="2" t="s">
        <v>131</v>
      </c>
      <c r="C106" s="16">
        <f>HO!C106+'Gulf Mall'!C106+BTC!C106</f>
        <v>0</v>
      </c>
      <c r="D106" s="28">
        <f t="shared" si="83"/>
        <v>0</v>
      </c>
      <c r="E106" s="16">
        <f>HO!E106+'Gulf Mall'!E106+BTC!E106</f>
        <v>0</v>
      </c>
      <c r="F106" s="28">
        <f t="shared" si="84"/>
        <v>0</v>
      </c>
      <c r="G106" s="16">
        <f>HO!G106+'Gulf Mall'!G106+BTC!G106</f>
        <v>2272.727272727273</v>
      </c>
      <c r="H106" s="28">
        <f t="shared" si="85"/>
        <v>2.9631605293528791E-3</v>
      </c>
      <c r="I106" s="16">
        <f>HO!I106+'Gulf Mall'!I106+BTC!I106</f>
        <v>0</v>
      </c>
      <c r="J106" s="28">
        <f t="shared" si="86"/>
        <v>0</v>
      </c>
      <c r="K106" s="16">
        <f>HO!K106+'Gulf Mall'!K106+BTC!K106</f>
        <v>2272.727272727273</v>
      </c>
      <c r="L106" s="28">
        <f t="shared" si="87"/>
        <v>2.7346333295699262E-3</v>
      </c>
      <c r="M106" s="16">
        <f>HO!M106+'Gulf Mall'!M106+BTC!M106</f>
        <v>0</v>
      </c>
      <c r="N106" s="28">
        <f t="shared" si="88"/>
        <v>0</v>
      </c>
      <c r="O106" s="16">
        <f>HO!O106+'Gulf Mall'!O106+BTC!O106</f>
        <v>0</v>
      </c>
      <c r="P106" s="28">
        <f t="shared" si="89"/>
        <v>0</v>
      </c>
      <c r="Q106" s="16">
        <f>HO!Q106+'Gulf Mall'!Q106+BTC!Q106</f>
        <v>2272.727272727273</v>
      </c>
      <c r="R106" s="28">
        <f t="shared" si="90"/>
        <v>2.8825570497474158E-3</v>
      </c>
      <c r="S106" s="16">
        <f>HO!S106+'Gulf Mall'!S106+BTC!S106</f>
        <v>0</v>
      </c>
      <c r="T106" s="28">
        <f t="shared" si="91"/>
        <v>0</v>
      </c>
      <c r="U106" s="16">
        <f>HO!U106+'Gulf Mall'!U106+BTC!U106</f>
        <v>0</v>
      </c>
      <c r="V106" s="28">
        <f t="shared" si="92"/>
        <v>0</v>
      </c>
      <c r="W106" s="16">
        <f>HO!W106+'Gulf Mall'!W106+BTC!W106</f>
        <v>0</v>
      </c>
      <c r="X106" s="28">
        <f t="shared" si="93"/>
        <v>0</v>
      </c>
      <c r="Y106" s="16">
        <f>HO!Y106+'Gulf Mall'!Y106+BTC!Y106</f>
        <v>2272.727272727273</v>
      </c>
      <c r="Z106" s="28">
        <f t="shared" si="94"/>
        <v>2.9019719253381014E-3</v>
      </c>
      <c r="AA106" s="59">
        <f t="shared" si="95"/>
        <v>9090.9090909090919</v>
      </c>
      <c r="AB106" s="60">
        <f t="shared" si="96"/>
        <v>9.8627795130638548E-4</v>
      </c>
      <c r="AC106" s="67">
        <f t="shared" si="97"/>
        <v>757.57575757575762</v>
      </c>
      <c r="AD106" s="68">
        <f t="shared" si="98"/>
        <v>9.8627795130638548E-4</v>
      </c>
      <c r="AE106" s="44"/>
      <c r="AF106" s="21"/>
      <c r="AW106" s="44"/>
      <c r="AX106" s="44"/>
    </row>
    <row r="107" spans="1:50">
      <c r="A107" s="2">
        <v>6314</v>
      </c>
      <c r="B107" s="2" t="s">
        <v>210</v>
      </c>
      <c r="C107" s="16">
        <f>HO!C107+'Gulf Mall'!C107+BTC!C107</f>
        <v>50000</v>
      </c>
      <c r="D107" s="28">
        <f t="shared" si="83"/>
        <v>7.0773586973340658E-2</v>
      </c>
      <c r="E107" s="16">
        <f>HO!E107+'Gulf Mall'!E107+BTC!E107</f>
        <v>50000</v>
      </c>
      <c r="F107" s="28">
        <f t="shared" si="84"/>
        <v>6.4796537741532323E-2</v>
      </c>
      <c r="G107" s="16">
        <f>HO!G107+'Gulf Mall'!G107+BTC!G107</f>
        <v>50000</v>
      </c>
      <c r="H107" s="28">
        <f t="shared" si="85"/>
        <v>6.5189531645763327E-2</v>
      </c>
      <c r="I107" s="16">
        <f>HO!I107+'Gulf Mall'!I107+BTC!I107</f>
        <v>50000</v>
      </c>
      <c r="J107" s="28">
        <f t="shared" si="86"/>
        <v>6.417143702913583E-2</v>
      </c>
      <c r="K107" s="16">
        <f>HO!K107+'Gulf Mall'!K107+BTC!K107</f>
        <v>50000</v>
      </c>
      <c r="L107" s="28">
        <f t="shared" si="87"/>
        <v>6.0161933250538376E-2</v>
      </c>
      <c r="M107" s="16">
        <f>HO!M107+'Gulf Mall'!M107+BTC!M107</f>
        <v>50000</v>
      </c>
      <c r="N107" s="28">
        <f t="shared" si="88"/>
        <v>6.9386055118042148E-2</v>
      </c>
      <c r="O107" s="16">
        <f>HO!O107+'Gulf Mall'!O107+BTC!O107</f>
        <v>50000</v>
      </c>
      <c r="P107" s="28">
        <f t="shared" si="89"/>
        <v>6.6164384465283985E-2</v>
      </c>
      <c r="Q107" s="16">
        <f>HO!Q107+'Gulf Mall'!Q107+BTC!Q107</f>
        <v>50000</v>
      </c>
      <c r="R107" s="28">
        <f t="shared" si="90"/>
        <v>6.3416255094443139E-2</v>
      </c>
      <c r="S107" s="16">
        <f>HO!S107+'Gulf Mall'!S107+BTC!S107</f>
        <v>50000</v>
      </c>
      <c r="T107" s="28">
        <f t="shared" si="91"/>
        <v>6.5266265200519119E-2</v>
      </c>
      <c r="U107" s="16">
        <f>HO!U107+'Gulf Mall'!U107+BTC!U107</f>
        <v>50000</v>
      </c>
      <c r="V107" s="28">
        <f t="shared" si="92"/>
        <v>6.5415918144724972E-2</v>
      </c>
      <c r="W107" s="16">
        <f>HO!W107+'Gulf Mall'!W107+BTC!W107</f>
        <v>50000</v>
      </c>
      <c r="X107" s="28">
        <f t="shared" si="93"/>
        <v>6.380165033736479E-2</v>
      </c>
      <c r="Y107" s="16">
        <f>HO!Y107+'Gulf Mall'!Y107+BTC!Y107</f>
        <v>50000</v>
      </c>
      <c r="Z107" s="28">
        <f t="shared" si="94"/>
        <v>6.3843382357438222E-2</v>
      </c>
      <c r="AA107" s="59">
        <f t="shared" si="95"/>
        <v>600000</v>
      </c>
      <c r="AB107" s="60">
        <f t="shared" si="96"/>
        <v>6.5094344786221434E-2</v>
      </c>
      <c r="AC107" s="67">
        <f t="shared" si="97"/>
        <v>50000</v>
      </c>
      <c r="AD107" s="68">
        <f t="shared" si="98"/>
        <v>6.5094344786221434E-2</v>
      </c>
      <c r="AE107" s="44">
        <f t="shared" si="52"/>
        <v>600000</v>
      </c>
      <c r="AF107" s="21">
        <f t="shared" si="53"/>
        <v>0</v>
      </c>
      <c r="AW107" s="44"/>
      <c r="AX107" s="44"/>
    </row>
    <row r="108" spans="1:50">
      <c r="A108" s="2">
        <v>6315</v>
      </c>
      <c r="B108" s="2" t="s">
        <v>249</v>
      </c>
      <c r="C108" s="16">
        <f>HO!C108+'Gulf Mall'!C108+BTC!C108</f>
        <v>0</v>
      </c>
      <c r="D108" s="28">
        <f t="shared" si="83"/>
        <v>0</v>
      </c>
      <c r="E108" s="16">
        <f>HO!E108+'Gulf Mall'!E108+BTC!E108</f>
        <v>5498.2699999999995</v>
      </c>
      <c r="F108" s="28">
        <f t="shared" si="84"/>
        <v>7.1253771913626987E-3</v>
      </c>
      <c r="G108" s="16">
        <f>HO!G108+'Gulf Mall'!G108+BTC!G108</f>
        <v>7025.0199999999995</v>
      </c>
      <c r="H108" s="28">
        <f t="shared" si="85"/>
        <v>9.1591552720424046E-3</v>
      </c>
      <c r="I108" s="16">
        <f>HO!I108+'Gulf Mall'!I108+BTC!I108</f>
        <v>5498.2699999999995</v>
      </c>
      <c r="J108" s="28">
        <f t="shared" si="86"/>
        <v>7.0566377414837322E-3</v>
      </c>
      <c r="K108" s="16">
        <f>HO!K108+'Gulf Mall'!K108+BTC!K108</f>
        <v>2413.25</v>
      </c>
      <c r="L108" s="28">
        <f t="shared" si="87"/>
        <v>2.9037157083372346E-3</v>
      </c>
      <c r="M108" s="16">
        <f>HO!M108+'Gulf Mall'!M108+BTC!M108</f>
        <v>0</v>
      </c>
      <c r="N108" s="28">
        <f t="shared" si="88"/>
        <v>0</v>
      </c>
      <c r="O108" s="16">
        <f>HO!O108+'Gulf Mall'!O108+BTC!O108</f>
        <v>1649.875</v>
      </c>
      <c r="P108" s="28">
        <f t="shared" si="89"/>
        <v>2.1832592763932081E-3</v>
      </c>
      <c r="Q108" s="16">
        <f>HO!Q108+'Gulf Mall'!Q108+BTC!Q108</f>
        <v>2413.25</v>
      </c>
      <c r="R108" s="28">
        <f t="shared" si="90"/>
        <v>3.0607855521332982E-3</v>
      </c>
      <c r="S108" s="16">
        <f>HO!S108+'Gulf Mall'!S108+BTC!S108</f>
        <v>0</v>
      </c>
      <c r="T108" s="28">
        <f t="shared" si="91"/>
        <v>0</v>
      </c>
      <c r="U108" s="16">
        <f>HO!U108+'Gulf Mall'!U108+BTC!U108</f>
        <v>1649.875</v>
      </c>
      <c r="V108" s="28">
        <f t="shared" si="92"/>
        <v>2.1585617589805622E-3</v>
      </c>
      <c r="W108" s="16">
        <f>HO!W108+'Gulf Mall'!W108+BTC!W108</f>
        <v>0</v>
      </c>
      <c r="X108" s="28">
        <f t="shared" si="93"/>
        <v>0</v>
      </c>
      <c r="Y108" s="16">
        <f>HO!Y108+'Gulf Mall'!Y108+BTC!Y108</f>
        <v>2413.25</v>
      </c>
      <c r="Z108" s="28">
        <f t="shared" si="94"/>
        <v>3.081400849481756E-3</v>
      </c>
      <c r="AA108" s="59">
        <f t="shared" si="95"/>
        <v>28561.059999999998</v>
      </c>
      <c r="AB108" s="60">
        <f t="shared" si="96"/>
        <v>3.0986058118332624E-3</v>
      </c>
      <c r="AC108" s="67">
        <f t="shared" si="97"/>
        <v>2380.0883333333331</v>
      </c>
      <c r="AD108" s="68">
        <f t="shared" si="98"/>
        <v>3.0986058118332624E-3</v>
      </c>
      <c r="AE108" s="44"/>
      <c r="AF108" s="21"/>
      <c r="AW108" s="44"/>
      <c r="AX108" s="44"/>
    </row>
    <row r="109" spans="1:50">
      <c r="A109" s="2">
        <v>6316</v>
      </c>
      <c r="B109" s="2" t="s">
        <v>250</v>
      </c>
      <c r="C109" s="16">
        <f>HO!C109+'Gulf Mall'!C109+BTC!C109</f>
        <v>0</v>
      </c>
      <c r="D109" s="28">
        <f t="shared" si="83"/>
        <v>0</v>
      </c>
      <c r="E109" s="16">
        <f>HO!E109+'Gulf Mall'!E109+BTC!E109</f>
        <v>15316.75</v>
      </c>
      <c r="F109" s="28">
        <f t="shared" si="84"/>
        <v>1.9849447389052307E-2</v>
      </c>
      <c r="G109" s="16">
        <f>HO!G109+'Gulf Mall'!G109+BTC!G109</f>
        <v>0</v>
      </c>
      <c r="H109" s="28">
        <f t="shared" si="85"/>
        <v>0</v>
      </c>
      <c r="I109" s="16">
        <f>HO!I109+'Gulf Mall'!I109+BTC!I109</f>
        <v>0</v>
      </c>
      <c r="J109" s="28">
        <f t="shared" si="86"/>
        <v>0</v>
      </c>
      <c r="K109" s="16">
        <f>HO!K109+'Gulf Mall'!K109+BTC!K109</f>
        <v>17237.5</v>
      </c>
      <c r="L109" s="28">
        <f t="shared" si="87"/>
        <v>2.0740826488123105E-2</v>
      </c>
      <c r="M109" s="16">
        <f>HO!M109+'Gulf Mall'!M109+BTC!M109</f>
        <v>6550.25</v>
      </c>
      <c r="N109" s="28">
        <f t="shared" si="88"/>
        <v>9.08992015073911E-3</v>
      </c>
      <c r="O109" s="16">
        <f>HO!O109+'Gulf Mall'!O109+BTC!O109</f>
        <v>0</v>
      </c>
      <c r="P109" s="28">
        <f t="shared" si="89"/>
        <v>0</v>
      </c>
      <c r="Q109" s="16">
        <f>HO!Q109+'Gulf Mall'!Q109+BTC!Q109</f>
        <v>17237.5</v>
      </c>
      <c r="R109" s="28">
        <f t="shared" si="90"/>
        <v>2.1862753943809272E-2</v>
      </c>
      <c r="S109" s="16">
        <f>HO!S109+'Gulf Mall'!S109+BTC!S109</f>
        <v>6550.25</v>
      </c>
      <c r="T109" s="28">
        <f t="shared" si="91"/>
        <v>8.5502070725940078E-3</v>
      </c>
      <c r="U109" s="16">
        <f>HO!U109+'Gulf Mall'!U109+BTC!U109</f>
        <v>5516</v>
      </c>
      <c r="V109" s="28">
        <f t="shared" si="92"/>
        <v>7.2166840897260592E-3</v>
      </c>
      <c r="W109" s="16">
        <f>HO!W109+'Gulf Mall'!W109+BTC!W109</f>
        <v>0</v>
      </c>
      <c r="X109" s="28">
        <f t="shared" si="93"/>
        <v>0</v>
      </c>
      <c r="Y109" s="16">
        <f>HO!Y109+'Gulf Mall'!Y109+BTC!Y109</f>
        <v>0</v>
      </c>
      <c r="Z109" s="28">
        <f t="shared" si="94"/>
        <v>0</v>
      </c>
      <c r="AA109" s="59">
        <f t="shared" si="95"/>
        <v>68408.25</v>
      </c>
      <c r="AB109" s="60">
        <f t="shared" si="96"/>
        <v>7.4216503528700545E-3</v>
      </c>
      <c r="AC109" s="67">
        <f t="shared" si="97"/>
        <v>5700.6875</v>
      </c>
      <c r="AD109" s="68">
        <f t="shared" si="98"/>
        <v>7.4216503528700545E-3</v>
      </c>
      <c r="AE109" s="44"/>
      <c r="AF109" s="21"/>
      <c r="AW109" s="44"/>
      <c r="AX109" s="44"/>
    </row>
    <row r="110" spans="1:50">
      <c r="A110" s="2">
        <v>6317</v>
      </c>
      <c r="B110" s="2" t="s">
        <v>251</v>
      </c>
      <c r="C110" s="16">
        <f>HO!C110+'Gulf Mall'!C110+BTC!C110</f>
        <v>0</v>
      </c>
      <c r="D110" s="28">
        <f t="shared" si="83"/>
        <v>0</v>
      </c>
      <c r="E110" s="16">
        <f>HO!E110+'Gulf Mall'!E110+BTC!E110</f>
        <v>3890.75</v>
      </c>
      <c r="F110" s="28">
        <f t="shared" si="84"/>
        <v>5.042142584357338E-3</v>
      </c>
      <c r="G110" s="16">
        <f>HO!G110+'Gulf Mall'!G110+BTC!G110</f>
        <v>0</v>
      </c>
      <c r="H110" s="28">
        <f t="shared" si="85"/>
        <v>0</v>
      </c>
      <c r="I110" s="16">
        <f>HO!I110+'Gulf Mall'!I110+BTC!I110</f>
        <v>17017.106250000001</v>
      </c>
      <c r="J110" s="28">
        <f t="shared" si="86"/>
        <v>2.1840243242799776E-2</v>
      </c>
      <c r="K110" s="16">
        <f>HO!K110+'Gulf Mall'!K110+BTC!K110</f>
        <v>4438.65625</v>
      </c>
      <c r="L110" s="28">
        <f t="shared" si="87"/>
        <v>5.3407628206916993E-3</v>
      </c>
      <c r="M110" s="16">
        <f>HO!M110+'Gulf Mall'!M110+BTC!M110</f>
        <v>0</v>
      </c>
      <c r="N110" s="28">
        <f t="shared" si="88"/>
        <v>0</v>
      </c>
      <c r="O110" s="16">
        <f>HO!O110+'Gulf Mall'!O110+BTC!O110</f>
        <v>0</v>
      </c>
      <c r="P110" s="28">
        <f t="shared" si="89"/>
        <v>0</v>
      </c>
      <c r="Q110" s="16">
        <f>HO!Q110+'Gulf Mall'!Q110+BTC!Q110</f>
        <v>11510.463749999999</v>
      </c>
      <c r="R110" s="28">
        <f t="shared" si="90"/>
        <v>1.459901010850681E-2</v>
      </c>
      <c r="S110" s="16">
        <f>HO!S110+'Gulf Mall'!S110+BTC!S110</f>
        <v>0</v>
      </c>
      <c r="T110" s="28">
        <f t="shared" si="91"/>
        <v>0</v>
      </c>
      <c r="U110" s="16">
        <f>HO!U110+'Gulf Mall'!U110+BTC!U110</f>
        <v>3890.75</v>
      </c>
      <c r="V110" s="28">
        <f t="shared" si="92"/>
        <v>5.0903396704317736E-3</v>
      </c>
      <c r="W110" s="16">
        <f>HO!W110+'Gulf Mall'!W110+BTC!W110</f>
        <v>0</v>
      </c>
      <c r="X110" s="28">
        <f t="shared" si="93"/>
        <v>0</v>
      </c>
      <c r="Y110" s="16">
        <f>HO!Y110+'Gulf Mall'!Y110+BTC!Y110</f>
        <v>0</v>
      </c>
      <c r="Z110" s="28">
        <f t="shared" si="94"/>
        <v>0</v>
      </c>
      <c r="AA110" s="59">
        <f t="shared" si="95"/>
        <v>40747.72625</v>
      </c>
      <c r="AB110" s="60">
        <f t="shared" si="96"/>
        <v>4.4207442362867765E-3</v>
      </c>
      <c r="AC110" s="67">
        <f t="shared" si="97"/>
        <v>3395.6438541666666</v>
      </c>
      <c r="AD110" s="68">
        <f t="shared" si="98"/>
        <v>4.4207442362867765E-3</v>
      </c>
      <c r="AE110" s="44"/>
      <c r="AF110" s="21"/>
      <c r="AW110" s="44"/>
      <c r="AX110" s="44"/>
    </row>
    <row r="111" spans="1:50">
      <c r="A111" s="2">
        <v>6318</v>
      </c>
      <c r="B111" s="2" t="s">
        <v>252</v>
      </c>
      <c r="C111" s="16">
        <f>HO!C111+'Gulf Mall'!C111+BTC!C111</f>
        <v>6570</v>
      </c>
      <c r="D111" s="28">
        <f t="shared" si="83"/>
        <v>9.2996493282969626E-3</v>
      </c>
      <c r="E111" s="16">
        <f>HO!E111+'Gulf Mall'!E111+BTC!E111</f>
        <v>6570</v>
      </c>
      <c r="F111" s="28">
        <f t="shared" si="84"/>
        <v>8.5142650592373477E-3</v>
      </c>
      <c r="G111" s="16">
        <f>HO!G111+'Gulf Mall'!G111+BTC!G111</f>
        <v>6570</v>
      </c>
      <c r="H111" s="28">
        <f t="shared" si="85"/>
        <v>8.5659044582533008E-3</v>
      </c>
      <c r="I111" s="16">
        <f>HO!I111+'Gulf Mall'!I111+BTC!I111</f>
        <v>6570</v>
      </c>
      <c r="J111" s="28">
        <f t="shared" si="86"/>
        <v>8.4321268256284474E-3</v>
      </c>
      <c r="K111" s="16">
        <f>HO!K111+'Gulf Mall'!K111+BTC!K111</f>
        <v>6570</v>
      </c>
      <c r="L111" s="28">
        <f t="shared" si="87"/>
        <v>7.9052780291207422E-3</v>
      </c>
      <c r="M111" s="16">
        <f>HO!M111+'Gulf Mall'!M111+BTC!M111</f>
        <v>6570</v>
      </c>
      <c r="N111" s="28">
        <f t="shared" si="88"/>
        <v>9.117327642510737E-3</v>
      </c>
      <c r="O111" s="16">
        <f>HO!O111+'Gulf Mall'!O111+BTC!O111</f>
        <v>6570</v>
      </c>
      <c r="P111" s="28">
        <f t="shared" si="89"/>
        <v>8.6940001187383147E-3</v>
      </c>
      <c r="Q111" s="16">
        <f>HO!Q111+'Gulf Mall'!Q111+BTC!Q111</f>
        <v>6570</v>
      </c>
      <c r="R111" s="28">
        <f t="shared" si="90"/>
        <v>8.3328959194098294E-3</v>
      </c>
      <c r="S111" s="16">
        <f>HO!S111+'Gulf Mall'!S111+BTC!S111</f>
        <v>6570</v>
      </c>
      <c r="T111" s="28">
        <f t="shared" si="91"/>
        <v>8.5759872473482116E-3</v>
      </c>
      <c r="U111" s="16">
        <f>HO!U111+'Gulf Mall'!U111+BTC!U111</f>
        <v>6570</v>
      </c>
      <c r="V111" s="28">
        <f t="shared" si="92"/>
        <v>8.5956516442168614E-3</v>
      </c>
      <c r="W111" s="16">
        <f>HO!W111+'Gulf Mall'!W111+BTC!W111</f>
        <v>6570</v>
      </c>
      <c r="X111" s="28">
        <f t="shared" si="93"/>
        <v>8.3835368543297324E-3</v>
      </c>
      <c r="Y111" s="16">
        <f>HO!Y111+'Gulf Mall'!Y111+BTC!Y111</f>
        <v>6570</v>
      </c>
      <c r="Z111" s="28">
        <f t="shared" si="94"/>
        <v>8.3890204417673819E-3</v>
      </c>
      <c r="AA111" s="59">
        <f t="shared" si="95"/>
        <v>78840</v>
      </c>
      <c r="AB111" s="60">
        <f t="shared" si="96"/>
        <v>8.5533969049094976E-3</v>
      </c>
      <c r="AC111" s="67">
        <f t="shared" si="97"/>
        <v>6570</v>
      </c>
      <c r="AD111" s="68">
        <f t="shared" si="98"/>
        <v>8.5533969049094976E-3</v>
      </c>
      <c r="AE111" s="44"/>
      <c r="AF111" s="21"/>
      <c r="AW111" s="44"/>
      <c r="AX111" s="44"/>
    </row>
    <row r="112" spans="1:50">
      <c r="A112" s="2">
        <v>6319</v>
      </c>
      <c r="B112" s="2" t="s">
        <v>253</v>
      </c>
      <c r="C112" s="16">
        <f>HO!C112+'Gulf Mall'!C112+BTC!C112</f>
        <v>0</v>
      </c>
      <c r="D112" s="28">
        <f t="shared" si="83"/>
        <v>0</v>
      </c>
      <c r="E112" s="16">
        <f>HO!E112+'Gulf Mall'!E112+BTC!E112</f>
        <v>53770</v>
      </c>
      <c r="F112" s="28">
        <f t="shared" si="84"/>
        <v>6.9682196687243861E-2</v>
      </c>
      <c r="G112" s="16">
        <f>HO!G112+'Gulf Mall'!G112+BTC!G112</f>
        <v>53770</v>
      </c>
      <c r="H112" s="28">
        <f t="shared" si="85"/>
        <v>7.0104822331853889E-2</v>
      </c>
      <c r="I112" s="16">
        <f>HO!I112+'Gulf Mall'!I112+BTC!I112</f>
        <v>53770</v>
      </c>
      <c r="J112" s="28">
        <f t="shared" si="86"/>
        <v>6.9009963381132661E-2</v>
      </c>
      <c r="K112" s="16">
        <f>HO!K112+'Gulf Mall'!K112+BTC!K112</f>
        <v>53770</v>
      </c>
      <c r="L112" s="28">
        <f t="shared" si="87"/>
        <v>6.4698143017628967E-2</v>
      </c>
      <c r="M112" s="16">
        <f>HO!M112+'Gulf Mall'!M112+BTC!M112</f>
        <v>0</v>
      </c>
      <c r="N112" s="28">
        <f t="shared" si="88"/>
        <v>0</v>
      </c>
      <c r="O112" s="16">
        <f>HO!O112+'Gulf Mall'!O112+BTC!O112</f>
        <v>53770</v>
      </c>
      <c r="P112" s="28">
        <f t="shared" si="89"/>
        <v>7.1153179053966384E-2</v>
      </c>
      <c r="Q112" s="16">
        <f>HO!Q112+'Gulf Mall'!Q112+BTC!Q112</f>
        <v>53770</v>
      </c>
      <c r="R112" s="28">
        <f t="shared" si="90"/>
        <v>6.8197840728564149E-2</v>
      </c>
      <c r="S112" s="16">
        <f>HO!S112+'Gulf Mall'!S112+BTC!S112</f>
        <v>53770</v>
      </c>
      <c r="T112" s="28">
        <f t="shared" si="91"/>
        <v>7.0187341596638253E-2</v>
      </c>
      <c r="U112" s="16">
        <f>HO!U112+'Gulf Mall'!U112+BTC!U112</f>
        <v>53770</v>
      </c>
      <c r="V112" s="28">
        <f t="shared" si="92"/>
        <v>7.0348278372837234E-2</v>
      </c>
      <c r="W112" s="16">
        <f>HO!W112+'Gulf Mall'!W112+BTC!W112</f>
        <v>53770</v>
      </c>
      <c r="X112" s="28">
        <f t="shared" si="93"/>
        <v>6.861229477280209E-2</v>
      </c>
      <c r="Y112" s="16">
        <f>HO!Y112+'Gulf Mall'!Y112+BTC!Y112</f>
        <v>53770</v>
      </c>
      <c r="Z112" s="28">
        <f t="shared" si="94"/>
        <v>6.865717338718906E-2</v>
      </c>
      <c r="AA112" s="59">
        <f t="shared" si="95"/>
        <v>537700</v>
      </c>
      <c r="AB112" s="60">
        <f t="shared" si="96"/>
        <v>5.8335381985918783E-2</v>
      </c>
      <c r="AC112" s="67">
        <f t="shared" si="97"/>
        <v>44808.333333333336</v>
      </c>
      <c r="AD112" s="68">
        <f t="shared" si="98"/>
        <v>5.8335381985918783E-2</v>
      </c>
      <c r="AE112" s="44"/>
      <c r="AF112" s="21"/>
      <c r="AW112" s="44"/>
      <c r="AX112" s="44"/>
    </row>
    <row r="113" spans="1:50">
      <c r="A113" s="2">
        <v>6320</v>
      </c>
      <c r="B113" s="2" t="s">
        <v>254</v>
      </c>
      <c r="C113" s="16">
        <f>HO!C113+'Gulf Mall'!C113+BTC!C113</f>
        <v>0</v>
      </c>
      <c r="D113" s="28">
        <f t="shared" si="83"/>
        <v>0</v>
      </c>
      <c r="E113" s="16">
        <f>HO!E113+'Gulf Mall'!E113+BTC!E113</f>
        <v>0</v>
      </c>
      <c r="F113" s="28">
        <f t="shared" si="84"/>
        <v>0</v>
      </c>
      <c r="G113" s="16">
        <f>HO!G113+'Gulf Mall'!G113+BTC!G113</f>
        <v>0</v>
      </c>
      <c r="H113" s="28">
        <f t="shared" si="85"/>
        <v>0</v>
      </c>
      <c r="I113" s="16">
        <f>HO!I113+'Gulf Mall'!I113+BTC!I113</f>
        <v>0</v>
      </c>
      <c r="J113" s="28">
        <f t="shared" si="86"/>
        <v>0</v>
      </c>
      <c r="K113" s="16">
        <f>HO!K113+'Gulf Mall'!K113+BTC!K113</f>
        <v>0</v>
      </c>
      <c r="L113" s="28">
        <f t="shared" si="87"/>
        <v>0</v>
      </c>
      <c r="M113" s="16">
        <f>HO!M113+'Gulf Mall'!M113+BTC!M113</f>
        <v>0</v>
      </c>
      <c r="N113" s="28">
        <f t="shared" si="88"/>
        <v>0</v>
      </c>
      <c r="O113" s="16">
        <f>HO!O113+'Gulf Mall'!O113+BTC!O113</f>
        <v>0</v>
      </c>
      <c r="P113" s="28">
        <f t="shared" si="89"/>
        <v>0</v>
      </c>
      <c r="Q113" s="16">
        <f>HO!Q113+'Gulf Mall'!Q113+BTC!Q113</f>
        <v>0</v>
      </c>
      <c r="R113" s="28">
        <f t="shared" si="90"/>
        <v>0</v>
      </c>
      <c r="S113" s="16">
        <f>HO!S113+'Gulf Mall'!S113+BTC!S113</f>
        <v>0</v>
      </c>
      <c r="T113" s="28">
        <f t="shared" si="91"/>
        <v>0</v>
      </c>
      <c r="U113" s="16">
        <f>HO!U113+'Gulf Mall'!U113+BTC!U113</f>
        <v>0</v>
      </c>
      <c r="V113" s="28">
        <f t="shared" si="92"/>
        <v>0</v>
      </c>
      <c r="W113" s="16">
        <f>HO!W113+'Gulf Mall'!W113+BTC!W113</f>
        <v>0</v>
      </c>
      <c r="X113" s="28">
        <f t="shared" si="93"/>
        <v>0</v>
      </c>
      <c r="Y113" s="16">
        <f>HO!Y113+'Gulf Mall'!Y113+BTC!Y113</f>
        <v>0</v>
      </c>
      <c r="Z113" s="28">
        <f t="shared" si="94"/>
        <v>0</v>
      </c>
      <c r="AA113" s="59">
        <f t="shared" si="95"/>
        <v>0</v>
      </c>
      <c r="AB113" s="60">
        <f t="shared" si="96"/>
        <v>0</v>
      </c>
      <c r="AC113" s="67">
        <f t="shared" si="97"/>
        <v>0</v>
      </c>
      <c r="AD113" s="68">
        <f t="shared" si="98"/>
        <v>0</v>
      </c>
      <c r="AE113" s="44"/>
      <c r="AF113" s="21"/>
      <c r="AW113" s="44"/>
      <c r="AX113" s="44"/>
    </row>
    <row r="114" spans="1:50">
      <c r="A114" s="2">
        <v>6321</v>
      </c>
      <c r="B114" s="2" t="s">
        <v>255</v>
      </c>
      <c r="C114" s="16">
        <f>HO!C114+'Gulf Mall'!C114+BTC!C114</f>
        <v>0</v>
      </c>
      <c r="D114" s="28">
        <f t="shared" si="83"/>
        <v>0</v>
      </c>
      <c r="E114" s="16">
        <f>HO!E114+'Gulf Mall'!E114+BTC!E114</f>
        <v>0</v>
      </c>
      <c r="F114" s="28">
        <f t="shared" si="84"/>
        <v>0</v>
      </c>
      <c r="G114" s="16">
        <f>HO!G114+'Gulf Mall'!G114+BTC!G114</f>
        <v>0</v>
      </c>
      <c r="H114" s="28">
        <f t="shared" si="85"/>
        <v>0</v>
      </c>
      <c r="I114" s="16">
        <f>HO!I114+'Gulf Mall'!I114+BTC!I114</f>
        <v>0</v>
      </c>
      <c r="J114" s="28">
        <f t="shared" si="86"/>
        <v>0</v>
      </c>
      <c r="K114" s="16">
        <f>HO!K114+'Gulf Mall'!K114+BTC!K114</f>
        <v>0</v>
      </c>
      <c r="L114" s="28">
        <f t="shared" si="87"/>
        <v>0</v>
      </c>
      <c r="M114" s="16">
        <f>HO!M114+'Gulf Mall'!M114+BTC!M114</f>
        <v>0</v>
      </c>
      <c r="N114" s="28">
        <f t="shared" si="88"/>
        <v>0</v>
      </c>
      <c r="O114" s="16">
        <f>HO!O114+'Gulf Mall'!O114+BTC!O114</f>
        <v>0</v>
      </c>
      <c r="P114" s="28">
        <f t="shared" si="89"/>
        <v>0</v>
      </c>
      <c r="Q114" s="16">
        <f>HO!Q114+'Gulf Mall'!Q114+BTC!Q114</f>
        <v>0</v>
      </c>
      <c r="R114" s="28">
        <f t="shared" si="90"/>
        <v>0</v>
      </c>
      <c r="S114" s="16">
        <f>HO!S114+'Gulf Mall'!S114+BTC!S114</f>
        <v>0</v>
      </c>
      <c r="T114" s="28">
        <f t="shared" si="91"/>
        <v>0</v>
      </c>
      <c r="U114" s="16">
        <f>HO!U114+'Gulf Mall'!U114+BTC!U114</f>
        <v>0</v>
      </c>
      <c r="V114" s="28">
        <f t="shared" si="92"/>
        <v>0</v>
      </c>
      <c r="W114" s="16">
        <f>HO!W114+'Gulf Mall'!W114+BTC!W114</f>
        <v>0</v>
      </c>
      <c r="X114" s="28">
        <f t="shared" si="93"/>
        <v>0</v>
      </c>
      <c r="Y114" s="16">
        <f>HO!Y114+'Gulf Mall'!Y114+BTC!Y114</f>
        <v>0</v>
      </c>
      <c r="Z114" s="28">
        <f t="shared" si="94"/>
        <v>0</v>
      </c>
      <c r="AA114" s="59">
        <f t="shared" si="95"/>
        <v>0</v>
      </c>
      <c r="AB114" s="60">
        <f t="shared" si="96"/>
        <v>0</v>
      </c>
      <c r="AC114" s="67">
        <f t="shared" si="97"/>
        <v>0</v>
      </c>
      <c r="AD114" s="68">
        <f t="shared" si="98"/>
        <v>0</v>
      </c>
      <c r="AE114" s="44"/>
      <c r="AF114" s="21"/>
      <c r="AW114" s="44"/>
      <c r="AX114" s="44"/>
    </row>
    <row r="115" spans="1:50" ht="15.75" thickBot="1">
      <c r="A115" s="4">
        <v>6399</v>
      </c>
      <c r="B115" s="39" t="s">
        <v>103</v>
      </c>
      <c r="C115" s="31">
        <f>HO!C115+'Gulf Mall'!C115+BTC!C115</f>
        <v>72737.519846334006</v>
      </c>
      <c r="D115" s="52">
        <f>C115/C$145</f>
        <v>0.10295790374139223</v>
      </c>
      <c r="E115" s="31">
        <f>HO!E115+'Gulf Mall'!E115+BTC!E115</f>
        <v>143899.96504479734</v>
      </c>
      <c r="F115" s="52">
        <f>SUM(F94:F107)</f>
        <v>7.6270961409354313E-2</v>
      </c>
      <c r="G115" s="31">
        <f>HO!G115+'Gulf Mall'!G115+BTC!G115</f>
        <v>125408.49077034992</v>
      </c>
      <c r="H115" s="52">
        <f>G115/G$145</f>
        <v>0.16350641555442288</v>
      </c>
      <c r="I115" s="31">
        <f>HO!I115+'Gulf Mall'!I115+BTC!I115</f>
        <v>141654.4206895394</v>
      </c>
      <c r="J115" s="52">
        <f>I115/I$145</f>
        <v>0.18180335474354986</v>
      </c>
      <c r="K115" s="31">
        <f>HO!K115+'Gulf Mall'!K115+BTC!K115</f>
        <v>196209.60141116701</v>
      </c>
      <c r="L115" s="52">
        <f>SUM(L94:L107)</f>
        <v>0.13449825280036568</v>
      </c>
      <c r="M115" s="31">
        <f>HO!M115+'Gulf Mall'!M115+BTC!M115</f>
        <v>66642.027909385259</v>
      </c>
      <c r="N115" s="52">
        <f>M115/M$145</f>
        <v>9.2480548433974158E-2</v>
      </c>
      <c r="O115" s="31">
        <f>HO!O115+'Gulf Mall'!O115+BTC!O115</f>
        <v>118390.68690332382</v>
      </c>
      <c r="P115" s="52">
        <f>O115/O$145</f>
        <v>0.15666493850761157</v>
      </c>
      <c r="Q115" s="31">
        <f>HO!Q115+'Gulf Mall'!Q115+BTC!Q115</f>
        <v>150331.03330136766</v>
      </c>
      <c r="R115" s="52">
        <f>SUM(R94:R107)</f>
        <v>7.461533687659179E-2</v>
      </c>
      <c r="S115" s="31">
        <f>HO!S115+'Gulf Mall'!S115+BTC!S115</f>
        <v>127750.66141402916</v>
      </c>
      <c r="T115" s="52">
        <f>S115/S$145</f>
        <v>0.16675617094779505</v>
      </c>
      <c r="U115" s="31">
        <f>HO!U115+'Gulf Mall'!U115+BTC!U115</f>
        <v>132533.50566470064</v>
      </c>
      <c r="V115" s="52">
        <f>U115/U$145</f>
        <v>0.17339601915991001</v>
      </c>
      <c r="W115" s="31">
        <f>HO!W115+'Gulf Mall'!W115+BTC!W115</f>
        <v>151435.10889500065</v>
      </c>
      <c r="X115" s="52">
        <f>SUM(X94:X107)</f>
        <v>0.11624036570326002</v>
      </c>
      <c r="Y115" s="31">
        <f>HO!Y115+'Gulf Mall'!Y115+BTC!Y115</f>
        <v>122346.03217781545</v>
      </c>
      <c r="Z115" s="52">
        <f>Y115/Y$145</f>
        <v>0.15621969024487423</v>
      </c>
      <c r="AA115" s="61">
        <f>SUM(AA94:AA114)</f>
        <v>1549339.0540278102</v>
      </c>
      <c r="AB115" s="74">
        <f>AA115/AA$145</f>
        <v>0.1680886842894074</v>
      </c>
      <c r="AC115" s="24">
        <f t="shared" si="51"/>
        <v>129111.58783565085</v>
      </c>
      <c r="AD115" s="77">
        <f>SUM(AD94:AD114)</f>
        <v>0.1680886842894074</v>
      </c>
      <c r="AE115" s="44">
        <f t="shared" si="52"/>
        <v>1549339.0540278105</v>
      </c>
      <c r="AF115" s="21">
        <f t="shared" si="53"/>
        <v>0</v>
      </c>
      <c r="AW115" s="44"/>
      <c r="AX115" s="44"/>
    </row>
    <row r="116" spans="1:50" ht="15.75" thickTop="1">
      <c r="A116" s="15">
        <v>6401</v>
      </c>
      <c r="B116" s="15" t="s">
        <v>89</v>
      </c>
      <c r="C116" s="16">
        <f>HO!C116+'Gulf Mall'!C116+BTC!C116</f>
        <v>0</v>
      </c>
      <c r="D116" s="28">
        <f t="shared" ref="D116" si="99">C116/C$145</f>
        <v>0</v>
      </c>
      <c r="E116" s="16">
        <f>HO!E116+'Gulf Mall'!E116+BTC!E116</f>
        <v>0</v>
      </c>
      <c r="F116" s="28">
        <f t="shared" ref="F116" si="100">E116/E$145</f>
        <v>0</v>
      </c>
      <c r="G116" s="16">
        <f>HO!G116+'Gulf Mall'!G116+BTC!G116</f>
        <v>0</v>
      </c>
      <c r="H116" s="28">
        <f t="shared" ref="H116" si="101">G116/G$145</f>
        <v>0</v>
      </c>
      <c r="I116" s="16">
        <f>HO!I116+'Gulf Mall'!I116+BTC!I116</f>
        <v>0</v>
      </c>
      <c r="J116" s="28">
        <f t="shared" ref="J116" si="102">I116/I$145</f>
        <v>0</v>
      </c>
      <c r="K116" s="16">
        <f>HO!K116+'Gulf Mall'!K116+BTC!K116</f>
        <v>0</v>
      </c>
      <c r="L116" s="28">
        <f t="shared" ref="L116" si="103">K116/K$145</f>
        <v>0</v>
      </c>
      <c r="M116" s="16">
        <f>HO!M116+'Gulf Mall'!M116+BTC!M116</f>
        <v>0</v>
      </c>
      <c r="N116" s="28">
        <f t="shared" ref="N116" si="104">M116/M$145</f>
        <v>0</v>
      </c>
      <c r="O116" s="16">
        <f>HO!O116+'Gulf Mall'!O116+BTC!O116</f>
        <v>0</v>
      </c>
      <c r="P116" s="28">
        <f t="shared" ref="P116" si="105">O116/O$145</f>
        <v>0</v>
      </c>
      <c r="Q116" s="16">
        <f>HO!Q116+'Gulf Mall'!Q116+BTC!Q116</f>
        <v>0</v>
      </c>
      <c r="R116" s="28">
        <f t="shared" ref="R116" si="106">Q116/Q$145</f>
        <v>0</v>
      </c>
      <c r="S116" s="16">
        <f>HO!S116+'Gulf Mall'!S116+BTC!S116</f>
        <v>0</v>
      </c>
      <c r="T116" s="28">
        <f t="shared" ref="T116" si="107">S116/S$145</f>
        <v>0</v>
      </c>
      <c r="U116" s="16">
        <f>HO!U116+'Gulf Mall'!U116+BTC!U116</f>
        <v>0</v>
      </c>
      <c r="V116" s="28">
        <f t="shared" ref="V116" si="108">U116/U$145</f>
        <v>0</v>
      </c>
      <c r="W116" s="16">
        <f>HO!W116+'Gulf Mall'!W116+BTC!W116</f>
        <v>0</v>
      </c>
      <c r="X116" s="28">
        <f t="shared" ref="X116" si="109">W116/W$145</f>
        <v>0</v>
      </c>
      <c r="Y116" s="16">
        <f>HO!Y116+'Gulf Mall'!Y116+BTC!Y116</f>
        <v>0</v>
      </c>
      <c r="Z116" s="28">
        <f t="shared" ref="Z116" si="110">Y116/Y$145</f>
        <v>0</v>
      </c>
      <c r="AA116" s="59">
        <f t="shared" ref="AA116" si="111">C116+E116+G116+I116+K116+M116+O116+Q116+S116+U116+W116+Y116</f>
        <v>0</v>
      </c>
      <c r="AB116" s="60">
        <f t="shared" ref="AB116" si="112">AA116/AA$145</f>
        <v>0</v>
      </c>
      <c r="AC116" s="67">
        <f t="shared" si="51"/>
        <v>0</v>
      </c>
      <c r="AD116" s="68">
        <f t="shared" ref="AD116" si="113">AC116/AC$145</f>
        <v>0</v>
      </c>
      <c r="AE116" s="44">
        <f t="shared" si="52"/>
        <v>0</v>
      </c>
      <c r="AF116" s="21">
        <f t="shared" si="53"/>
        <v>0</v>
      </c>
      <c r="AW116" s="44"/>
      <c r="AX116" s="44"/>
    </row>
    <row r="117" spans="1:50">
      <c r="A117" s="2">
        <v>6402</v>
      </c>
      <c r="B117" s="2" t="s">
        <v>75</v>
      </c>
      <c r="C117" s="16">
        <f>HO!C117+'Gulf Mall'!C117+BTC!C117</f>
        <v>750</v>
      </c>
      <c r="D117" s="28">
        <f t="shared" ref="D117:D128" si="114">C117/C$145</f>
        <v>1.0616038046001098E-3</v>
      </c>
      <c r="E117" s="16">
        <f>HO!E117+'Gulf Mall'!E117+BTC!E117</f>
        <v>750</v>
      </c>
      <c r="F117" s="28">
        <f t="shared" ref="F117:F128" si="115">E117/E$145</f>
        <v>9.7194806612298495E-4</v>
      </c>
      <c r="G117" s="16">
        <f>HO!G117+'Gulf Mall'!G117+BTC!G117</f>
        <v>750</v>
      </c>
      <c r="H117" s="28">
        <f t="shared" ref="H117:H128" si="116">G117/G$145</f>
        <v>9.7784297468644986E-4</v>
      </c>
      <c r="I117" s="16">
        <f>HO!I117+'Gulf Mall'!I117+BTC!I117</f>
        <v>750</v>
      </c>
      <c r="J117" s="28">
        <f t="shared" ref="J117:J128" si="117">I117/I$145</f>
        <v>9.6257155543703736E-4</v>
      </c>
      <c r="K117" s="16">
        <f>HO!K117+'Gulf Mall'!K117+BTC!K117</f>
        <v>750</v>
      </c>
      <c r="L117" s="28">
        <f t="shared" ref="L117:L128" si="118">K117/K$145</f>
        <v>9.0242899875807563E-4</v>
      </c>
      <c r="M117" s="16">
        <f>HO!M117+'Gulf Mall'!M117+BTC!M117</f>
        <v>750</v>
      </c>
      <c r="N117" s="28">
        <f t="shared" ref="N117:N128" si="119">M117/M$145</f>
        <v>1.0407908267706322E-3</v>
      </c>
      <c r="O117" s="16">
        <f>HO!O117+'Gulf Mall'!O117+BTC!O117</f>
        <v>750</v>
      </c>
      <c r="P117" s="28">
        <f t="shared" ref="P117:P128" si="120">O117/O$145</f>
        <v>9.9246576697925972E-4</v>
      </c>
      <c r="Q117" s="16">
        <f>HO!Q117+'Gulf Mall'!Q117+BTC!Q117</f>
        <v>750</v>
      </c>
      <c r="R117" s="28">
        <f t="shared" ref="R117:R128" si="121">Q117/Q$145</f>
        <v>9.5124382641664708E-4</v>
      </c>
      <c r="S117" s="16">
        <f>HO!S117+'Gulf Mall'!S117+BTC!S117</f>
        <v>750</v>
      </c>
      <c r="T117" s="28">
        <f t="shared" ref="T117:T128" si="122">S117/S$145</f>
        <v>9.7899397800778679E-4</v>
      </c>
      <c r="U117" s="16">
        <f>HO!U117+'Gulf Mall'!U117+BTC!U117</f>
        <v>750</v>
      </c>
      <c r="V117" s="28">
        <f t="shared" ref="V117:V128" si="123">U117/U$145</f>
        <v>9.8123877217087471E-4</v>
      </c>
      <c r="W117" s="16">
        <f>HO!W117+'Gulf Mall'!W117+BTC!W117</f>
        <v>750</v>
      </c>
      <c r="X117" s="28">
        <f t="shared" ref="X117:X128" si="124">W117/W$145</f>
        <v>9.5702475506047172E-4</v>
      </c>
      <c r="Y117" s="16">
        <f>HO!Y117+'Gulf Mall'!Y117+BTC!Y117</f>
        <v>750</v>
      </c>
      <c r="Z117" s="28">
        <f t="shared" ref="Z117:Z128" si="125">Y117/Y$145</f>
        <v>9.5765073536157339E-4</v>
      </c>
      <c r="AA117" s="59">
        <f t="shared" ref="AA117:AA128" si="126">C117+E117+G117+I117+K117+M117+O117+Q117+S117+U117+W117+Y117</f>
        <v>9000</v>
      </c>
      <c r="AB117" s="60">
        <f t="shared" ref="AB117:AB128" si="127">AA117/AA$145</f>
        <v>9.7641517179332155E-4</v>
      </c>
      <c r="AC117" s="67">
        <f t="shared" ref="AC117:AC128" si="128">AA117/12</f>
        <v>750</v>
      </c>
      <c r="AD117" s="68">
        <f t="shared" ref="AD117:AD128" si="129">AC117/AC$145</f>
        <v>9.7641517179332155E-4</v>
      </c>
      <c r="AE117" s="44">
        <f t="shared" si="52"/>
        <v>9000</v>
      </c>
      <c r="AF117" s="21">
        <f t="shared" si="53"/>
        <v>0</v>
      </c>
      <c r="AG117" s="114">
        <v>1000</v>
      </c>
      <c r="AH117" s="1" t="s">
        <v>139</v>
      </c>
      <c r="AW117" s="44"/>
      <c r="AX117" s="44"/>
    </row>
    <row r="118" spans="1:50">
      <c r="A118" s="2">
        <v>6403</v>
      </c>
      <c r="B118" s="2" t="s">
        <v>260</v>
      </c>
      <c r="C118" s="16">
        <f>HO!C118+'Gulf Mall'!C118+BTC!C118</f>
        <v>0</v>
      </c>
      <c r="D118" s="28">
        <f t="shared" si="114"/>
        <v>0</v>
      </c>
      <c r="E118" s="16">
        <f>HO!E118+'Gulf Mall'!E118+BTC!E118</f>
        <v>0</v>
      </c>
      <c r="F118" s="28">
        <f t="shared" si="115"/>
        <v>0</v>
      </c>
      <c r="G118" s="16">
        <f>HO!G118+'Gulf Mall'!G118+BTC!G118</f>
        <v>0</v>
      </c>
      <c r="H118" s="28">
        <f t="shared" si="116"/>
        <v>0</v>
      </c>
      <c r="I118" s="16">
        <f>HO!I118+'Gulf Mall'!I118+BTC!I118</f>
        <v>0</v>
      </c>
      <c r="J118" s="28">
        <f t="shared" si="117"/>
        <v>0</v>
      </c>
      <c r="K118" s="16">
        <f>HO!K118+'Gulf Mall'!K118+BTC!K118</f>
        <v>0</v>
      </c>
      <c r="L118" s="28">
        <f t="shared" si="118"/>
        <v>0</v>
      </c>
      <c r="M118" s="16">
        <f>HO!M118+'Gulf Mall'!M118+BTC!M118</f>
        <v>0</v>
      </c>
      <c r="N118" s="28">
        <f t="shared" si="119"/>
        <v>0</v>
      </c>
      <c r="O118" s="16">
        <f>HO!O118+'Gulf Mall'!O118+BTC!O118</f>
        <v>0</v>
      </c>
      <c r="P118" s="28">
        <f t="shared" si="120"/>
        <v>0</v>
      </c>
      <c r="Q118" s="16">
        <f>HO!Q118+'Gulf Mall'!Q118+BTC!Q118</f>
        <v>0</v>
      </c>
      <c r="R118" s="28">
        <f t="shared" si="121"/>
        <v>0</v>
      </c>
      <c r="S118" s="16">
        <f>HO!S118+'Gulf Mall'!S118+BTC!S118</f>
        <v>0</v>
      </c>
      <c r="T118" s="28">
        <f t="shared" si="122"/>
        <v>0</v>
      </c>
      <c r="U118" s="16">
        <f>HO!U118+'Gulf Mall'!U118+BTC!U118</f>
        <v>0</v>
      </c>
      <c r="V118" s="28">
        <f t="shared" si="123"/>
        <v>0</v>
      </c>
      <c r="W118" s="16">
        <f>HO!W118+'Gulf Mall'!W118+BTC!W118</f>
        <v>0</v>
      </c>
      <c r="X118" s="28">
        <f t="shared" si="124"/>
        <v>0</v>
      </c>
      <c r="Y118" s="16">
        <f>HO!Y118+'Gulf Mall'!Y118+BTC!Y118</f>
        <v>0</v>
      </c>
      <c r="Z118" s="28">
        <f t="shared" si="125"/>
        <v>0</v>
      </c>
      <c r="AA118" s="59">
        <f t="shared" si="126"/>
        <v>0</v>
      </c>
      <c r="AB118" s="60">
        <f t="shared" si="127"/>
        <v>0</v>
      </c>
      <c r="AC118" s="67">
        <f t="shared" si="128"/>
        <v>0</v>
      </c>
      <c r="AD118" s="68">
        <f t="shared" si="129"/>
        <v>0</v>
      </c>
      <c r="AE118" s="44"/>
      <c r="AF118" s="21"/>
      <c r="AG118" s="114"/>
      <c r="AW118" s="44"/>
      <c r="AX118" s="44"/>
    </row>
    <row r="119" spans="1:50">
      <c r="A119" s="2">
        <v>6404</v>
      </c>
      <c r="B119" s="2" t="s">
        <v>92</v>
      </c>
      <c r="C119" s="16">
        <f>HO!C119+'Gulf Mall'!C119+BTC!C119</f>
        <v>0</v>
      </c>
      <c r="D119" s="28">
        <f t="shared" si="114"/>
        <v>0</v>
      </c>
      <c r="E119" s="16">
        <f>HO!E119+'Gulf Mall'!E119+BTC!E119</f>
        <v>0</v>
      </c>
      <c r="F119" s="28">
        <f t="shared" si="115"/>
        <v>0</v>
      </c>
      <c r="G119" s="16">
        <f>HO!G119+'Gulf Mall'!G119+BTC!G119</f>
        <v>0</v>
      </c>
      <c r="H119" s="28">
        <f t="shared" si="116"/>
        <v>0</v>
      </c>
      <c r="I119" s="16">
        <f>HO!I119+'Gulf Mall'!I119+BTC!I119</f>
        <v>0</v>
      </c>
      <c r="J119" s="28">
        <f t="shared" si="117"/>
        <v>0</v>
      </c>
      <c r="K119" s="16">
        <f>HO!K119+'Gulf Mall'!K119+BTC!K119</f>
        <v>0</v>
      </c>
      <c r="L119" s="28">
        <f t="shared" si="118"/>
        <v>0</v>
      </c>
      <c r="M119" s="16">
        <f>HO!M119+'Gulf Mall'!M119+BTC!M119</f>
        <v>0</v>
      </c>
      <c r="N119" s="28">
        <f t="shared" si="119"/>
        <v>0</v>
      </c>
      <c r="O119" s="16">
        <f>HO!O119+'Gulf Mall'!O119+BTC!O119</f>
        <v>0</v>
      </c>
      <c r="P119" s="28">
        <f t="shared" si="120"/>
        <v>0</v>
      </c>
      <c r="Q119" s="16">
        <f>HO!Q119+'Gulf Mall'!Q119+BTC!Q119</f>
        <v>0</v>
      </c>
      <c r="R119" s="28">
        <f t="shared" si="121"/>
        <v>0</v>
      </c>
      <c r="S119" s="16">
        <f>HO!S119+'Gulf Mall'!S119+BTC!S119</f>
        <v>0</v>
      </c>
      <c r="T119" s="28">
        <f t="shared" si="122"/>
        <v>0</v>
      </c>
      <c r="U119" s="16">
        <f>HO!U119+'Gulf Mall'!U119+BTC!U119</f>
        <v>0</v>
      </c>
      <c r="V119" s="28">
        <f t="shared" si="123"/>
        <v>0</v>
      </c>
      <c r="W119" s="16">
        <f>HO!W119+'Gulf Mall'!W119+BTC!W119</f>
        <v>0</v>
      </c>
      <c r="X119" s="28">
        <f t="shared" si="124"/>
        <v>0</v>
      </c>
      <c r="Y119" s="16">
        <f>HO!Y119+'Gulf Mall'!Y119+BTC!Y119</f>
        <v>0</v>
      </c>
      <c r="Z119" s="28">
        <f t="shared" si="125"/>
        <v>0</v>
      </c>
      <c r="AA119" s="59">
        <f t="shared" si="126"/>
        <v>0</v>
      </c>
      <c r="AB119" s="60">
        <f t="shared" si="127"/>
        <v>0</v>
      </c>
      <c r="AC119" s="67">
        <f t="shared" si="128"/>
        <v>0</v>
      </c>
      <c r="AD119" s="68">
        <f t="shared" si="129"/>
        <v>0</v>
      </c>
      <c r="AE119" s="44">
        <f t="shared" si="52"/>
        <v>0</v>
      </c>
      <c r="AF119" s="21">
        <f t="shared" si="53"/>
        <v>0</v>
      </c>
      <c r="AW119" s="44"/>
      <c r="AX119" s="44"/>
    </row>
    <row r="120" spans="1:50">
      <c r="A120" s="2">
        <v>6406</v>
      </c>
      <c r="B120" s="2" t="s">
        <v>72</v>
      </c>
      <c r="C120" s="16">
        <f>HO!C120+'Gulf Mall'!C120+BTC!C120</f>
        <v>750</v>
      </c>
      <c r="D120" s="28">
        <f t="shared" si="114"/>
        <v>1.0616038046001098E-3</v>
      </c>
      <c r="E120" s="16">
        <f>HO!E120+'Gulf Mall'!E120+BTC!E120</f>
        <v>750</v>
      </c>
      <c r="F120" s="28">
        <f t="shared" si="115"/>
        <v>9.7194806612298495E-4</v>
      </c>
      <c r="G120" s="16">
        <f>HO!G120+'Gulf Mall'!G120+BTC!G120</f>
        <v>750</v>
      </c>
      <c r="H120" s="28">
        <f t="shared" si="116"/>
        <v>9.7784297468644986E-4</v>
      </c>
      <c r="I120" s="16">
        <f>HO!I120+'Gulf Mall'!I120+BTC!I120</f>
        <v>750</v>
      </c>
      <c r="J120" s="28">
        <f t="shared" si="117"/>
        <v>9.6257155543703736E-4</v>
      </c>
      <c r="K120" s="16">
        <f>HO!K120+'Gulf Mall'!K120+BTC!K120</f>
        <v>750</v>
      </c>
      <c r="L120" s="28">
        <f t="shared" si="118"/>
        <v>9.0242899875807563E-4</v>
      </c>
      <c r="M120" s="16">
        <f>HO!M120+'Gulf Mall'!M120+BTC!M120</f>
        <v>750</v>
      </c>
      <c r="N120" s="28">
        <f t="shared" si="119"/>
        <v>1.0407908267706322E-3</v>
      </c>
      <c r="O120" s="16">
        <f>HO!O120+'Gulf Mall'!O120+BTC!O120</f>
        <v>750</v>
      </c>
      <c r="P120" s="28">
        <f t="shared" si="120"/>
        <v>9.9246576697925972E-4</v>
      </c>
      <c r="Q120" s="16">
        <f>HO!Q120+'Gulf Mall'!Q120+BTC!Q120</f>
        <v>750</v>
      </c>
      <c r="R120" s="28">
        <f t="shared" si="121"/>
        <v>9.5124382641664708E-4</v>
      </c>
      <c r="S120" s="16">
        <f>HO!S120+'Gulf Mall'!S120+BTC!S120</f>
        <v>750</v>
      </c>
      <c r="T120" s="28">
        <f t="shared" si="122"/>
        <v>9.7899397800778679E-4</v>
      </c>
      <c r="U120" s="16">
        <f>HO!U120+'Gulf Mall'!U120+BTC!U120</f>
        <v>750</v>
      </c>
      <c r="V120" s="28">
        <f t="shared" si="123"/>
        <v>9.8123877217087471E-4</v>
      </c>
      <c r="W120" s="16">
        <f>HO!W120+'Gulf Mall'!W120+BTC!W120</f>
        <v>750</v>
      </c>
      <c r="X120" s="28">
        <f t="shared" si="124"/>
        <v>9.5702475506047172E-4</v>
      </c>
      <c r="Y120" s="16">
        <f>HO!Y120+'Gulf Mall'!Y120+BTC!Y120</f>
        <v>750</v>
      </c>
      <c r="Z120" s="28">
        <f t="shared" si="125"/>
        <v>9.5765073536157339E-4</v>
      </c>
      <c r="AA120" s="59">
        <f t="shared" si="126"/>
        <v>9000</v>
      </c>
      <c r="AB120" s="60">
        <f t="shared" si="127"/>
        <v>9.7641517179332155E-4</v>
      </c>
      <c r="AC120" s="67">
        <f t="shared" si="128"/>
        <v>750</v>
      </c>
      <c r="AD120" s="68">
        <f t="shared" si="129"/>
        <v>9.7641517179332155E-4</v>
      </c>
      <c r="AE120" s="44">
        <f t="shared" si="52"/>
        <v>9000</v>
      </c>
      <c r="AF120" s="21">
        <f t="shared" si="53"/>
        <v>0</v>
      </c>
      <c r="AW120" s="44"/>
      <c r="AX120" s="44"/>
    </row>
    <row r="121" spans="1:50">
      <c r="A121" s="2">
        <v>6407</v>
      </c>
      <c r="B121" s="2" t="s">
        <v>73</v>
      </c>
      <c r="C121" s="16">
        <f>HO!C121+'Gulf Mall'!C121+BTC!C121</f>
        <v>0</v>
      </c>
      <c r="D121" s="28">
        <f t="shared" si="114"/>
        <v>0</v>
      </c>
      <c r="E121" s="16">
        <f>HO!E121+'Gulf Mall'!E121+BTC!E121</f>
        <v>0</v>
      </c>
      <c r="F121" s="28">
        <f t="shared" si="115"/>
        <v>0</v>
      </c>
      <c r="G121" s="16">
        <f>HO!G121+'Gulf Mall'!G121+BTC!G121</f>
        <v>0</v>
      </c>
      <c r="H121" s="28">
        <f t="shared" si="116"/>
        <v>0</v>
      </c>
      <c r="I121" s="16">
        <f>HO!I121+'Gulf Mall'!I121+BTC!I121</f>
        <v>0</v>
      </c>
      <c r="J121" s="28">
        <f t="shared" si="117"/>
        <v>0</v>
      </c>
      <c r="K121" s="16">
        <f>HO!K121+'Gulf Mall'!K121+BTC!K121</f>
        <v>0</v>
      </c>
      <c r="L121" s="28">
        <f t="shared" si="118"/>
        <v>0</v>
      </c>
      <c r="M121" s="16">
        <f>HO!M121+'Gulf Mall'!M121+BTC!M121</f>
        <v>0</v>
      </c>
      <c r="N121" s="28">
        <f t="shared" si="119"/>
        <v>0</v>
      </c>
      <c r="O121" s="16">
        <f>HO!O121+'Gulf Mall'!O121+BTC!O121</f>
        <v>0</v>
      </c>
      <c r="P121" s="28">
        <f t="shared" si="120"/>
        <v>0</v>
      </c>
      <c r="Q121" s="16">
        <f>HO!Q121+'Gulf Mall'!Q121+BTC!Q121</f>
        <v>0</v>
      </c>
      <c r="R121" s="28">
        <f t="shared" si="121"/>
        <v>0</v>
      </c>
      <c r="S121" s="16">
        <f>HO!S121+'Gulf Mall'!S121+BTC!S121</f>
        <v>0</v>
      </c>
      <c r="T121" s="28">
        <f t="shared" si="122"/>
        <v>0</v>
      </c>
      <c r="U121" s="16">
        <f>HO!U121+'Gulf Mall'!U121+BTC!U121</f>
        <v>0</v>
      </c>
      <c r="V121" s="28">
        <f t="shared" si="123"/>
        <v>0</v>
      </c>
      <c r="W121" s="16">
        <f>HO!W121+'Gulf Mall'!W121+BTC!W121</f>
        <v>0</v>
      </c>
      <c r="X121" s="28">
        <f t="shared" si="124"/>
        <v>0</v>
      </c>
      <c r="Y121" s="16">
        <f>HO!Y121+'Gulf Mall'!Y121+BTC!Y121</f>
        <v>0</v>
      </c>
      <c r="Z121" s="28">
        <f t="shared" si="125"/>
        <v>0</v>
      </c>
      <c r="AA121" s="59">
        <f t="shared" si="126"/>
        <v>0</v>
      </c>
      <c r="AB121" s="60">
        <f t="shared" si="127"/>
        <v>0</v>
      </c>
      <c r="AC121" s="67">
        <f t="shared" si="128"/>
        <v>0</v>
      </c>
      <c r="AD121" s="68">
        <f t="shared" si="129"/>
        <v>0</v>
      </c>
      <c r="AE121" s="44">
        <f t="shared" si="52"/>
        <v>0</v>
      </c>
      <c r="AF121" s="21">
        <f t="shared" si="53"/>
        <v>0</v>
      </c>
      <c r="AW121" s="44"/>
      <c r="AX121" s="44"/>
    </row>
    <row r="122" spans="1:50">
      <c r="A122" s="2">
        <v>6408</v>
      </c>
      <c r="B122" s="2" t="s">
        <v>42</v>
      </c>
      <c r="C122" s="16">
        <f>HO!C122+'Gulf Mall'!C122+BTC!C122</f>
        <v>0</v>
      </c>
      <c r="D122" s="28">
        <f t="shared" si="114"/>
        <v>0</v>
      </c>
      <c r="E122" s="16">
        <f>HO!E122+'Gulf Mall'!E122+BTC!E122</f>
        <v>0</v>
      </c>
      <c r="F122" s="28">
        <f t="shared" si="115"/>
        <v>0</v>
      </c>
      <c r="G122" s="16">
        <f>HO!G122+'Gulf Mall'!G122+BTC!G122</f>
        <v>0</v>
      </c>
      <c r="H122" s="28">
        <f t="shared" si="116"/>
        <v>0</v>
      </c>
      <c r="I122" s="16">
        <f>HO!I122+'Gulf Mall'!I122+BTC!I122</f>
        <v>0</v>
      </c>
      <c r="J122" s="28">
        <f t="shared" si="117"/>
        <v>0</v>
      </c>
      <c r="K122" s="16">
        <f>HO!K122+'Gulf Mall'!K122+BTC!K122</f>
        <v>0</v>
      </c>
      <c r="L122" s="28">
        <f t="shared" si="118"/>
        <v>0</v>
      </c>
      <c r="M122" s="16">
        <f>HO!M122+'Gulf Mall'!M122+BTC!M122</f>
        <v>0</v>
      </c>
      <c r="N122" s="28">
        <f t="shared" si="119"/>
        <v>0</v>
      </c>
      <c r="O122" s="16">
        <f>HO!O122+'Gulf Mall'!O122+BTC!O122</f>
        <v>0</v>
      </c>
      <c r="P122" s="28">
        <f t="shared" si="120"/>
        <v>0</v>
      </c>
      <c r="Q122" s="16">
        <f>HO!Q122+'Gulf Mall'!Q122+BTC!Q122</f>
        <v>0</v>
      </c>
      <c r="R122" s="28">
        <f t="shared" si="121"/>
        <v>0</v>
      </c>
      <c r="S122" s="16">
        <f>HO!S122+'Gulf Mall'!S122+BTC!S122</f>
        <v>0</v>
      </c>
      <c r="T122" s="28">
        <f t="shared" si="122"/>
        <v>0</v>
      </c>
      <c r="U122" s="16">
        <f>HO!U122+'Gulf Mall'!U122+BTC!U122</f>
        <v>0</v>
      </c>
      <c r="V122" s="28">
        <f t="shared" si="123"/>
        <v>0</v>
      </c>
      <c r="W122" s="16">
        <f>HO!W122+'Gulf Mall'!W122+BTC!W122</f>
        <v>0</v>
      </c>
      <c r="X122" s="28">
        <f t="shared" si="124"/>
        <v>0</v>
      </c>
      <c r="Y122" s="16">
        <f>HO!Y122+'Gulf Mall'!Y122+BTC!Y122</f>
        <v>0</v>
      </c>
      <c r="Z122" s="28">
        <f t="shared" si="125"/>
        <v>0</v>
      </c>
      <c r="AA122" s="59">
        <f t="shared" si="126"/>
        <v>0</v>
      </c>
      <c r="AB122" s="60">
        <f t="shared" si="127"/>
        <v>0</v>
      </c>
      <c r="AC122" s="67">
        <f t="shared" si="128"/>
        <v>0</v>
      </c>
      <c r="AD122" s="68">
        <f t="shared" si="129"/>
        <v>0</v>
      </c>
      <c r="AE122" s="44">
        <f t="shared" si="52"/>
        <v>0</v>
      </c>
      <c r="AF122" s="21">
        <f t="shared" si="53"/>
        <v>0</v>
      </c>
      <c r="AW122" s="44"/>
      <c r="AX122" s="44"/>
    </row>
    <row r="123" spans="1:50">
      <c r="A123" s="2">
        <v>6410</v>
      </c>
      <c r="B123" s="2" t="s">
        <v>106</v>
      </c>
      <c r="C123" s="16">
        <f>HO!C123+'Gulf Mall'!C123+BTC!C123</f>
        <v>17223</v>
      </c>
      <c r="D123" s="28">
        <f t="shared" si="114"/>
        <v>2.4378669768836923E-2</v>
      </c>
      <c r="E123" s="16">
        <f>HO!E123+'Gulf Mall'!E123+BTC!E123</f>
        <v>17223</v>
      </c>
      <c r="F123" s="28">
        <f t="shared" si="115"/>
        <v>2.2319815390448226E-2</v>
      </c>
      <c r="G123" s="16">
        <f>HO!G123+'Gulf Mall'!G123+BTC!G123</f>
        <v>17223</v>
      </c>
      <c r="H123" s="28">
        <f t="shared" si="116"/>
        <v>2.2455186070699636E-2</v>
      </c>
      <c r="I123" s="16">
        <f>HO!I123+'Gulf Mall'!I123+BTC!I123</f>
        <v>17223</v>
      </c>
      <c r="J123" s="28">
        <f t="shared" si="117"/>
        <v>2.2104493199056125E-2</v>
      </c>
      <c r="K123" s="16">
        <f>HO!K123+'Gulf Mall'!K123+BTC!K123</f>
        <v>17223</v>
      </c>
      <c r="L123" s="28">
        <f t="shared" si="118"/>
        <v>2.0723379527480448E-2</v>
      </c>
      <c r="M123" s="16">
        <f>HO!M123+'Gulf Mall'!M123+BTC!M123</f>
        <v>17223</v>
      </c>
      <c r="N123" s="28">
        <f t="shared" si="119"/>
        <v>2.3900720545960794E-2</v>
      </c>
      <c r="O123" s="16">
        <f>HO!O123+'Gulf Mall'!O123+BTC!O123</f>
        <v>17223</v>
      </c>
      <c r="P123" s="28">
        <f t="shared" si="120"/>
        <v>2.2790983872911719E-2</v>
      </c>
      <c r="Q123" s="16">
        <f>HO!Q123+'Gulf Mall'!Q123+BTC!Q123</f>
        <v>17223</v>
      </c>
      <c r="R123" s="28">
        <f t="shared" si="121"/>
        <v>2.1844363229831885E-2</v>
      </c>
      <c r="S123" s="16">
        <f>HO!S123+'Gulf Mall'!S123+BTC!S123</f>
        <v>17223</v>
      </c>
      <c r="T123" s="28">
        <f t="shared" si="122"/>
        <v>2.2481617710970816E-2</v>
      </c>
      <c r="U123" s="16">
        <f>HO!U123+'Gulf Mall'!U123+BTC!U123</f>
        <v>17223</v>
      </c>
      <c r="V123" s="28">
        <f t="shared" si="123"/>
        <v>2.2533167164131965E-2</v>
      </c>
      <c r="W123" s="16">
        <f>HO!W123+'Gulf Mall'!W123+BTC!W123</f>
        <v>17223</v>
      </c>
      <c r="X123" s="28">
        <f t="shared" si="124"/>
        <v>2.1977116475208672E-2</v>
      </c>
      <c r="Y123" s="16">
        <f>HO!Y123+'Gulf Mall'!Y123+BTC!Y123</f>
        <v>17223</v>
      </c>
      <c r="Z123" s="28">
        <f t="shared" si="125"/>
        <v>2.1991491486843172E-2</v>
      </c>
      <c r="AA123" s="59">
        <f t="shared" si="126"/>
        <v>206676</v>
      </c>
      <c r="AB123" s="60">
        <f t="shared" si="127"/>
        <v>2.2422398005061836E-2</v>
      </c>
      <c r="AC123" s="67">
        <f t="shared" si="128"/>
        <v>17223</v>
      </c>
      <c r="AD123" s="68">
        <f t="shared" si="129"/>
        <v>2.2422398005061836E-2</v>
      </c>
      <c r="AE123" s="44">
        <f t="shared" si="52"/>
        <v>206676</v>
      </c>
      <c r="AF123" s="21">
        <f t="shared" si="53"/>
        <v>0</v>
      </c>
      <c r="AG123" s="114">
        <v>22914</v>
      </c>
      <c r="AH123" s="1" t="s">
        <v>140</v>
      </c>
      <c r="AW123" s="44"/>
      <c r="AX123" s="44"/>
    </row>
    <row r="124" spans="1:50">
      <c r="A124" s="2">
        <v>6411</v>
      </c>
      <c r="B124" s="2" t="s">
        <v>107</v>
      </c>
      <c r="C124" s="16">
        <f>HO!C124+'Gulf Mall'!C124+BTC!C124</f>
        <v>15000</v>
      </c>
      <c r="D124" s="28">
        <f t="shared" si="114"/>
        <v>2.1232076092002197E-2</v>
      </c>
      <c r="E124" s="16">
        <f>HO!E124+'Gulf Mall'!E124+BTC!E124</f>
        <v>15000</v>
      </c>
      <c r="F124" s="28">
        <f t="shared" si="115"/>
        <v>1.9438961322459699E-2</v>
      </c>
      <c r="G124" s="16">
        <f>HO!G124+'Gulf Mall'!G124+BTC!G124</f>
        <v>15000</v>
      </c>
      <c r="H124" s="28">
        <f t="shared" si="116"/>
        <v>1.9556859493728998E-2</v>
      </c>
      <c r="I124" s="16">
        <f>HO!I124+'Gulf Mall'!I124+BTC!I124</f>
        <v>15000</v>
      </c>
      <c r="J124" s="28">
        <f t="shared" si="117"/>
        <v>1.9251431108740748E-2</v>
      </c>
      <c r="K124" s="16">
        <f>HO!K124+'Gulf Mall'!K124+BTC!K124</f>
        <v>15000</v>
      </c>
      <c r="L124" s="28">
        <f t="shared" si="118"/>
        <v>1.8048579975161513E-2</v>
      </c>
      <c r="M124" s="16">
        <f>HO!M124+'Gulf Mall'!M124+BTC!M124</f>
        <v>15000</v>
      </c>
      <c r="N124" s="28">
        <f t="shared" si="119"/>
        <v>2.0815816535412642E-2</v>
      </c>
      <c r="O124" s="16">
        <f>HO!O124+'Gulf Mall'!O124+BTC!O124</f>
        <v>15000</v>
      </c>
      <c r="P124" s="28">
        <f t="shared" si="120"/>
        <v>1.9849315339585193E-2</v>
      </c>
      <c r="Q124" s="16">
        <f>HO!Q124+'Gulf Mall'!Q124+BTC!Q124</f>
        <v>15000</v>
      </c>
      <c r="R124" s="28">
        <f t="shared" si="121"/>
        <v>1.9024876528332943E-2</v>
      </c>
      <c r="S124" s="16">
        <f>HO!S124+'Gulf Mall'!S124+BTC!S124</f>
        <v>15000</v>
      </c>
      <c r="T124" s="28">
        <f t="shared" si="122"/>
        <v>1.9579879560155736E-2</v>
      </c>
      <c r="U124" s="16">
        <f>HO!U124+'Gulf Mall'!U124+BTC!U124</f>
        <v>15000</v>
      </c>
      <c r="V124" s="28">
        <f t="shared" si="123"/>
        <v>1.9624775443417491E-2</v>
      </c>
      <c r="W124" s="16">
        <f>HO!W124+'Gulf Mall'!W124+BTC!W124</f>
        <v>15000</v>
      </c>
      <c r="X124" s="28">
        <f t="shared" si="124"/>
        <v>1.9140495101209434E-2</v>
      </c>
      <c r="Y124" s="16">
        <f>HO!Y124+'Gulf Mall'!Y124+BTC!Y124</f>
        <v>15000</v>
      </c>
      <c r="Z124" s="28">
        <f t="shared" si="125"/>
        <v>1.9153014707231467E-2</v>
      </c>
      <c r="AA124" s="59">
        <f t="shared" si="126"/>
        <v>180000</v>
      </c>
      <c r="AB124" s="60">
        <f t="shared" si="127"/>
        <v>1.9528303435866434E-2</v>
      </c>
      <c r="AC124" s="67">
        <f t="shared" si="128"/>
        <v>15000</v>
      </c>
      <c r="AD124" s="68">
        <f t="shared" si="129"/>
        <v>1.9528303435866434E-2</v>
      </c>
      <c r="AE124" s="44">
        <f t="shared" si="52"/>
        <v>180000</v>
      </c>
      <c r="AF124" s="21">
        <f t="shared" si="53"/>
        <v>0</v>
      </c>
      <c r="AG124" s="114">
        <v>20794</v>
      </c>
      <c r="AH124" s="1" t="s">
        <v>223</v>
      </c>
      <c r="AW124" s="44"/>
      <c r="AX124" s="44"/>
    </row>
    <row r="125" spans="1:50">
      <c r="A125" s="82">
        <v>6412</v>
      </c>
      <c r="B125" s="2" t="s">
        <v>93</v>
      </c>
      <c r="C125" s="16">
        <f>HO!C125+'Gulf Mall'!C125+BTC!C125</f>
        <v>0</v>
      </c>
      <c r="D125" s="28">
        <f t="shared" si="114"/>
        <v>0</v>
      </c>
      <c r="E125" s="16">
        <f>HO!E125+'Gulf Mall'!E125+BTC!E125</f>
        <v>0</v>
      </c>
      <c r="F125" s="28">
        <f t="shared" si="115"/>
        <v>0</v>
      </c>
      <c r="G125" s="16">
        <f>HO!G125+'Gulf Mall'!G125+BTC!G125</f>
        <v>0</v>
      </c>
      <c r="H125" s="28">
        <f t="shared" si="116"/>
        <v>0</v>
      </c>
      <c r="I125" s="16">
        <f>HO!I125+'Gulf Mall'!I125+BTC!I125</f>
        <v>0</v>
      </c>
      <c r="J125" s="28">
        <f t="shared" si="117"/>
        <v>0</v>
      </c>
      <c r="K125" s="16">
        <f>HO!K125+'Gulf Mall'!K125+BTC!K125</f>
        <v>0</v>
      </c>
      <c r="L125" s="28">
        <f t="shared" si="118"/>
        <v>0</v>
      </c>
      <c r="M125" s="16">
        <f>HO!M125+'Gulf Mall'!M125+BTC!M125</f>
        <v>0</v>
      </c>
      <c r="N125" s="28">
        <f t="shared" si="119"/>
        <v>0</v>
      </c>
      <c r="O125" s="16">
        <f>HO!O125+'Gulf Mall'!O125+BTC!O125</f>
        <v>0</v>
      </c>
      <c r="P125" s="28">
        <f t="shared" si="120"/>
        <v>0</v>
      </c>
      <c r="Q125" s="16">
        <f>HO!Q125+'Gulf Mall'!Q125+BTC!Q125</f>
        <v>0</v>
      </c>
      <c r="R125" s="28">
        <f t="shared" si="121"/>
        <v>0</v>
      </c>
      <c r="S125" s="16">
        <f>HO!S125+'Gulf Mall'!S125+BTC!S125</f>
        <v>0</v>
      </c>
      <c r="T125" s="28">
        <f t="shared" si="122"/>
        <v>0</v>
      </c>
      <c r="U125" s="16">
        <f>HO!U125+'Gulf Mall'!U125+BTC!U125</f>
        <v>0</v>
      </c>
      <c r="V125" s="28">
        <f t="shared" si="123"/>
        <v>0</v>
      </c>
      <c r="W125" s="16">
        <f>HO!W125+'Gulf Mall'!W125+BTC!W125</f>
        <v>0</v>
      </c>
      <c r="X125" s="28">
        <f t="shared" si="124"/>
        <v>0</v>
      </c>
      <c r="Y125" s="16">
        <f>HO!Y125+'Gulf Mall'!Y125+BTC!Y125</f>
        <v>0</v>
      </c>
      <c r="Z125" s="28">
        <f t="shared" si="125"/>
        <v>0</v>
      </c>
      <c r="AA125" s="59">
        <f t="shared" si="126"/>
        <v>0</v>
      </c>
      <c r="AB125" s="60">
        <f t="shared" si="127"/>
        <v>0</v>
      </c>
      <c r="AC125" s="67">
        <f t="shared" si="128"/>
        <v>0</v>
      </c>
      <c r="AD125" s="68">
        <f t="shared" si="129"/>
        <v>0</v>
      </c>
      <c r="AE125" s="44">
        <f t="shared" si="52"/>
        <v>0</v>
      </c>
      <c r="AF125" s="21">
        <f t="shared" si="53"/>
        <v>0</v>
      </c>
      <c r="AW125" s="44"/>
      <c r="AX125" s="44"/>
    </row>
    <row r="126" spans="1:50">
      <c r="A126" s="2">
        <v>6413</v>
      </c>
      <c r="B126" s="2" t="s">
        <v>41</v>
      </c>
      <c r="C126" s="16">
        <f>HO!C126+'Gulf Mall'!C126+BTC!C126</f>
        <v>21602.015441160343</v>
      </c>
      <c r="D126" s="28">
        <f t="shared" si="114"/>
        <v>3.0577042372488188E-2</v>
      </c>
      <c r="E126" s="16">
        <f>HO!E126+'Gulf Mall'!E126+BTC!E126</f>
        <v>16806.399634250789</v>
      </c>
      <c r="F126" s="28">
        <f t="shared" si="115"/>
        <v>2.1779930164000125E-2</v>
      </c>
      <c r="G126" s="16">
        <f>HO!G126+'Gulf Mall'!G126+BTC!G126</f>
        <v>27878.07916152462</v>
      </c>
      <c r="H126" s="28">
        <f t="shared" si="116"/>
        <v>3.6347178474466085E-2</v>
      </c>
      <c r="I126" s="16">
        <f>HO!I126+'Gulf Mall'!I126+BTC!I126</f>
        <v>24616.184249517304</v>
      </c>
      <c r="J126" s="28">
        <f t="shared" si="117"/>
        <v>3.1593118349310098E-2</v>
      </c>
      <c r="K126" s="16">
        <f>HO!K126+'Gulf Mall'!K126+BTC!K126</f>
        <v>22514.007985499575</v>
      </c>
      <c r="L126" s="28">
        <f t="shared" si="118"/>
        <v>2.7089724912514268E-2</v>
      </c>
      <c r="M126" s="16">
        <f>HO!M126+'Gulf Mall'!M126+BTC!M126</f>
        <v>31924.551512022903</v>
      </c>
      <c r="N126" s="28">
        <f t="shared" si="119"/>
        <v>4.4302373816639935E-2</v>
      </c>
      <c r="O126" s="16">
        <f>HO!O126+'Gulf Mall'!O126+BTC!O126</f>
        <v>20211.769506798009</v>
      </c>
      <c r="P126" s="28">
        <f t="shared" si="120"/>
        <v>2.6745985767429731E-2</v>
      </c>
      <c r="Q126" s="16">
        <f>HO!Q126+'Gulf Mall'!Q126+BTC!Q126</f>
        <v>25097.743243650169</v>
      </c>
      <c r="R126" s="28">
        <f t="shared" si="121"/>
        <v>3.1832097756683123E-2</v>
      </c>
      <c r="S126" s="16">
        <f>HO!S126+'Gulf Mall'!S126+BTC!S126</f>
        <v>25282.946412565736</v>
      </c>
      <c r="T126" s="28">
        <f t="shared" si="122"/>
        <v>3.3002469712260576E-2</v>
      </c>
      <c r="U126" s="16">
        <f>HO!U126+'Gulf Mall'!U126+BTC!U126</f>
        <v>20054.5981735274</v>
      </c>
      <c r="V126" s="28">
        <f t="shared" si="123"/>
        <v>2.6237799050896387E-2</v>
      </c>
      <c r="W126" s="16">
        <f>HO!W126+'Gulf Mall'!W126+BTC!W126</f>
        <v>20404.381035570332</v>
      </c>
      <c r="X126" s="28">
        <f t="shared" si="124"/>
        <v>2.6036663683636309E-2</v>
      </c>
      <c r="Y126" s="16">
        <f>HO!Y126+'Gulf Mall'!Y126+BTC!Y126</f>
        <v>30824.153308377077</v>
      </c>
      <c r="Z126" s="28">
        <f t="shared" si="125"/>
        <v>3.9358364110220243E-2</v>
      </c>
      <c r="AA126" s="59">
        <f t="shared" si="126"/>
        <v>287216.82966446423</v>
      </c>
      <c r="AB126" s="60">
        <f t="shared" si="127"/>
        <v>3.1160318897640114E-2</v>
      </c>
      <c r="AC126" s="67">
        <f t="shared" si="128"/>
        <v>23934.73580537202</v>
      </c>
      <c r="AD126" s="68">
        <f t="shared" si="129"/>
        <v>3.1160318897640114E-2</v>
      </c>
      <c r="AE126" s="44">
        <f t="shared" si="52"/>
        <v>287216.82966446423</v>
      </c>
      <c r="AF126" s="21">
        <f t="shared" si="53"/>
        <v>0</v>
      </c>
      <c r="AW126" s="44"/>
      <c r="AX126" s="44"/>
    </row>
    <row r="127" spans="1:50">
      <c r="A127" s="2">
        <v>6414</v>
      </c>
      <c r="B127" s="2" t="s">
        <v>43</v>
      </c>
      <c r="C127" s="16">
        <f>HO!C127+'Gulf Mall'!C127+BTC!C127</f>
        <v>1500</v>
      </c>
      <c r="D127" s="28">
        <f t="shared" si="114"/>
        <v>2.1232076092002196E-3</v>
      </c>
      <c r="E127" s="16">
        <f>HO!E127+'Gulf Mall'!E127+BTC!E127</f>
        <v>1500</v>
      </c>
      <c r="F127" s="28">
        <f t="shared" si="115"/>
        <v>1.9438961322459699E-3</v>
      </c>
      <c r="G127" s="16">
        <f>HO!G127+'Gulf Mall'!G127+BTC!G127</f>
        <v>1500</v>
      </c>
      <c r="H127" s="28">
        <f t="shared" si="116"/>
        <v>1.9556859493728997E-3</v>
      </c>
      <c r="I127" s="16">
        <f>HO!I127+'Gulf Mall'!I127+BTC!I127</f>
        <v>1500</v>
      </c>
      <c r="J127" s="28">
        <f t="shared" si="117"/>
        <v>1.9251431108740747E-3</v>
      </c>
      <c r="K127" s="16">
        <f>HO!K127+'Gulf Mall'!K127+BTC!K127</f>
        <v>1500</v>
      </c>
      <c r="L127" s="28">
        <f t="shared" si="118"/>
        <v>1.8048579975161513E-3</v>
      </c>
      <c r="M127" s="16">
        <f>HO!M127+'Gulf Mall'!M127+BTC!M127</f>
        <v>1500</v>
      </c>
      <c r="N127" s="28">
        <f t="shared" si="119"/>
        <v>2.0815816535412644E-3</v>
      </c>
      <c r="O127" s="16">
        <f>HO!O127+'Gulf Mall'!O127+BTC!O127</f>
        <v>1500</v>
      </c>
      <c r="P127" s="28">
        <f t="shared" si="120"/>
        <v>1.9849315339585194E-3</v>
      </c>
      <c r="Q127" s="16">
        <f>HO!Q127+'Gulf Mall'!Q127+BTC!Q127</f>
        <v>1500</v>
      </c>
      <c r="R127" s="28">
        <f t="shared" si="121"/>
        <v>1.9024876528332942E-3</v>
      </c>
      <c r="S127" s="16">
        <f>HO!S127+'Gulf Mall'!S127+BTC!S127</f>
        <v>1500</v>
      </c>
      <c r="T127" s="28">
        <f t="shared" si="122"/>
        <v>1.9579879560155736E-3</v>
      </c>
      <c r="U127" s="16">
        <f>HO!U127+'Gulf Mall'!U127+BTC!U127</f>
        <v>1500</v>
      </c>
      <c r="V127" s="28">
        <f t="shared" si="123"/>
        <v>1.9624775443417494E-3</v>
      </c>
      <c r="W127" s="16">
        <f>HO!W127+'Gulf Mall'!W127+BTC!W127</f>
        <v>1500</v>
      </c>
      <c r="X127" s="28">
        <f t="shared" si="124"/>
        <v>1.9140495101209434E-3</v>
      </c>
      <c r="Y127" s="16">
        <f>HO!Y127+'Gulf Mall'!Y127+BTC!Y127</f>
        <v>1500</v>
      </c>
      <c r="Z127" s="28">
        <f t="shared" si="125"/>
        <v>1.9153014707231468E-3</v>
      </c>
      <c r="AA127" s="59">
        <f t="shared" si="126"/>
        <v>18000</v>
      </c>
      <c r="AB127" s="60">
        <f t="shared" si="127"/>
        <v>1.9528303435866431E-3</v>
      </c>
      <c r="AC127" s="67">
        <f t="shared" si="128"/>
        <v>1500</v>
      </c>
      <c r="AD127" s="68">
        <f t="shared" si="129"/>
        <v>1.9528303435866431E-3</v>
      </c>
      <c r="AE127" s="44">
        <f t="shared" si="52"/>
        <v>18000</v>
      </c>
      <c r="AF127" s="21">
        <f t="shared" si="53"/>
        <v>0</v>
      </c>
      <c r="AG127" s="113">
        <v>410</v>
      </c>
      <c r="AW127" s="44"/>
      <c r="AX127" s="44"/>
    </row>
    <row r="128" spans="1:50">
      <c r="A128" s="2">
        <v>6415</v>
      </c>
      <c r="B128" s="2" t="s">
        <v>44</v>
      </c>
      <c r="C128" s="16">
        <f>HO!C128+'Gulf Mall'!C128+BTC!C128</f>
        <v>0</v>
      </c>
      <c r="D128" s="28">
        <f t="shared" si="114"/>
        <v>0</v>
      </c>
      <c r="E128" s="16">
        <f>HO!E128+'Gulf Mall'!E128+BTC!E128</f>
        <v>0</v>
      </c>
      <c r="F128" s="28">
        <f t="shared" si="115"/>
        <v>0</v>
      </c>
      <c r="G128" s="16">
        <f>HO!G128+'Gulf Mall'!G128+BTC!G128</f>
        <v>0</v>
      </c>
      <c r="H128" s="28">
        <f t="shared" si="116"/>
        <v>0</v>
      </c>
      <c r="I128" s="16">
        <f>HO!I128+'Gulf Mall'!I128+BTC!I128</f>
        <v>0</v>
      </c>
      <c r="J128" s="28">
        <f t="shared" si="117"/>
        <v>0</v>
      </c>
      <c r="K128" s="16">
        <f>HO!K128+'Gulf Mall'!K128+BTC!K128</f>
        <v>0</v>
      </c>
      <c r="L128" s="28">
        <f t="shared" si="118"/>
        <v>0</v>
      </c>
      <c r="M128" s="16">
        <f>HO!M128+'Gulf Mall'!M128+BTC!M128</f>
        <v>0</v>
      </c>
      <c r="N128" s="28">
        <f t="shared" si="119"/>
        <v>0</v>
      </c>
      <c r="O128" s="16">
        <f>HO!O128+'Gulf Mall'!O128+BTC!O128</f>
        <v>0</v>
      </c>
      <c r="P128" s="28">
        <f t="shared" si="120"/>
        <v>0</v>
      </c>
      <c r="Q128" s="16">
        <f>HO!Q128+'Gulf Mall'!Q128+BTC!Q128</f>
        <v>0</v>
      </c>
      <c r="R128" s="28">
        <f t="shared" si="121"/>
        <v>0</v>
      </c>
      <c r="S128" s="16">
        <f>HO!S128+'Gulf Mall'!S128+BTC!S128</f>
        <v>0</v>
      </c>
      <c r="T128" s="28">
        <f t="shared" si="122"/>
        <v>0</v>
      </c>
      <c r="U128" s="16">
        <f>HO!U128+'Gulf Mall'!U128+BTC!U128</f>
        <v>0</v>
      </c>
      <c r="V128" s="28">
        <f t="shared" si="123"/>
        <v>0</v>
      </c>
      <c r="W128" s="16">
        <f>HO!W128+'Gulf Mall'!W128+BTC!W128</f>
        <v>0</v>
      </c>
      <c r="X128" s="28">
        <f t="shared" si="124"/>
        <v>0</v>
      </c>
      <c r="Y128" s="16">
        <f>HO!Y128+'Gulf Mall'!Y128+BTC!Y128</f>
        <v>0</v>
      </c>
      <c r="Z128" s="28">
        <f t="shared" si="125"/>
        <v>0</v>
      </c>
      <c r="AA128" s="59">
        <f t="shared" si="126"/>
        <v>0</v>
      </c>
      <c r="AB128" s="60">
        <f t="shared" si="127"/>
        <v>0</v>
      </c>
      <c r="AC128" s="67">
        <f t="shared" si="128"/>
        <v>0</v>
      </c>
      <c r="AD128" s="68">
        <f t="shared" si="129"/>
        <v>0</v>
      </c>
      <c r="AE128" s="44">
        <f t="shared" si="52"/>
        <v>0</v>
      </c>
      <c r="AF128" s="21">
        <f t="shared" si="53"/>
        <v>0</v>
      </c>
      <c r="AG128" s="113"/>
      <c r="AW128" s="44"/>
      <c r="AX128" s="44"/>
    </row>
    <row r="129" spans="1:50" ht="15.75" thickBot="1">
      <c r="A129" s="39">
        <v>6499</v>
      </c>
      <c r="B129" s="39" t="s">
        <v>104</v>
      </c>
      <c r="C129" s="31">
        <f>HO!C129+'Gulf Mall'!C129+BTC!C129</f>
        <v>56825.015441160343</v>
      </c>
      <c r="D129" s="52">
        <f t="shared" ref="D129:D145" si="130">C129/C$145</f>
        <v>8.0434203451727748E-2</v>
      </c>
      <c r="E129" s="31">
        <f>HO!E129+'Gulf Mall'!E129+BTC!E129</f>
        <v>52029.399634250789</v>
      </c>
      <c r="F129" s="52">
        <f t="shared" ref="F129" si="131">E129/E$145</f>
        <v>6.742649914139999E-2</v>
      </c>
      <c r="G129" s="31">
        <f>HO!G129+'Gulf Mall'!G129+BTC!G129</f>
        <v>63101.07916152462</v>
      </c>
      <c r="H129" s="52">
        <f t="shared" ref="H129" si="132">G129/G$145</f>
        <v>8.2270595937640523E-2</v>
      </c>
      <c r="I129" s="31">
        <f>HO!I129+'Gulf Mall'!I129+BTC!I129</f>
        <v>59839.184249517304</v>
      </c>
      <c r="J129" s="52">
        <f t="shared" ref="J129" si="133">I129/I$145</f>
        <v>7.6799328878855114E-2</v>
      </c>
      <c r="K129" s="31">
        <f>HO!K129+'Gulf Mall'!K129+BTC!K129</f>
        <v>57737.007985499571</v>
      </c>
      <c r="L129" s="52">
        <f t="shared" ref="L129" si="134">K129/K$145</f>
        <v>6.9471400410188525E-2</v>
      </c>
      <c r="M129" s="31">
        <f>HO!M129+'Gulf Mall'!M129+BTC!M129</f>
        <v>67147.55151202291</v>
      </c>
      <c r="N129" s="52">
        <f t="shared" ref="N129:N145" si="135">M129/M$145</f>
        <v>9.3182074205095916E-2</v>
      </c>
      <c r="O129" s="31">
        <f>HO!O129+'Gulf Mall'!O129+BTC!O129</f>
        <v>55434.769506798009</v>
      </c>
      <c r="P129" s="52">
        <f t="shared" ref="P129" si="136">O129/O$145</f>
        <v>7.3356148047843683E-2</v>
      </c>
      <c r="Q129" s="31">
        <f>HO!Q129+'Gulf Mall'!Q129+BTC!Q129</f>
        <v>60320.743243650169</v>
      </c>
      <c r="R129" s="52">
        <f t="shared" ref="R129" si="137">Q129/Q$145</f>
        <v>7.6506312820514538E-2</v>
      </c>
      <c r="S129" s="31">
        <f>HO!S129+'Gulf Mall'!S129+BTC!S129</f>
        <v>60505.94641256574</v>
      </c>
      <c r="T129" s="52">
        <f t="shared" ref="T129:AD129" si="138">S129/S$145</f>
        <v>7.8979942895418279E-2</v>
      </c>
      <c r="U129" s="31">
        <f>HO!U129+'Gulf Mall'!U129+BTC!U129</f>
        <v>55277.598173527396</v>
      </c>
      <c r="V129" s="52">
        <f t="shared" ref="V129" si="139">U129/U$145</f>
        <v>7.2320696747129334E-2</v>
      </c>
      <c r="W129" s="31">
        <f>HO!W129+'Gulf Mall'!W129+BTC!W129</f>
        <v>55627.381035570332</v>
      </c>
      <c r="X129" s="52">
        <f t="shared" ref="X129" si="140">W129/W$145</f>
        <v>7.0982374280296301E-2</v>
      </c>
      <c r="Y129" s="31">
        <f>HO!Y129+'Gulf Mall'!Y129+BTC!Y129</f>
        <v>66047.153308377077</v>
      </c>
      <c r="Z129" s="52">
        <f t="shared" ref="Z129" si="141">Y129/Y$145</f>
        <v>8.433347324574117E-2</v>
      </c>
      <c r="AA129" s="61">
        <f>SUM(AA116:AA128)</f>
        <v>709892.82966446423</v>
      </c>
      <c r="AB129" s="74">
        <f t="shared" si="138"/>
        <v>7.7016681025741662E-2</v>
      </c>
      <c r="AC129" s="24">
        <f t="shared" si="51"/>
        <v>59157.735805372016</v>
      </c>
      <c r="AD129" s="77">
        <f t="shared" si="138"/>
        <v>7.7016681025741662E-2</v>
      </c>
      <c r="AE129" s="44">
        <f t="shared" si="52"/>
        <v>709892.82966446411</v>
      </c>
      <c r="AF129" s="21">
        <f t="shared" si="53"/>
        <v>0</v>
      </c>
      <c r="AW129" s="44"/>
      <c r="AX129" s="44"/>
    </row>
    <row r="130" spans="1:50" ht="15.75" thickTop="1">
      <c r="A130" s="89"/>
      <c r="B130" s="89"/>
      <c r="C130" s="20">
        <f>HO!C130+'Gulf Mall'!C130+BTC!C130</f>
        <v>0</v>
      </c>
      <c r="D130" s="28"/>
      <c r="E130" s="20">
        <f>HO!E130+'Gulf Mall'!E130+BTC!E130</f>
        <v>0</v>
      </c>
      <c r="F130" s="28"/>
      <c r="G130" s="20">
        <f>HO!G130+'Gulf Mall'!G130+BTC!G130</f>
        <v>0</v>
      </c>
      <c r="H130" s="28"/>
      <c r="I130" s="20">
        <f>HO!I130+'Gulf Mall'!I130+BTC!I130</f>
        <v>0</v>
      </c>
      <c r="J130" s="28"/>
      <c r="K130" s="20">
        <f>HO!K130+'Gulf Mall'!K130+BTC!K130</f>
        <v>0</v>
      </c>
      <c r="L130" s="28"/>
      <c r="M130" s="20">
        <f>HO!M130+'Gulf Mall'!M130+BTC!M130</f>
        <v>0</v>
      </c>
      <c r="N130" s="28"/>
      <c r="O130" s="20">
        <f>HO!O130+'Gulf Mall'!O130+BTC!O130</f>
        <v>0</v>
      </c>
      <c r="P130" s="28"/>
      <c r="Q130" s="20">
        <f>HO!Q130+'Gulf Mall'!Q130+BTC!Q130</f>
        <v>0</v>
      </c>
      <c r="R130" s="28"/>
      <c r="S130" s="20">
        <f>HO!S130+'Gulf Mall'!S130+BTC!S130</f>
        <v>0</v>
      </c>
      <c r="T130" s="28"/>
      <c r="U130" s="20">
        <f>HO!U130+'Gulf Mall'!U130+BTC!U130</f>
        <v>0</v>
      </c>
      <c r="V130" s="28"/>
      <c r="W130" s="20">
        <f>HO!W130+'Gulf Mall'!W130+BTC!W130</f>
        <v>0</v>
      </c>
      <c r="X130" s="28"/>
      <c r="Y130" s="20">
        <f>HO!Y130+'Gulf Mall'!Y130+BTC!Y130</f>
        <v>0</v>
      </c>
      <c r="Z130" s="28"/>
      <c r="AA130" s="64"/>
      <c r="AB130" s="60"/>
      <c r="AC130" s="96">
        <f t="shared" si="51"/>
        <v>0</v>
      </c>
      <c r="AD130" s="68"/>
      <c r="AE130" s="44">
        <f t="shared" si="52"/>
        <v>0</v>
      </c>
      <c r="AF130" s="21">
        <f t="shared" si="53"/>
        <v>0</v>
      </c>
      <c r="AW130" s="44"/>
      <c r="AX130" s="44"/>
    </row>
    <row r="131" spans="1:50" ht="15.75" thickBot="1">
      <c r="A131" s="39"/>
      <c r="B131" s="39" t="s">
        <v>116</v>
      </c>
      <c r="C131" s="105">
        <f>HO!C131+'Gulf Mall'!C131+BTC!C131</f>
        <v>-246071.34872586612</v>
      </c>
      <c r="D131" s="52">
        <f>C131/C145</f>
        <v>-0.34830704001394647</v>
      </c>
      <c r="E131" s="105">
        <f>HO!E131+'Gulf Mall'!E131+BTC!E131</f>
        <v>-464526.64637514378</v>
      </c>
      <c r="F131" s="52">
        <f>E131/E145</f>
        <v>-0.60199436747588886</v>
      </c>
      <c r="G131" s="105">
        <f>HO!G131+'Gulf Mall'!G131+BTC!G131</f>
        <v>94265.146157079085</v>
      </c>
      <c r="H131" s="52">
        <f>G131/G145</f>
        <v>0.12290201456998825</v>
      </c>
      <c r="I131" s="105">
        <f>HO!I131+'Gulf Mall'!I131+BTC!I131</f>
        <v>-26600.018986526818</v>
      </c>
      <c r="J131" s="52">
        <f>I131/I145</f>
        <v>-3.413922886735446E-2</v>
      </c>
      <c r="K131" s="105">
        <f>HO!K131+'Gulf Mall'!K131+BTC!K131</f>
        <v>-129179.93990503304</v>
      </c>
      <c r="L131" s="52">
        <f>K131/K145</f>
        <v>-0.15543429843750312</v>
      </c>
      <c r="M131" s="105">
        <f>HO!M131+'Gulf Mall'!M131+BTC!M131</f>
        <v>221765.84059638681</v>
      </c>
      <c r="N131" s="52">
        <f>M131/M145</f>
        <v>0.30774913677839688</v>
      </c>
      <c r="O131" s="105">
        <f>HO!O131+'Gulf Mall'!O131+BTC!O131</f>
        <v>-308777.15014630585</v>
      </c>
      <c r="P131" s="52">
        <f>O131/O145</f>
        <v>-0.40860100152749795</v>
      </c>
      <c r="Q131" s="105">
        <f>HO!Q131+'Gulf Mall'!Q131+BTC!Q131</f>
        <v>-54865.933519629471</v>
      </c>
      <c r="R131" s="52">
        <f>Q131/Q145</f>
        <v>-6.9587840721511626E-2</v>
      </c>
      <c r="S131" s="105">
        <f>HO!S131+'Gulf Mall'!S131+BTC!S131</f>
        <v>-44459.502086342138</v>
      </c>
      <c r="T131" s="52">
        <f>S131/S145</f>
        <v>-5.8034113077004783E-2</v>
      </c>
      <c r="U131" s="105">
        <f>HO!U131+'Gulf Mall'!U131+BTC!U131</f>
        <v>-293767.45130493707</v>
      </c>
      <c r="V131" s="52">
        <f>U131/U145</f>
        <v>-0.38434135096296485</v>
      </c>
      <c r="W131" s="105">
        <f>HO!W131+'Gulf Mall'!W131+BTC!W131</f>
        <v>-268439.71305810806</v>
      </c>
      <c r="X131" s="52">
        <f>W131/W145</f>
        <v>-0.34253793418391892</v>
      </c>
      <c r="Y131" s="105">
        <f>HO!Y131+'Gulf Mall'!Y131+BTC!Y131</f>
        <v>156575.51554948988</v>
      </c>
      <c r="Z131" s="52">
        <f>Y131/Y145</f>
        <v>0.19992621014078193</v>
      </c>
      <c r="AA131" s="98">
        <f>AA37-(AA41+AA76+AA93+AA115+AA129)</f>
        <v>-1364081.2018049378</v>
      </c>
      <c r="AB131" s="52">
        <f>AA131/AA145</f>
        <v>-0.14798995344448987</v>
      </c>
      <c r="AC131" s="98">
        <f t="shared" si="51"/>
        <v>-113673.43348374481</v>
      </c>
      <c r="AD131" s="52">
        <f>AC131/AC145</f>
        <v>-0.14798995344448987</v>
      </c>
      <c r="AE131" s="44">
        <f t="shared" si="52"/>
        <v>-1364081.2018049364</v>
      </c>
      <c r="AF131" s="21">
        <f t="shared" si="53"/>
        <v>0</v>
      </c>
      <c r="AW131" s="44"/>
      <c r="AX131" s="44"/>
    </row>
    <row r="132" spans="1:50" ht="15.75" thickTop="1">
      <c r="A132" s="89"/>
      <c r="B132" s="89"/>
      <c r="C132" s="20">
        <f>HO!C132+'Gulf Mall'!C132+BTC!C132</f>
        <v>0</v>
      </c>
      <c r="D132" s="28"/>
      <c r="E132" s="20">
        <f>HO!E132+'Gulf Mall'!E132+BTC!E132</f>
        <v>0</v>
      </c>
      <c r="F132" s="28"/>
      <c r="G132" s="20">
        <f>HO!G132+'Gulf Mall'!G132+BTC!G132</f>
        <v>0</v>
      </c>
      <c r="H132" s="28"/>
      <c r="I132" s="20">
        <f>HO!I132+'Gulf Mall'!I132+BTC!I132</f>
        <v>0</v>
      </c>
      <c r="J132" s="28"/>
      <c r="K132" s="20">
        <f>HO!K132+'Gulf Mall'!K132+BTC!K132</f>
        <v>0</v>
      </c>
      <c r="L132" s="28"/>
      <c r="M132" s="20">
        <f>HO!M132+'Gulf Mall'!M132+BTC!M132</f>
        <v>0</v>
      </c>
      <c r="N132" s="28"/>
      <c r="O132" s="20">
        <f>HO!O132+'Gulf Mall'!O132+BTC!O132</f>
        <v>0</v>
      </c>
      <c r="P132" s="28"/>
      <c r="Q132" s="20">
        <f>HO!Q132+'Gulf Mall'!Q132+BTC!Q132</f>
        <v>0</v>
      </c>
      <c r="R132" s="28"/>
      <c r="S132" s="20">
        <f>HO!S132+'Gulf Mall'!S132+BTC!S132</f>
        <v>0</v>
      </c>
      <c r="T132" s="28"/>
      <c r="U132" s="20">
        <f>HO!U132+'Gulf Mall'!U132+BTC!U132</f>
        <v>0</v>
      </c>
      <c r="V132" s="28"/>
      <c r="W132" s="20">
        <f>HO!W132+'Gulf Mall'!W132+BTC!W132</f>
        <v>0</v>
      </c>
      <c r="X132" s="28"/>
      <c r="Y132" s="20">
        <f>HO!Y132+'Gulf Mall'!Y132+BTC!Y132</f>
        <v>0</v>
      </c>
      <c r="Z132" s="28"/>
      <c r="AA132" s="64"/>
      <c r="AB132" s="60"/>
      <c r="AC132" s="96">
        <f t="shared" si="51"/>
        <v>0</v>
      </c>
      <c r="AD132" s="68"/>
      <c r="AE132" s="44">
        <f t="shared" si="52"/>
        <v>0</v>
      </c>
      <c r="AF132" s="21">
        <f t="shared" si="53"/>
        <v>0</v>
      </c>
      <c r="AW132" s="44"/>
      <c r="AX132" s="44"/>
    </row>
    <row r="133" spans="1:50" ht="15.75" thickBot="1">
      <c r="A133" s="121"/>
      <c r="B133" s="4" t="s">
        <v>125</v>
      </c>
      <c r="C133" s="127">
        <f>HO!C133+'Gulf Mall'!C133+BTC!C133</f>
        <v>120000</v>
      </c>
      <c r="D133" s="128">
        <f t="shared" ref="D133" si="142">C133/C$145</f>
        <v>0.16985660873601757</v>
      </c>
      <c r="E133" s="127">
        <f>HO!E133+'Gulf Mall'!E133+BTC!E133</f>
        <v>120000</v>
      </c>
      <c r="F133" s="128">
        <f t="shared" ref="F133" si="143">E133/E$145</f>
        <v>0.15551169057967759</v>
      </c>
      <c r="G133" s="127">
        <f>HO!G133+'Gulf Mall'!G133+BTC!G133</f>
        <v>120000</v>
      </c>
      <c r="H133" s="108">
        <f t="shared" ref="H133" si="144">G133/G$145</f>
        <v>0.15645487594983198</v>
      </c>
      <c r="I133" s="127">
        <f>HO!I133+'Gulf Mall'!I133+BTC!I133</f>
        <v>120000</v>
      </c>
      <c r="J133" s="108">
        <f t="shared" ref="J133" si="145">I133/I$145</f>
        <v>0.15401144886992599</v>
      </c>
      <c r="K133" s="127">
        <f>HO!K133+'Gulf Mall'!K133+BTC!K133</f>
        <v>120000</v>
      </c>
      <c r="L133" s="108">
        <f t="shared" ref="L133" si="146">K133/K$145</f>
        <v>0.1443886398012921</v>
      </c>
      <c r="M133" s="127">
        <f>HO!M133+'Gulf Mall'!M133+BTC!M133</f>
        <v>120000</v>
      </c>
      <c r="N133" s="108">
        <f t="shared" ref="N133" si="147">M133/M$145</f>
        <v>0.16652653228330114</v>
      </c>
      <c r="O133" s="127">
        <f>HO!O133+'Gulf Mall'!O133+BTC!O133</f>
        <v>120000</v>
      </c>
      <c r="P133" s="108">
        <f t="shared" ref="P133" si="148">O133/O$145</f>
        <v>0.15879452271668154</v>
      </c>
      <c r="Q133" s="127">
        <f>HO!Q133+'Gulf Mall'!Q133+BTC!Q133</f>
        <v>120000</v>
      </c>
      <c r="R133" s="108">
        <f t="shared" ref="R133" si="149">Q133/Q$145</f>
        <v>0.15219901222666354</v>
      </c>
      <c r="S133" s="127">
        <f>HO!S133+'Gulf Mall'!S133+BTC!S133</f>
        <v>120000</v>
      </c>
      <c r="T133" s="108">
        <f t="shared" ref="T133" si="150">S133/S$145</f>
        <v>0.15663903648124589</v>
      </c>
      <c r="U133" s="127">
        <f>HO!U133+'Gulf Mall'!U133+BTC!U133</f>
        <v>120000</v>
      </c>
      <c r="V133" s="108">
        <f t="shared" ref="V133" si="151">U133/U$145</f>
        <v>0.15699820354733993</v>
      </c>
      <c r="W133" s="127">
        <f>HO!W133+'Gulf Mall'!W133+BTC!W133</f>
        <v>120000</v>
      </c>
      <c r="X133" s="108">
        <f t="shared" ref="X133" si="152">W133/W$145</f>
        <v>0.15312396080967547</v>
      </c>
      <c r="Y133" s="127">
        <f>HO!Y133+'Gulf Mall'!Y133+BTC!Y133</f>
        <v>120000</v>
      </c>
      <c r="Z133" s="108">
        <f t="shared" ref="Z133" si="153">Y133/Y$145</f>
        <v>0.15322411765785174</v>
      </c>
      <c r="AA133" s="109">
        <f t="shared" ref="AA133" si="154">C133+E133+G133+I133+K133+M133+O133+Q133+S133+U133+W133+Y133</f>
        <v>1440000</v>
      </c>
      <c r="AB133" s="108">
        <f t="shared" ref="AB133" si="155">AA133/AA$145</f>
        <v>0.15622642748693147</v>
      </c>
      <c r="AC133" s="109">
        <f t="shared" si="51"/>
        <v>120000</v>
      </c>
      <c r="AD133" s="108">
        <f t="shared" ref="AD133" si="156">AC133/AC$145</f>
        <v>0.15622642748693147</v>
      </c>
      <c r="AE133" s="44">
        <f t="shared" si="52"/>
        <v>1440000</v>
      </c>
      <c r="AF133" s="21">
        <f t="shared" si="53"/>
        <v>0</v>
      </c>
      <c r="AG133" s="21">
        <v>238000</v>
      </c>
      <c r="AH133" s="1" t="s">
        <v>142</v>
      </c>
      <c r="AW133" s="44"/>
      <c r="AX133" s="44"/>
    </row>
    <row r="134" spans="1:50" ht="15.75" thickTop="1">
      <c r="A134" s="89"/>
      <c r="B134" s="89"/>
      <c r="C134" s="20">
        <f>HO!C134+'Gulf Mall'!C134+BTC!C134</f>
        <v>0</v>
      </c>
      <c r="D134" s="28"/>
      <c r="E134" s="20">
        <f>HO!E134+'Gulf Mall'!E134+BTC!E134</f>
        <v>0</v>
      </c>
      <c r="F134" s="28"/>
      <c r="G134" s="20">
        <f>HO!G134+'Gulf Mall'!G134+BTC!G134</f>
        <v>0</v>
      </c>
      <c r="H134" s="28"/>
      <c r="I134" s="20">
        <f>HO!I134+'Gulf Mall'!I134+BTC!I134</f>
        <v>0</v>
      </c>
      <c r="J134" s="28"/>
      <c r="K134" s="20">
        <f>HO!K134+'Gulf Mall'!K134+BTC!K134</f>
        <v>0</v>
      </c>
      <c r="L134" s="28"/>
      <c r="M134" s="20">
        <f>HO!M134+'Gulf Mall'!M134+BTC!M134</f>
        <v>0</v>
      </c>
      <c r="N134" s="28"/>
      <c r="O134" s="20">
        <f>HO!O134+'Gulf Mall'!O134+BTC!O134</f>
        <v>0</v>
      </c>
      <c r="P134" s="28"/>
      <c r="Q134" s="20">
        <f>HO!Q134+'Gulf Mall'!Q134+BTC!Q134</f>
        <v>0</v>
      </c>
      <c r="R134" s="28"/>
      <c r="S134" s="20">
        <f>HO!S134+'Gulf Mall'!S134+BTC!S134</f>
        <v>0</v>
      </c>
      <c r="T134" s="28"/>
      <c r="U134" s="20">
        <f>HO!U134+'Gulf Mall'!U134+BTC!U134</f>
        <v>0</v>
      </c>
      <c r="V134" s="28"/>
      <c r="W134" s="20">
        <f>HO!W134+'Gulf Mall'!W134+BTC!W134</f>
        <v>0</v>
      </c>
      <c r="X134" s="28"/>
      <c r="Y134" s="20">
        <f>HO!Y134+'Gulf Mall'!Y134+BTC!Y134</f>
        <v>0</v>
      </c>
      <c r="Z134" s="28"/>
      <c r="AA134" s="64"/>
      <c r="AB134" s="60"/>
      <c r="AC134" s="96">
        <f t="shared" si="51"/>
        <v>0</v>
      </c>
      <c r="AD134" s="68"/>
      <c r="AE134" s="44">
        <f t="shared" si="52"/>
        <v>0</v>
      </c>
      <c r="AF134" s="21">
        <f t="shared" si="53"/>
        <v>0</v>
      </c>
      <c r="AW134" s="44"/>
      <c r="AX134" s="44"/>
    </row>
    <row r="135" spans="1:50" ht="15.75" thickBot="1">
      <c r="A135" s="39"/>
      <c r="B135" s="4" t="s">
        <v>122</v>
      </c>
      <c r="C135" s="23">
        <f>HO!C135+'Gulf Mall'!C135+BTC!C135</f>
        <v>-366071.34872586606</v>
      </c>
      <c r="D135" s="52">
        <f>C135/C145</f>
        <v>-0.51816364874996401</v>
      </c>
      <c r="E135" s="23">
        <f>HO!E135+'Gulf Mall'!E135+BTC!E135</f>
        <v>-584526.64637514367</v>
      </c>
      <c r="F135" s="52">
        <f>E135/E145</f>
        <v>-0.75750605805556637</v>
      </c>
      <c r="G135" s="23">
        <f>HO!G135+'Gulf Mall'!G135+BTC!G135</f>
        <v>-25734.853842920857</v>
      </c>
      <c r="H135" s="52">
        <f>G135/G145</f>
        <v>-3.3552861379843667E-2</v>
      </c>
      <c r="I135" s="23">
        <f>HO!I135+'Gulf Mall'!I135+BTC!I135</f>
        <v>-146600.01898652676</v>
      </c>
      <c r="J135" s="52">
        <f>I135/I145</f>
        <v>-0.18815067773728036</v>
      </c>
      <c r="K135" s="23">
        <f>HO!K135+'Gulf Mall'!K135+BTC!K135</f>
        <v>-249179.93990503298</v>
      </c>
      <c r="L135" s="52">
        <f>K135/K145</f>
        <v>-0.29982293823879513</v>
      </c>
      <c r="M135" s="23">
        <f>HO!M135+'Gulf Mall'!M135+BTC!M135</f>
        <v>101765.84059638681</v>
      </c>
      <c r="N135" s="52">
        <f>M135/M145</f>
        <v>0.14122260449509572</v>
      </c>
      <c r="O135" s="23">
        <f>HO!O135+'Gulf Mall'!O135+BTC!O135</f>
        <v>-428777.15014630579</v>
      </c>
      <c r="P135" s="52">
        <f>O135/O145</f>
        <v>-0.56739552424417938</v>
      </c>
      <c r="Q135" s="23">
        <f>HO!Q135+'Gulf Mall'!Q135+BTC!Q135</f>
        <v>-174865.93351962941</v>
      </c>
      <c r="R135" s="52">
        <f>Q135/Q145</f>
        <v>-0.22178685294817507</v>
      </c>
      <c r="S135" s="23">
        <f>HO!S135+'Gulf Mall'!S135+BTC!S135</f>
        <v>-164459.50208634208</v>
      </c>
      <c r="T135" s="52">
        <f>S135/S145</f>
        <v>-0.21467314955825059</v>
      </c>
      <c r="U135" s="23">
        <f>HO!U135+'Gulf Mall'!U135+BTC!U135</f>
        <v>-413767.45130493701</v>
      </c>
      <c r="V135" s="52">
        <f>U135/U145</f>
        <v>-0.54133955451030469</v>
      </c>
      <c r="W135" s="23">
        <f>HO!W135+'Gulf Mall'!W135+BTC!W135</f>
        <v>-388439.713058108</v>
      </c>
      <c r="X135" s="52">
        <f>W135/W145</f>
        <v>-0.49566189499359431</v>
      </c>
      <c r="Y135" s="23">
        <f>HO!Y135+'Gulf Mall'!Y135+BTC!Y135</f>
        <v>36575.515549489879</v>
      </c>
      <c r="Z135" s="52">
        <f>Y135/Y145</f>
        <v>4.6702092482930189E-2</v>
      </c>
      <c r="AA135" s="23">
        <f>AA131-AA133</f>
        <v>-2804081.2018049378</v>
      </c>
      <c r="AB135" s="52">
        <f>AA135/AA145</f>
        <v>-0.30421638093142134</v>
      </c>
      <c r="AC135" s="23">
        <f t="shared" si="51"/>
        <v>-233673.43348374483</v>
      </c>
      <c r="AD135" s="52">
        <f>AC135/AC145</f>
        <v>-0.30421638093142134</v>
      </c>
      <c r="AE135" s="44">
        <f t="shared" si="52"/>
        <v>-2804081.2018049364</v>
      </c>
      <c r="AF135" s="21">
        <f t="shared" si="53"/>
        <v>0</v>
      </c>
      <c r="AW135" s="44"/>
      <c r="AX135" s="44"/>
    </row>
    <row r="136" spans="1:50" ht="15.75" thickTop="1">
      <c r="A136" s="15">
        <v>6501</v>
      </c>
      <c r="B136" s="92" t="s">
        <v>124</v>
      </c>
      <c r="C136" s="16">
        <f>HO!C136+'Gulf Mall'!C136+BTC!C136</f>
        <v>0</v>
      </c>
      <c r="D136" s="28">
        <f t="shared" ref="D136" si="157">C136/C$145</f>
        <v>0</v>
      </c>
      <c r="E136" s="16">
        <f>HO!E136+'Gulf Mall'!E136+BTC!E136</f>
        <v>0</v>
      </c>
      <c r="F136" s="28">
        <f t="shared" ref="F136" si="158">E136/E$145</f>
        <v>0</v>
      </c>
      <c r="G136" s="16">
        <f>HO!G136+'Gulf Mall'!G136+BTC!G136</f>
        <v>0</v>
      </c>
      <c r="H136" s="28">
        <f t="shared" ref="H136" si="159">G136/G$145</f>
        <v>0</v>
      </c>
      <c r="I136" s="16">
        <f>HO!I136+'Gulf Mall'!I136+BTC!I136</f>
        <v>0</v>
      </c>
      <c r="J136" s="28">
        <f t="shared" ref="J136" si="160">I136/I$145</f>
        <v>0</v>
      </c>
      <c r="K136" s="16">
        <f>HO!K136+'Gulf Mall'!K136+BTC!K136</f>
        <v>0</v>
      </c>
      <c r="L136" s="28">
        <f t="shared" ref="L136" si="161">K136/K$145</f>
        <v>0</v>
      </c>
      <c r="M136" s="16">
        <f>HO!M136+'Gulf Mall'!M136+BTC!M136</f>
        <v>0</v>
      </c>
      <c r="N136" s="28">
        <f t="shared" ref="N136" si="162">M136/M$145</f>
        <v>0</v>
      </c>
      <c r="O136" s="16">
        <f>HO!O136+'Gulf Mall'!O136+BTC!O136</f>
        <v>0</v>
      </c>
      <c r="P136" s="28">
        <f t="shared" ref="P136" si="163">O136/O$145</f>
        <v>0</v>
      </c>
      <c r="Q136" s="16">
        <f>HO!Q136+'Gulf Mall'!Q136+BTC!Q136</f>
        <v>0</v>
      </c>
      <c r="R136" s="28">
        <f t="shared" ref="R136" si="164">Q136/Q$145</f>
        <v>0</v>
      </c>
      <c r="S136" s="16">
        <f>HO!S136+'Gulf Mall'!S136+BTC!S136</f>
        <v>0</v>
      </c>
      <c r="T136" s="28">
        <f t="shared" ref="T136" si="165">S136/S$145</f>
        <v>0</v>
      </c>
      <c r="U136" s="16">
        <f>HO!U136+'Gulf Mall'!U136+BTC!U136</f>
        <v>0</v>
      </c>
      <c r="V136" s="28">
        <f t="shared" ref="V136" si="166">U136/U$145</f>
        <v>0</v>
      </c>
      <c r="W136" s="16">
        <f>HO!W136+'Gulf Mall'!W136+BTC!W136</f>
        <v>0</v>
      </c>
      <c r="X136" s="28">
        <f t="shared" ref="X136" si="167">W136/W$145</f>
        <v>0</v>
      </c>
      <c r="Y136" s="16">
        <f>HO!Y136+'Gulf Mall'!Y136+BTC!Y136</f>
        <v>0</v>
      </c>
      <c r="Z136" s="28">
        <f t="shared" ref="Z136" si="168">Y136/Y$145</f>
        <v>0</v>
      </c>
      <c r="AA136" s="59">
        <f t="shared" ref="AA136" si="169">C136+E136+G136+I136+K136+M136+O136+Q136+S136+U136+W136+Y136</f>
        <v>0</v>
      </c>
      <c r="AB136" s="60">
        <f t="shared" ref="AB136" si="170">AA136/AA$145</f>
        <v>0</v>
      </c>
      <c r="AC136" s="67">
        <f t="shared" si="51"/>
        <v>0</v>
      </c>
      <c r="AD136" s="68">
        <f t="shared" ref="AD136" si="171">AC136/AC$145</f>
        <v>0</v>
      </c>
      <c r="AE136" s="44">
        <f t="shared" si="52"/>
        <v>0</v>
      </c>
      <c r="AF136" s="21">
        <f t="shared" si="53"/>
        <v>0</v>
      </c>
      <c r="AW136" s="44"/>
      <c r="AX136" s="44"/>
    </row>
    <row r="137" spans="1:50">
      <c r="A137" s="2">
        <v>6502</v>
      </c>
      <c r="B137" s="92" t="s">
        <v>118</v>
      </c>
      <c r="C137" s="16">
        <f>HO!C137+'Gulf Mall'!C137+BTC!C137</f>
        <v>75363.61</v>
      </c>
      <c r="D137" s="28">
        <f t="shared" ref="D137:D143" si="172">C137/C$145</f>
        <v>0.10667506013919852</v>
      </c>
      <c r="E137" s="16">
        <f>HO!E137+'Gulf Mall'!E137+BTC!E137</f>
        <v>75363.62000000001</v>
      </c>
      <c r="F137" s="28">
        <f t="shared" ref="F137:F143" si="173">E137/E$145</f>
        <v>9.7666032953370022E-2</v>
      </c>
      <c r="G137" s="16">
        <f>HO!G137+'Gulf Mall'!G137+BTC!G137</f>
        <v>75363.61</v>
      </c>
      <c r="H137" s="28">
        <f t="shared" ref="H137:H143" si="174">G137/G$145</f>
        <v>9.8258368780679312E-2</v>
      </c>
      <c r="I137" s="16">
        <f>HO!I137+'Gulf Mall'!I137+BTC!I137</f>
        <v>75363.62000000001</v>
      </c>
      <c r="J137" s="28">
        <f t="shared" ref="J137:J143" si="175">I137/I$145</f>
        <v>9.6723835902354435E-2</v>
      </c>
      <c r="K137" s="16">
        <f>HO!K137+'Gulf Mall'!K137+BTC!K137</f>
        <v>75363.62000000001</v>
      </c>
      <c r="L137" s="28">
        <f t="shared" ref="L137:L143" si="176">K137/K$145</f>
        <v>9.0680421519178794E-2</v>
      </c>
      <c r="M137" s="16">
        <f>HO!M137+'Gulf Mall'!M137+BTC!M137</f>
        <v>75363.62000000001</v>
      </c>
      <c r="N137" s="28">
        <f t="shared" ref="N137:N143" si="177">M137/M$145</f>
        <v>0.10458368582430368</v>
      </c>
      <c r="O137" s="16">
        <f>HO!O137+'Gulf Mall'!O137+BTC!O137</f>
        <v>75363.62000000001</v>
      </c>
      <c r="P137" s="28">
        <f t="shared" ref="P137:P143" si="178">O137/O$145</f>
        <v>9.9727750567511306E-2</v>
      </c>
      <c r="Q137" s="16">
        <f>HO!Q137+'Gulf Mall'!Q137+BTC!Q137</f>
        <v>75363.62000000001</v>
      </c>
      <c r="R137" s="28">
        <f t="shared" ref="R137:R143" si="179">Q137/Q$145</f>
        <v>9.5585571015213547E-2</v>
      </c>
      <c r="S137" s="16">
        <f>HO!S137+'Gulf Mall'!S137+BTC!S137</f>
        <v>75363.63</v>
      </c>
      <c r="T137" s="28">
        <f t="shared" ref="T137:T143" si="180">S137/S$145</f>
        <v>9.8374053241075982E-2</v>
      </c>
      <c r="U137" s="16">
        <f>HO!U137+'Gulf Mall'!U137+BTC!U137</f>
        <v>75363.62000000001</v>
      </c>
      <c r="V137" s="28">
        <f t="shared" ref="V137:V143" si="181">U137/U$145</f>
        <v>9.8599607940203171E-2</v>
      </c>
      <c r="W137" s="16">
        <f>HO!W137+'Gulf Mall'!W137+BTC!W137</f>
        <v>75363.62000000001</v>
      </c>
      <c r="X137" s="28">
        <f t="shared" ref="X137:X143" si="182">W137/W$145</f>
        <v>9.6166466627960634E-2</v>
      </c>
      <c r="Y137" s="16">
        <f>HO!Y137+'Gulf Mall'!Y137+BTC!Y137</f>
        <v>75363.62000000001</v>
      </c>
      <c r="Z137" s="28">
        <f t="shared" ref="Z137:Z143" si="183">Y137/Y$145</f>
        <v>9.6229368150013581E-2</v>
      </c>
      <c r="AA137" s="59">
        <f t="shared" ref="AA137:AA143" si="184">C137+E137+G137+I137+K137+M137+O137+Q137+S137+U137+W137+Y137</f>
        <v>904363.43</v>
      </c>
      <c r="AB137" s="60">
        <f t="shared" ref="AB137:AB143" si="185">AA137/AA$145</f>
        <v>9.8114908207449739E-2</v>
      </c>
      <c r="AC137" s="67">
        <f t="shared" ref="AC137:AC143" si="186">AA137/12</f>
        <v>75363.619166666671</v>
      </c>
      <c r="AD137" s="68">
        <f t="shared" ref="AD137:AD143" si="187">AC137/AC$145</f>
        <v>9.8114908207449739E-2</v>
      </c>
      <c r="AE137" s="44">
        <f t="shared" si="52"/>
        <v>904363.43</v>
      </c>
      <c r="AF137" s="21">
        <f t="shared" si="53"/>
        <v>0</v>
      </c>
      <c r="AG137" s="113">
        <v>59</v>
      </c>
      <c r="AH137" s="1" t="s">
        <v>143</v>
      </c>
      <c r="AW137" s="44"/>
      <c r="AX137" s="44"/>
    </row>
    <row r="138" spans="1:50">
      <c r="A138" s="82">
        <v>6503</v>
      </c>
      <c r="B138" s="92" t="s">
        <v>121</v>
      </c>
      <c r="C138" s="16">
        <f>HO!C138+'Gulf Mall'!C138+BTC!C138</f>
        <v>34885.47</v>
      </c>
      <c r="D138" s="28">
        <f t="shared" si="172"/>
        <v>4.9379396903017327E-2</v>
      </c>
      <c r="E138" s="16">
        <f>HO!E138+'Gulf Mall'!E138+BTC!E138</f>
        <v>34885.449999999997</v>
      </c>
      <c r="F138" s="28">
        <f t="shared" si="173"/>
        <v>4.5209127551106773E-2</v>
      </c>
      <c r="G138" s="16">
        <f>HO!G138+'Gulf Mall'!G138+BTC!G138</f>
        <v>34885.479999999996</v>
      </c>
      <c r="H138" s="28">
        <f t="shared" si="174"/>
        <v>4.5483362048752869E-2</v>
      </c>
      <c r="I138" s="16">
        <f>HO!I138+'Gulf Mall'!I138+BTC!I138</f>
        <v>34885.449999999997</v>
      </c>
      <c r="J138" s="28">
        <f t="shared" si="175"/>
        <v>4.4772989158161323E-2</v>
      </c>
      <c r="K138" s="16">
        <f>HO!K138+'Gulf Mall'!K138+BTC!K138</f>
        <v>34885.449999999997</v>
      </c>
      <c r="L138" s="28">
        <f t="shared" si="176"/>
        <v>4.1975522286299874E-2</v>
      </c>
      <c r="M138" s="16">
        <f>HO!M138+'Gulf Mall'!M138+BTC!M138</f>
        <v>34885.42</v>
      </c>
      <c r="N138" s="28">
        <f t="shared" si="177"/>
        <v>4.8411233498720993E-2</v>
      </c>
      <c r="O138" s="16">
        <f>HO!O138+'Gulf Mall'!O138+BTC!O138</f>
        <v>34885.42</v>
      </c>
      <c r="P138" s="28">
        <f t="shared" si="178"/>
        <v>4.616344682225814E-2</v>
      </c>
      <c r="Q138" s="16">
        <f>HO!Q138+'Gulf Mall'!Q138+BTC!Q138</f>
        <v>34885.42</v>
      </c>
      <c r="R138" s="28">
        <f t="shared" si="179"/>
        <v>4.4246053875935769E-2</v>
      </c>
      <c r="S138" s="16">
        <f>HO!S138+'Gulf Mall'!S138+BTC!S138</f>
        <v>34885.449999999997</v>
      </c>
      <c r="T138" s="28">
        <f t="shared" si="180"/>
        <v>4.5536860626788987E-2</v>
      </c>
      <c r="U138" s="16">
        <f>HO!U138+'Gulf Mall'!U138+BTC!U138</f>
        <v>34885.449999999997</v>
      </c>
      <c r="V138" s="28">
        <f t="shared" si="181"/>
        <v>4.5641274832837912E-2</v>
      </c>
      <c r="W138" s="16">
        <f>HO!W138+'Gulf Mall'!W138+BTC!W138</f>
        <v>34885.449999999997</v>
      </c>
      <c r="X138" s="28">
        <f t="shared" si="182"/>
        <v>4.4514985655232445E-2</v>
      </c>
      <c r="Y138" s="16">
        <f>HO!Y138+'Gulf Mall'!Y138+BTC!Y138</f>
        <v>34885.449999999997</v>
      </c>
      <c r="Z138" s="28">
        <f t="shared" si="183"/>
        <v>4.4544102461225865E-2</v>
      </c>
      <c r="AA138" s="59">
        <f t="shared" si="184"/>
        <v>418625.36</v>
      </c>
      <c r="AB138" s="60">
        <f t="shared" si="185"/>
        <v>4.5416905866826784E-2</v>
      </c>
      <c r="AC138" s="67">
        <f t="shared" si="186"/>
        <v>34885.446666666663</v>
      </c>
      <c r="AD138" s="68">
        <f t="shared" si="187"/>
        <v>4.5416905866826784E-2</v>
      </c>
      <c r="AE138" s="44">
        <f t="shared" si="52"/>
        <v>418625.36</v>
      </c>
      <c r="AF138" s="21">
        <f t="shared" si="53"/>
        <v>0</v>
      </c>
      <c r="AG138" s="113">
        <v>4295</v>
      </c>
      <c r="AH138" s="1" t="s">
        <v>179</v>
      </c>
      <c r="AI138" s="1" t="s">
        <v>149</v>
      </c>
      <c r="AW138" s="44"/>
      <c r="AX138" s="44"/>
    </row>
    <row r="139" spans="1:50">
      <c r="A139" s="2">
        <v>6504</v>
      </c>
      <c r="B139" s="92" t="s">
        <v>119</v>
      </c>
      <c r="C139" s="16">
        <f>HO!C139+'Gulf Mall'!C139+BTC!C139</f>
        <v>0</v>
      </c>
      <c r="D139" s="28">
        <f t="shared" si="172"/>
        <v>0</v>
      </c>
      <c r="E139" s="16">
        <f>HO!E139+'Gulf Mall'!E139+BTC!E139</f>
        <v>0</v>
      </c>
      <c r="F139" s="28">
        <f t="shared" si="173"/>
        <v>0</v>
      </c>
      <c r="G139" s="16">
        <f>HO!G139+'Gulf Mall'!G139+BTC!G139</f>
        <v>0</v>
      </c>
      <c r="H139" s="28">
        <f t="shared" si="174"/>
        <v>0</v>
      </c>
      <c r="I139" s="16">
        <f>HO!I139+'Gulf Mall'!I139+BTC!I139</f>
        <v>0</v>
      </c>
      <c r="J139" s="28">
        <f t="shared" si="175"/>
        <v>0</v>
      </c>
      <c r="K139" s="16">
        <f>HO!K139+'Gulf Mall'!K139+BTC!K139</f>
        <v>0</v>
      </c>
      <c r="L139" s="28">
        <f t="shared" si="176"/>
        <v>0</v>
      </c>
      <c r="M139" s="16">
        <f>HO!M139+'Gulf Mall'!M139+BTC!M139</f>
        <v>0</v>
      </c>
      <c r="N139" s="28">
        <f t="shared" si="177"/>
        <v>0</v>
      </c>
      <c r="O139" s="16">
        <f>HO!O139+'Gulf Mall'!O139+BTC!O139</f>
        <v>0</v>
      </c>
      <c r="P139" s="28">
        <f t="shared" si="178"/>
        <v>0</v>
      </c>
      <c r="Q139" s="16">
        <f>HO!Q139+'Gulf Mall'!Q139+BTC!Q139</f>
        <v>0</v>
      </c>
      <c r="R139" s="28">
        <f t="shared" si="179"/>
        <v>0</v>
      </c>
      <c r="S139" s="16">
        <f>HO!S139+'Gulf Mall'!S139+BTC!S139</f>
        <v>0</v>
      </c>
      <c r="T139" s="28">
        <f t="shared" si="180"/>
        <v>0</v>
      </c>
      <c r="U139" s="16">
        <f>HO!U139+'Gulf Mall'!U139+BTC!U139</f>
        <v>0</v>
      </c>
      <c r="V139" s="28">
        <f t="shared" si="181"/>
        <v>0</v>
      </c>
      <c r="W139" s="16">
        <f>HO!W139+'Gulf Mall'!W139+BTC!W139</f>
        <v>0</v>
      </c>
      <c r="X139" s="28">
        <f t="shared" si="182"/>
        <v>0</v>
      </c>
      <c r="Y139" s="16">
        <f>HO!Y139+'Gulf Mall'!Y139+BTC!Y139</f>
        <v>0</v>
      </c>
      <c r="Z139" s="28">
        <f t="shared" si="183"/>
        <v>0</v>
      </c>
      <c r="AA139" s="59">
        <f t="shared" si="184"/>
        <v>0</v>
      </c>
      <c r="AB139" s="60">
        <f t="shared" si="185"/>
        <v>0</v>
      </c>
      <c r="AC139" s="67">
        <f t="shared" si="186"/>
        <v>0</v>
      </c>
      <c r="AD139" s="68">
        <f t="shared" si="187"/>
        <v>0</v>
      </c>
      <c r="AE139" s="44">
        <f t="shared" si="52"/>
        <v>0</v>
      </c>
      <c r="AF139" s="21">
        <f t="shared" si="53"/>
        <v>0</v>
      </c>
      <c r="AH139" s="110"/>
      <c r="AW139" s="44"/>
      <c r="AX139" s="44"/>
    </row>
    <row r="140" spans="1:50">
      <c r="A140" s="2">
        <v>6505</v>
      </c>
      <c r="B140" s="2" t="s">
        <v>120</v>
      </c>
      <c r="C140" s="16">
        <f>HO!C140+'Gulf Mall'!C140+BTC!C140</f>
        <v>0</v>
      </c>
      <c r="D140" s="28">
        <f t="shared" si="172"/>
        <v>0</v>
      </c>
      <c r="E140" s="16">
        <f>HO!E140+'Gulf Mall'!E140+BTC!E140</f>
        <v>0</v>
      </c>
      <c r="F140" s="28">
        <f t="shared" si="173"/>
        <v>0</v>
      </c>
      <c r="G140" s="16">
        <f>HO!G140+'Gulf Mall'!G140+BTC!G140</f>
        <v>0</v>
      </c>
      <c r="H140" s="28">
        <f t="shared" si="174"/>
        <v>0</v>
      </c>
      <c r="I140" s="16">
        <f>HO!I140+'Gulf Mall'!I140+BTC!I140</f>
        <v>0</v>
      </c>
      <c r="J140" s="28">
        <f t="shared" si="175"/>
        <v>0</v>
      </c>
      <c r="K140" s="16">
        <f>HO!K140+'Gulf Mall'!K140+BTC!K140</f>
        <v>0</v>
      </c>
      <c r="L140" s="28">
        <f t="shared" si="176"/>
        <v>0</v>
      </c>
      <c r="M140" s="16">
        <f>HO!M140+'Gulf Mall'!M140+BTC!M140</f>
        <v>0</v>
      </c>
      <c r="N140" s="28">
        <f t="shared" si="177"/>
        <v>0</v>
      </c>
      <c r="O140" s="16">
        <f>HO!O140+'Gulf Mall'!O140+BTC!O140</f>
        <v>0</v>
      </c>
      <c r="P140" s="28">
        <f t="shared" si="178"/>
        <v>0</v>
      </c>
      <c r="Q140" s="16">
        <f>HO!Q140+'Gulf Mall'!Q140+BTC!Q140</f>
        <v>0</v>
      </c>
      <c r="R140" s="28">
        <f t="shared" si="179"/>
        <v>0</v>
      </c>
      <c r="S140" s="16">
        <f>HO!S140+'Gulf Mall'!S140+BTC!S140</f>
        <v>0</v>
      </c>
      <c r="T140" s="28">
        <f t="shared" si="180"/>
        <v>0</v>
      </c>
      <c r="U140" s="16">
        <f>HO!U140+'Gulf Mall'!U140+BTC!U140</f>
        <v>0</v>
      </c>
      <c r="V140" s="28">
        <f t="shared" si="181"/>
        <v>0</v>
      </c>
      <c r="W140" s="16">
        <f>HO!W140+'Gulf Mall'!W140+BTC!W140</f>
        <v>0</v>
      </c>
      <c r="X140" s="28">
        <f t="shared" si="182"/>
        <v>0</v>
      </c>
      <c r="Y140" s="16">
        <f>HO!Y140+'Gulf Mall'!Y140+BTC!Y140</f>
        <v>0</v>
      </c>
      <c r="Z140" s="28">
        <f t="shared" si="183"/>
        <v>0</v>
      </c>
      <c r="AA140" s="59">
        <f t="shared" si="184"/>
        <v>0</v>
      </c>
      <c r="AB140" s="60">
        <f t="shared" si="185"/>
        <v>0</v>
      </c>
      <c r="AC140" s="67">
        <f t="shared" si="186"/>
        <v>0</v>
      </c>
      <c r="AD140" s="68">
        <f t="shared" si="187"/>
        <v>0</v>
      </c>
      <c r="AE140" s="44">
        <f t="shared" si="52"/>
        <v>0</v>
      </c>
      <c r="AF140" s="21">
        <f t="shared" si="53"/>
        <v>0</v>
      </c>
      <c r="AH140" s="110"/>
      <c r="AW140" s="44"/>
      <c r="AX140" s="44"/>
    </row>
    <row r="141" spans="1:50">
      <c r="A141" s="2">
        <v>6506</v>
      </c>
      <c r="B141" s="2" t="s">
        <v>160</v>
      </c>
      <c r="C141" s="16">
        <f>HO!C141+'Gulf Mall'!C141+BTC!C141</f>
        <v>0</v>
      </c>
      <c r="D141" s="28">
        <f t="shared" si="172"/>
        <v>0</v>
      </c>
      <c r="E141" s="16">
        <f>HO!E141+'Gulf Mall'!E141+BTC!E141</f>
        <v>0</v>
      </c>
      <c r="F141" s="28">
        <f t="shared" si="173"/>
        <v>0</v>
      </c>
      <c r="G141" s="16">
        <f>HO!G141+'Gulf Mall'!G141+BTC!G141</f>
        <v>0</v>
      </c>
      <c r="H141" s="28">
        <f t="shared" si="174"/>
        <v>0</v>
      </c>
      <c r="I141" s="16">
        <f>HO!I141+'Gulf Mall'!I141+BTC!I141</f>
        <v>0</v>
      </c>
      <c r="J141" s="28">
        <f t="shared" si="175"/>
        <v>0</v>
      </c>
      <c r="K141" s="16">
        <f>HO!K141+'Gulf Mall'!K141+BTC!K141</f>
        <v>0</v>
      </c>
      <c r="L141" s="28">
        <f t="shared" si="176"/>
        <v>0</v>
      </c>
      <c r="M141" s="16">
        <f>HO!M141+'Gulf Mall'!M141+BTC!M141</f>
        <v>0</v>
      </c>
      <c r="N141" s="28">
        <f t="shared" si="177"/>
        <v>0</v>
      </c>
      <c r="O141" s="16">
        <f>HO!O141+'Gulf Mall'!O141+BTC!O141</f>
        <v>0</v>
      </c>
      <c r="P141" s="28">
        <f t="shared" si="178"/>
        <v>0</v>
      </c>
      <c r="Q141" s="16">
        <f>HO!Q141+'Gulf Mall'!Q141+BTC!Q141</f>
        <v>0</v>
      </c>
      <c r="R141" s="28">
        <f t="shared" si="179"/>
        <v>0</v>
      </c>
      <c r="S141" s="16">
        <f>HO!S141+'Gulf Mall'!S141+BTC!S141</f>
        <v>0</v>
      </c>
      <c r="T141" s="28">
        <f t="shared" si="180"/>
        <v>0</v>
      </c>
      <c r="U141" s="16">
        <f>HO!U141+'Gulf Mall'!U141+BTC!U141</f>
        <v>0</v>
      </c>
      <c r="V141" s="28">
        <f t="shared" si="181"/>
        <v>0</v>
      </c>
      <c r="W141" s="16">
        <f>HO!W141+'Gulf Mall'!W141+BTC!W141</f>
        <v>0</v>
      </c>
      <c r="X141" s="28">
        <f t="shared" si="182"/>
        <v>0</v>
      </c>
      <c r="Y141" s="16">
        <f>HO!Y141+'Gulf Mall'!Y141+BTC!Y141</f>
        <v>0</v>
      </c>
      <c r="Z141" s="28">
        <f t="shared" si="183"/>
        <v>0</v>
      </c>
      <c r="AA141" s="59">
        <f t="shared" si="184"/>
        <v>0</v>
      </c>
      <c r="AB141" s="60">
        <f t="shared" si="185"/>
        <v>0</v>
      </c>
      <c r="AC141" s="67">
        <f t="shared" si="186"/>
        <v>0</v>
      </c>
      <c r="AD141" s="68">
        <f t="shared" si="187"/>
        <v>0</v>
      </c>
      <c r="AE141" s="44">
        <f t="shared" si="52"/>
        <v>0</v>
      </c>
      <c r="AF141" s="21">
        <f t="shared" si="53"/>
        <v>0</v>
      </c>
      <c r="AW141" s="44"/>
      <c r="AX141" s="44"/>
    </row>
    <row r="142" spans="1:50">
      <c r="A142" s="2">
        <v>6607</v>
      </c>
      <c r="B142" s="2" t="s">
        <v>180</v>
      </c>
      <c r="C142" s="16">
        <f>HO!C142+'Gulf Mall'!C142+BTC!C142</f>
        <v>-893213</v>
      </c>
      <c r="D142" s="28">
        <f t="shared" si="172"/>
        <v>-1.2643177588243706</v>
      </c>
      <c r="E142" s="16">
        <f>HO!E142+'Gulf Mall'!E142+BTC!E142</f>
        <v>-893213</v>
      </c>
      <c r="F142" s="28">
        <f t="shared" si="173"/>
        <v>-1.1575421973145463</v>
      </c>
      <c r="G142" s="16">
        <f>HO!G142+'Gulf Mall'!G142+BTC!G142</f>
        <v>-893213</v>
      </c>
      <c r="H142" s="28">
        <f t="shared" si="174"/>
        <v>-1.164562742598144</v>
      </c>
      <c r="I142" s="16">
        <f>HO!I142+'Gulf Mall'!I142+BTC!I142</f>
        <v>-893213</v>
      </c>
      <c r="J142" s="28">
        <f t="shared" si="175"/>
        <v>-1.14637523566211</v>
      </c>
      <c r="K142" s="16">
        <f>HO!K142+'Gulf Mall'!K142+BTC!K142</f>
        <v>-893213</v>
      </c>
      <c r="L142" s="28">
        <f t="shared" si="176"/>
        <v>-1.0747484176902626</v>
      </c>
      <c r="M142" s="16">
        <f>HO!M142+'Gulf Mall'!M142+BTC!M142</f>
        <v>-893213</v>
      </c>
      <c r="N142" s="28">
        <f t="shared" si="177"/>
        <v>-1.2395305290030354</v>
      </c>
      <c r="O142" s="16">
        <f>HO!O142+'Gulf Mall'!O142+BTC!O142</f>
        <v>-893213</v>
      </c>
      <c r="P142" s="28">
        <f t="shared" si="178"/>
        <v>-1.181977766827794</v>
      </c>
      <c r="Q142" s="16">
        <f>HO!Q142+'Gulf Mall'!Q142+BTC!Q142</f>
        <v>-893213</v>
      </c>
      <c r="R142" s="28">
        <f t="shared" si="179"/>
        <v>-1.1328844692334568</v>
      </c>
      <c r="S142" s="16">
        <f>HO!S142+'Gulf Mall'!S142+BTC!S142</f>
        <v>-893213</v>
      </c>
      <c r="T142" s="28">
        <f t="shared" si="180"/>
        <v>-1.1659335307710257</v>
      </c>
      <c r="U142" s="16">
        <f>HO!U142+'Gulf Mall'!U142+BTC!U142</f>
        <v>-893213</v>
      </c>
      <c r="V142" s="28">
        <f t="shared" si="181"/>
        <v>-1.1686069698760846</v>
      </c>
      <c r="W142" s="16">
        <f>HO!W142+'Gulf Mall'!W142+BTC!W142</f>
        <v>-893213</v>
      </c>
      <c r="X142" s="28">
        <f t="shared" si="182"/>
        <v>-1.1397692700557722</v>
      </c>
      <c r="Y142" s="16">
        <f>HO!Y142+'Gulf Mall'!Y142+BTC!Y142</f>
        <v>-893213</v>
      </c>
      <c r="Z142" s="28">
        <f t="shared" si="183"/>
        <v>-1.1405147817126893</v>
      </c>
      <c r="AA142" s="59">
        <f t="shared" si="184"/>
        <v>-10718556</v>
      </c>
      <c r="AB142" s="60">
        <f t="shared" si="185"/>
        <v>-1.1628622997907041</v>
      </c>
      <c r="AC142" s="67">
        <f t="shared" si="186"/>
        <v>-893213</v>
      </c>
      <c r="AD142" s="68">
        <f t="shared" si="187"/>
        <v>-1.1628622997907041</v>
      </c>
      <c r="AE142" s="44">
        <f t="shared" si="52"/>
        <v>-10718556</v>
      </c>
      <c r="AF142" s="21">
        <f t="shared" si="53"/>
        <v>0</v>
      </c>
      <c r="AI142" s="1" t="s">
        <v>150</v>
      </c>
      <c r="AW142" s="44"/>
      <c r="AX142" s="44"/>
    </row>
    <row r="143" spans="1:50">
      <c r="A143" s="2"/>
      <c r="B143" s="2"/>
      <c r="C143" s="16">
        <f>HO!C143+'Gulf Mall'!C143+BTC!C143</f>
        <v>0</v>
      </c>
      <c r="D143" s="28">
        <f t="shared" si="172"/>
        <v>0</v>
      </c>
      <c r="E143" s="16">
        <f>HO!E143+'Gulf Mall'!E143+BTC!E143</f>
        <v>0</v>
      </c>
      <c r="F143" s="28">
        <f t="shared" si="173"/>
        <v>0</v>
      </c>
      <c r="G143" s="16">
        <f>HO!G143+'Gulf Mall'!G143+BTC!G143</f>
        <v>0</v>
      </c>
      <c r="H143" s="28">
        <f t="shared" si="174"/>
        <v>0</v>
      </c>
      <c r="I143" s="16">
        <f>HO!I143+'Gulf Mall'!I143+BTC!I143</f>
        <v>0</v>
      </c>
      <c r="J143" s="28">
        <f t="shared" si="175"/>
        <v>0</v>
      </c>
      <c r="K143" s="16">
        <f>HO!K143+'Gulf Mall'!K143+BTC!K143</f>
        <v>0</v>
      </c>
      <c r="L143" s="28">
        <f t="shared" si="176"/>
        <v>0</v>
      </c>
      <c r="M143" s="16">
        <f>HO!M143+'Gulf Mall'!M143+BTC!M143</f>
        <v>0</v>
      </c>
      <c r="N143" s="28">
        <f t="shared" si="177"/>
        <v>0</v>
      </c>
      <c r="O143" s="16">
        <f>HO!O143+'Gulf Mall'!O143+BTC!O143</f>
        <v>0</v>
      </c>
      <c r="P143" s="28">
        <f t="shared" si="178"/>
        <v>0</v>
      </c>
      <c r="Q143" s="16">
        <f>HO!Q143+'Gulf Mall'!Q143+BTC!Q143</f>
        <v>0</v>
      </c>
      <c r="R143" s="28">
        <f t="shared" si="179"/>
        <v>0</v>
      </c>
      <c r="S143" s="16">
        <f>HO!S143+'Gulf Mall'!S143+BTC!S143</f>
        <v>0</v>
      </c>
      <c r="T143" s="28">
        <f t="shared" si="180"/>
        <v>0</v>
      </c>
      <c r="U143" s="16">
        <f>HO!U143+'Gulf Mall'!U143+BTC!U143</f>
        <v>0</v>
      </c>
      <c r="V143" s="28">
        <f t="shared" si="181"/>
        <v>0</v>
      </c>
      <c r="W143" s="16">
        <f>HO!W143+'Gulf Mall'!W143+BTC!W143</f>
        <v>0</v>
      </c>
      <c r="X143" s="28">
        <f t="shared" si="182"/>
        <v>0</v>
      </c>
      <c r="Y143" s="16">
        <f>HO!Y143+'Gulf Mall'!Y143+BTC!Y143</f>
        <v>0</v>
      </c>
      <c r="Z143" s="28">
        <f t="shared" si="183"/>
        <v>0</v>
      </c>
      <c r="AA143" s="59">
        <f t="shared" si="184"/>
        <v>0</v>
      </c>
      <c r="AB143" s="60">
        <f t="shared" si="185"/>
        <v>0</v>
      </c>
      <c r="AC143" s="67">
        <f t="shared" si="186"/>
        <v>0</v>
      </c>
      <c r="AD143" s="68">
        <f t="shared" si="187"/>
        <v>0</v>
      </c>
      <c r="AE143" s="44">
        <f t="shared" si="52"/>
        <v>0</v>
      </c>
      <c r="AF143" s="21">
        <f t="shared" si="53"/>
        <v>0</v>
      </c>
      <c r="AW143" s="44"/>
      <c r="AX143" s="44"/>
    </row>
    <row r="144" spans="1:50">
      <c r="A144" s="40">
        <v>6798</v>
      </c>
      <c r="B144" s="26" t="s">
        <v>147</v>
      </c>
      <c r="C144" s="32">
        <f>HO!C144+'Gulf Mall'!C144+BTC!C144</f>
        <v>-782963.91999999993</v>
      </c>
      <c r="D144" s="106"/>
      <c r="E144" s="32">
        <f>HO!E144+'Gulf Mall'!E144+BTC!E144</f>
        <v>-782963.92999999993</v>
      </c>
      <c r="F144" s="106"/>
      <c r="G144" s="32">
        <f>HO!G144+'Gulf Mall'!G144+BTC!G144</f>
        <v>-782963.90999999992</v>
      </c>
      <c r="H144" s="53">
        <f t="shared" ref="H144:H145" si="188">G144/G$145</f>
        <v>-1.0208210117687118</v>
      </c>
      <c r="I144" s="32">
        <f>HO!I144+'Gulf Mall'!I144+BTC!I144</f>
        <v>-782963.92999999993</v>
      </c>
      <c r="J144" s="106"/>
      <c r="K144" s="32">
        <f>HO!K144+'Gulf Mall'!K144+BTC!K144</f>
        <v>-782963.92999999993</v>
      </c>
      <c r="L144" s="53">
        <f t="shared" ref="L144:L145" si="189">K144/K$145</f>
        <v>-0.9420924738847839</v>
      </c>
      <c r="M144" s="32">
        <f>HO!M144+'Gulf Mall'!M144+BTC!M144</f>
        <v>-782963.96</v>
      </c>
      <c r="N144" s="53">
        <f t="shared" si="135"/>
        <v>-1.0865356096800107</v>
      </c>
      <c r="O144" s="32">
        <f>HO!O144+'Gulf Mall'!O144+BTC!O144</f>
        <v>-782963.96</v>
      </c>
      <c r="P144" s="53">
        <f t="shared" ref="P144:P145" si="190">O144/O$145</f>
        <v>-1.0360865694380246</v>
      </c>
      <c r="Q144" s="32">
        <f>HO!Q144+'Gulf Mall'!Q144+BTC!Q144</f>
        <v>-782963.96</v>
      </c>
      <c r="R144" s="53">
        <f t="shared" ref="R144:R145" si="191">Q144/Q$145</f>
        <v>-0.99305284434230745</v>
      </c>
      <c r="S144" s="32">
        <f>HO!S144+'Gulf Mall'!S144+BTC!S144</f>
        <v>-782963.91999999993</v>
      </c>
      <c r="T144" s="53"/>
      <c r="U144" s="32">
        <f>HO!U144+'Gulf Mall'!U144+BTC!U144</f>
        <v>-782963.92999999993</v>
      </c>
      <c r="V144" s="53">
        <f t="shared" ref="V144:V145" si="192">U144/U$145</f>
        <v>-1.0243660871030433</v>
      </c>
      <c r="W144" s="32">
        <f>HO!W144+'Gulf Mall'!W144+BTC!W144</f>
        <v>-782963.92999999993</v>
      </c>
      <c r="X144" s="53">
        <f t="shared" ref="X144:X145" si="193">W144/W$145</f>
        <v>-0.99908781777257905</v>
      </c>
      <c r="Y144" s="32">
        <f>HO!Y144+'Gulf Mall'!Y144+BTC!Y144</f>
        <v>-782963.92999999993</v>
      </c>
      <c r="Z144" s="53">
        <f t="shared" ref="Z144:Z145" si="194">Y144/Y$145</f>
        <v>-0.99974131110144981</v>
      </c>
      <c r="AA144" s="63">
        <f>SUM(AA136:AA143)</f>
        <v>-9395567.2100000009</v>
      </c>
      <c r="AB144" s="107"/>
      <c r="AC144" s="70">
        <f t="shared" si="51"/>
        <v>-782963.9341666667</v>
      </c>
      <c r="AD144" s="78">
        <f t="shared" ref="T144:AD145" si="195">AC144/AC$145</f>
        <v>-1.0193304857164278</v>
      </c>
      <c r="AE144" s="44">
        <f t="shared" si="52"/>
        <v>-9395567.209999999</v>
      </c>
      <c r="AF144" s="21">
        <f t="shared" si="53"/>
        <v>0</v>
      </c>
      <c r="AW144" s="44"/>
      <c r="AX144" s="44"/>
    </row>
    <row r="145" spans="1:50" ht="15.75" thickBot="1">
      <c r="A145" s="39">
        <v>6799</v>
      </c>
      <c r="B145" s="26" t="s">
        <v>117</v>
      </c>
      <c r="C145" s="31">
        <f>HO!C145+'Gulf Mall'!C145+BTC!C145</f>
        <v>706478.25182061561</v>
      </c>
      <c r="D145" s="51">
        <f t="shared" si="130"/>
        <v>1</v>
      </c>
      <c r="E145" s="31">
        <f>HO!E145+'Gulf Mall'!E145+BTC!E145</f>
        <v>771646.16726044205</v>
      </c>
      <c r="F145" s="51">
        <f t="shared" ref="F145" si="196">E145/E$145</f>
        <v>1</v>
      </c>
      <c r="G145" s="31">
        <f>HO!G145+'Gulf Mall'!G145+BTC!G145</f>
        <v>766994.31239508686</v>
      </c>
      <c r="H145" s="51">
        <f t="shared" si="188"/>
        <v>1</v>
      </c>
      <c r="I145" s="31">
        <f>HO!I145+'Gulf Mall'!I145+BTC!I145</f>
        <v>779162.85367426707</v>
      </c>
      <c r="J145" s="51">
        <f t="shared" ref="J145" si="197">I145/I$145</f>
        <v>1</v>
      </c>
      <c r="K145" s="31">
        <f>HO!K145+'Gulf Mall'!K145+BTC!K145</f>
        <v>831090.31406587258</v>
      </c>
      <c r="L145" s="51">
        <f t="shared" si="189"/>
        <v>1</v>
      </c>
      <c r="M145" s="31">
        <f>HO!M145+'Gulf Mall'!M145+BTC!M145</f>
        <v>720605.88997224497</v>
      </c>
      <c r="N145" s="51">
        <f t="shared" si="135"/>
        <v>1</v>
      </c>
      <c r="O145" s="31">
        <f>HO!O145+'Gulf Mall'!O145+BTC!O145</f>
        <v>755693.57145965251</v>
      </c>
      <c r="P145" s="51">
        <f t="shared" si="190"/>
        <v>1</v>
      </c>
      <c r="Q145" s="31">
        <f>HO!Q145+'Gulf Mall'!Q145+BTC!Q145</f>
        <v>788441.38502876146</v>
      </c>
      <c r="R145" s="51">
        <f t="shared" si="191"/>
        <v>1</v>
      </c>
      <c r="S145" s="31">
        <f>HO!S145+'Gulf Mall'!S145+BTC!S145</f>
        <v>766092.5571025674</v>
      </c>
      <c r="T145" s="51">
        <f t="shared" si="195"/>
        <v>1</v>
      </c>
      <c r="U145" s="31">
        <f>HO!U145+'Gulf Mall'!U145+BTC!U145</f>
        <v>764339.95605444105</v>
      </c>
      <c r="V145" s="51">
        <f t="shared" si="192"/>
        <v>1</v>
      </c>
      <c r="W145" s="31">
        <f>HO!W145+'Gulf Mall'!W145+BTC!W145</f>
        <v>783678.7878622947</v>
      </c>
      <c r="X145" s="51">
        <f t="shared" si="193"/>
        <v>1</v>
      </c>
      <c r="Y145" s="31">
        <f>HO!Y145+'Gulf Mall'!Y145+BTC!Y145</f>
        <v>783166.52648611797</v>
      </c>
      <c r="Z145" s="51">
        <f t="shared" si="194"/>
        <v>1</v>
      </c>
      <c r="AA145" s="71">
        <f>AA41+AA76+AA93+AA115+AA129+AA144+AA133</f>
        <v>9217390.5731823631</v>
      </c>
      <c r="AB145" s="81">
        <f t="shared" si="195"/>
        <v>1</v>
      </c>
      <c r="AC145" s="24">
        <f t="shared" si="51"/>
        <v>768115.88109853026</v>
      </c>
      <c r="AD145" s="79">
        <f t="shared" si="195"/>
        <v>1</v>
      </c>
      <c r="AE145" s="44">
        <f t="shared" si="52"/>
        <v>9217390.5731823649</v>
      </c>
      <c r="AF145" s="21">
        <f t="shared" si="53"/>
        <v>0</v>
      </c>
      <c r="AW145" s="44"/>
      <c r="AX145" s="44"/>
    </row>
    <row r="146" spans="1:50" ht="16.5" thickTop="1" thickBot="1">
      <c r="A146" s="1"/>
      <c r="B146" s="8" t="s">
        <v>123</v>
      </c>
      <c r="C146" s="42">
        <f>HO!C146+'Gulf Mall'!C146+BTC!C146</f>
        <v>416892.57127413386</v>
      </c>
      <c r="D146" s="42">
        <f t="shared" ref="D146:X146" si="198">D14-D145</f>
        <v>-1</v>
      </c>
      <c r="E146" s="42">
        <f>HO!E146+'Gulf Mall'!E146+BTC!E146</f>
        <v>198437.28362485621</v>
      </c>
      <c r="F146" s="42">
        <f t="shared" si="198"/>
        <v>-1</v>
      </c>
      <c r="G146" s="42">
        <f>HO!G146+'Gulf Mall'!G146+BTC!G146</f>
        <v>757229.05615707894</v>
      </c>
      <c r="H146" s="42">
        <f t="shared" si="198"/>
        <v>-1</v>
      </c>
      <c r="I146" s="42">
        <f>HO!I146+'Gulf Mall'!I146+BTC!I146</f>
        <v>636363.91101347317</v>
      </c>
      <c r="J146" s="42">
        <f t="shared" si="198"/>
        <v>-1</v>
      </c>
      <c r="K146" s="42">
        <f>HO!K146+'Gulf Mall'!K146+BTC!K146</f>
        <v>533783.99009496695</v>
      </c>
      <c r="L146" s="42">
        <f t="shared" si="198"/>
        <v>-1</v>
      </c>
      <c r="M146" s="42">
        <f>HO!M146+'Gulf Mall'!M146+BTC!M146</f>
        <v>884729.80059638678</v>
      </c>
      <c r="N146" s="42">
        <f t="shared" si="198"/>
        <v>-1</v>
      </c>
      <c r="O146" s="42">
        <f>HO!O146+'Gulf Mall'!O146+BTC!O146</f>
        <v>354186.80985369411</v>
      </c>
      <c r="P146" s="42">
        <f t="shared" si="198"/>
        <v>-1</v>
      </c>
      <c r="Q146" s="42">
        <f>HO!Q146+'Gulf Mall'!Q146+BTC!Q146</f>
        <v>608098.02648037055</v>
      </c>
      <c r="R146" s="42">
        <f t="shared" si="198"/>
        <v>-1</v>
      </c>
      <c r="S146" s="42">
        <f>HO!S146+'Gulf Mall'!S146+BTC!S146</f>
        <v>618504.41791365773</v>
      </c>
      <c r="T146" s="42">
        <f t="shared" si="198"/>
        <v>-1</v>
      </c>
      <c r="U146" s="42">
        <f>HO!U146+'Gulf Mall'!U146+BTC!U146</f>
        <v>369196.47869506292</v>
      </c>
      <c r="V146" s="42">
        <f t="shared" si="198"/>
        <v>-1</v>
      </c>
      <c r="W146" s="42">
        <f>HO!W146+'Gulf Mall'!W146+BTC!W146</f>
        <v>394524.21694189194</v>
      </c>
      <c r="X146" s="42">
        <f t="shared" si="198"/>
        <v>-1</v>
      </c>
      <c r="Y146" s="42">
        <f>HO!Y146+'Gulf Mall'!Y146+BTC!Y146</f>
        <v>819539.44554948981</v>
      </c>
      <c r="Z146" s="42">
        <f>Z37-Z145</f>
        <v>1.0464434035843801</v>
      </c>
      <c r="AA146" s="42">
        <f>AA37-AA145</f>
        <v>6591486.0081950631</v>
      </c>
      <c r="AB146" s="120">
        <f>AB14-AB145</f>
        <v>-1</v>
      </c>
      <c r="AC146" s="42">
        <f t="shared" si="51"/>
        <v>549290.50068292196</v>
      </c>
      <c r="AD146" s="120">
        <f>AD14-AD145</f>
        <v>-1</v>
      </c>
      <c r="AE146" s="44">
        <f t="shared" si="52"/>
        <v>6591486.0081950631</v>
      </c>
      <c r="AF146" s="21">
        <f t="shared" si="53"/>
        <v>0</v>
      </c>
      <c r="AW146" s="44"/>
      <c r="AX146" s="44"/>
    </row>
    <row r="147" spans="1:50" ht="15.75" thickTop="1">
      <c r="A147" s="1"/>
      <c r="B147" s="1"/>
      <c r="C147" s="21">
        <f>HO!C147+'Gulf Mall'!C147+BTC!C147</f>
        <v>0</v>
      </c>
      <c r="D147" s="50"/>
      <c r="E147" s="21">
        <f>HO!E147+'Gulf Mall'!E147+BTC!E147</f>
        <v>0</v>
      </c>
      <c r="F147" s="50"/>
      <c r="G147" s="21">
        <f>HO!G147+'Gulf Mall'!G147+BTC!G147</f>
        <v>0</v>
      </c>
      <c r="H147" s="50"/>
      <c r="I147" s="21">
        <f>HO!I147+'Gulf Mall'!I147+BTC!I147</f>
        <v>0</v>
      </c>
      <c r="J147" s="50"/>
      <c r="K147" s="21">
        <f>HO!K147+'Gulf Mall'!K147+BTC!K147</f>
        <v>0</v>
      </c>
      <c r="L147" s="50"/>
      <c r="M147" s="21">
        <f>HO!M147+'Gulf Mall'!M147+BTC!M147</f>
        <v>0</v>
      </c>
      <c r="N147" s="50"/>
      <c r="O147" s="21">
        <f>HO!O147+'Gulf Mall'!O147+BTC!O147</f>
        <v>0</v>
      </c>
      <c r="P147" s="50"/>
      <c r="Q147" s="21">
        <f>HO!Q147+'Gulf Mall'!Q147+BTC!Q147</f>
        <v>0</v>
      </c>
      <c r="R147" s="50"/>
      <c r="S147" s="21">
        <f>HO!S147+'Gulf Mall'!S147+BTC!S147</f>
        <v>0</v>
      </c>
      <c r="T147" s="50"/>
      <c r="U147" s="21">
        <f>HO!U147+'Gulf Mall'!U147+BTC!U147</f>
        <v>0</v>
      </c>
      <c r="V147" s="50"/>
      <c r="W147" s="21">
        <f>HO!W147+'Gulf Mall'!W147+BTC!W147</f>
        <v>0</v>
      </c>
      <c r="X147" s="50"/>
      <c r="Y147" s="21">
        <f>HO!Y147+'Gulf Mall'!Y147+BTC!Y147</f>
        <v>0</v>
      </c>
      <c r="Z147" s="50"/>
      <c r="AA147" s="58"/>
      <c r="AB147" s="72"/>
      <c r="AC147" s="66">
        <f t="shared" si="51"/>
        <v>0</v>
      </c>
      <c r="AD147" s="76"/>
      <c r="AE147" s="44">
        <f t="shared" si="52"/>
        <v>0</v>
      </c>
      <c r="AF147" s="21">
        <f t="shared" si="53"/>
        <v>0</v>
      </c>
      <c r="AW147" s="44"/>
      <c r="AX147" s="44"/>
    </row>
    <row r="148" spans="1:50" ht="15.75" thickBot="1">
      <c r="A148" s="90"/>
      <c r="B148" s="8" t="s">
        <v>146</v>
      </c>
      <c r="C148" s="292">
        <f>HO!C148+'Gulf Mall'!C148+BTC!C148</f>
        <v>10000</v>
      </c>
      <c r="D148" s="95">
        <f t="shared" ref="D148" si="199">C148/C$145</f>
        <v>1.415471739466813E-2</v>
      </c>
      <c r="E148" s="292">
        <f>HO!E148+'Gulf Mall'!E148+BTC!E148</f>
        <v>10000</v>
      </c>
      <c r="F148" s="95">
        <f t="shared" ref="F148" si="200">E148/E$145</f>
        <v>1.2959307548306466E-2</v>
      </c>
      <c r="G148" s="292">
        <f>HO!G148+'Gulf Mall'!G148+BTC!G148</f>
        <v>10000</v>
      </c>
      <c r="H148" s="95">
        <f t="shared" ref="H148" si="201">G148/G$145</f>
        <v>1.3037906329152665E-2</v>
      </c>
      <c r="I148" s="292">
        <f>HO!I148+'Gulf Mall'!I148+BTC!I148</f>
        <v>10000</v>
      </c>
      <c r="J148" s="95">
        <f t="shared" ref="J148" si="202">I148/I$145</f>
        <v>1.2834287405827165E-2</v>
      </c>
      <c r="K148" s="292">
        <f>HO!K148+'Gulf Mall'!K148+BTC!K148</f>
        <v>10000</v>
      </c>
      <c r="L148" s="95">
        <f t="shared" ref="L148" si="203">K148/K$145</f>
        <v>1.2032386650107675E-2</v>
      </c>
      <c r="M148" s="292">
        <f>HO!M148+'Gulf Mall'!M148+BTC!M148</f>
        <v>10000</v>
      </c>
      <c r="N148" s="95">
        <f t="shared" ref="N148" si="204">M148/M$145</f>
        <v>1.3877211023608428E-2</v>
      </c>
      <c r="O148" s="292">
        <f>HO!O148+'Gulf Mall'!O148+BTC!O148</f>
        <v>10000</v>
      </c>
      <c r="P148" s="95">
        <f t="shared" ref="P148" si="205">O148/O$145</f>
        <v>1.3232876893056796E-2</v>
      </c>
      <c r="Q148" s="292">
        <f>HO!Q148+'Gulf Mall'!Q148+BTC!Q148</f>
        <v>10000</v>
      </c>
      <c r="R148" s="95">
        <f t="shared" ref="R148" si="206">Q148/Q$145</f>
        <v>1.2683251018888628E-2</v>
      </c>
      <c r="S148" s="292">
        <f>HO!S148+'Gulf Mall'!S148+BTC!S148</f>
        <v>10000</v>
      </c>
      <c r="T148" s="95">
        <f t="shared" ref="T148" si="207">S148/S$145</f>
        <v>1.3053253040103824E-2</v>
      </c>
      <c r="U148" s="292">
        <f>HO!U148+'Gulf Mall'!U148+BTC!U148</f>
        <v>10000</v>
      </c>
      <c r="V148" s="95">
        <f t="shared" ref="V148" si="208">U148/U$145</f>
        <v>1.3083183628944995E-2</v>
      </c>
      <c r="W148" s="292">
        <f>HO!W148+'Gulf Mall'!W148+BTC!W148</f>
        <v>10000</v>
      </c>
      <c r="X148" s="95">
        <f t="shared" ref="X148" si="209">W148/W$145</f>
        <v>1.2760330067472956E-2</v>
      </c>
      <c r="Y148" s="292">
        <f>HO!Y148+'Gulf Mall'!Y148+BTC!Y148</f>
        <v>10000</v>
      </c>
      <c r="Z148" s="95">
        <f t="shared" ref="Z148" si="210">Y148/Y$145</f>
        <v>1.2768676471487645E-2</v>
      </c>
      <c r="AA148" s="101">
        <f t="shared" ref="AA148" si="211">C148+E148+G148+I148+K148+M148+O148+Q148+S148+U148+W148+Y148</f>
        <v>120000</v>
      </c>
      <c r="AB148" s="95">
        <f t="shared" ref="AB148" si="212">AA148/AA$145</f>
        <v>1.3018868957244288E-2</v>
      </c>
      <c r="AC148" s="117">
        <f t="shared" si="51"/>
        <v>10000</v>
      </c>
      <c r="AD148" s="95">
        <f t="shared" ref="AD148" si="213">AC148/AC$145</f>
        <v>1.3018868957244288E-2</v>
      </c>
      <c r="AE148" s="44">
        <f t="shared" si="52"/>
        <v>120000</v>
      </c>
      <c r="AF148" s="21">
        <f t="shared" si="53"/>
        <v>0</v>
      </c>
      <c r="AW148" s="44"/>
      <c r="AX148" s="44"/>
    </row>
    <row r="149" spans="1:50" ht="15.75" thickTop="1">
      <c r="A149" s="1"/>
      <c r="B149" s="46"/>
      <c r="C149" s="21">
        <f>HO!C149+'Gulf Mall'!C149+BTC!C149</f>
        <v>0</v>
      </c>
      <c r="D149" s="50"/>
      <c r="E149" s="21">
        <f>HO!E149+'Gulf Mall'!E149+BTC!E149</f>
        <v>0</v>
      </c>
      <c r="F149" s="50"/>
      <c r="G149" s="21">
        <f>HO!G149+'Gulf Mall'!G149+BTC!G149</f>
        <v>0</v>
      </c>
      <c r="H149" s="50"/>
      <c r="I149" s="21">
        <f>HO!I149+'Gulf Mall'!I149+BTC!I149</f>
        <v>0</v>
      </c>
      <c r="J149" s="50"/>
      <c r="K149" s="21">
        <f>HO!K149+'Gulf Mall'!K149+BTC!K149</f>
        <v>0</v>
      </c>
      <c r="L149" s="50"/>
      <c r="M149" s="21">
        <f>HO!M149+'Gulf Mall'!M149+BTC!M149</f>
        <v>0</v>
      </c>
      <c r="N149" s="50"/>
      <c r="O149" s="21">
        <f>HO!O149+'Gulf Mall'!O149+BTC!O149</f>
        <v>0</v>
      </c>
      <c r="P149" s="50"/>
      <c r="Q149" s="21">
        <f>HO!Q149+'Gulf Mall'!Q149+BTC!Q149</f>
        <v>0</v>
      </c>
      <c r="R149" s="50"/>
      <c r="S149" s="21">
        <f>HO!S149+'Gulf Mall'!S149+BTC!S149</f>
        <v>0</v>
      </c>
      <c r="T149" s="50"/>
      <c r="U149" s="21">
        <f>HO!U149+'Gulf Mall'!U149+BTC!U149</f>
        <v>0</v>
      </c>
      <c r="V149" s="50"/>
      <c r="W149" s="21">
        <f>HO!W149+'Gulf Mall'!W149+BTC!W149</f>
        <v>0</v>
      </c>
      <c r="X149" s="50"/>
      <c r="Y149" s="21">
        <f>HO!Y149+'Gulf Mall'!Y149+BTC!Y149</f>
        <v>0</v>
      </c>
      <c r="Z149" s="50"/>
      <c r="AA149" s="58"/>
      <c r="AB149" s="72"/>
      <c r="AC149" s="66">
        <f t="shared" ref="AC149:AC152" si="214">AA149/12</f>
        <v>0</v>
      </c>
      <c r="AD149" s="76"/>
      <c r="AE149" s="44">
        <f t="shared" si="52"/>
        <v>0</v>
      </c>
      <c r="AF149" s="21">
        <f t="shared" si="53"/>
        <v>0</v>
      </c>
      <c r="AW149" s="44"/>
      <c r="AX149" s="44"/>
    </row>
    <row r="150" spans="1:50" ht="15.75" thickBot="1">
      <c r="A150" s="130"/>
      <c r="B150" s="129" t="s">
        <v>161</v>
      </c>
      <c r="C150" s="18">
        <f>HO!C150+'Gulf Mall'!C150+BTC!C150</f>
        <v>0</v>
      </c>
      <c r="D150" s="131">
        <f t="shared" ref="D150" si="215">C150/C$145</f>
        <v>0</v>
      </c>
      <c r="E150" s="18">
        <f>HO!E150+'Gulf Mall'!E150+BTC!E150</f>
        <v>0</v>
      </c>
      <c r="F150" s="131">
        <f t="shared" ref="F150" si="216">E150/E$145</f>
        <v>0</v>
      </c>
      <c r="G150" s="18">
        <f>HO!G150+'Gulf Mall'!G150+BTC!G150</f>
        <v>0</v>
      </c>
      <c r="H150" s="131">
        <f t="shared" ref="H150" si="217">G150/G$145</f>
        <v>0</v>
      </c>
      <c r="I150" s="18">
        <f>HO!I150+'Gulf Mall'!I150+BTC!I150</f>
        <v>0</v>
      </c>
      <c r="J150" s="131">
        <f t="shared" ref="J150" si="218">I150/I$145</f>
        <v>0</v>
      </c>
      <c r="K150" s="18">
        <f>HO!K150+'Gulf Mall'!K150+BTC!K150</f>
        <v>0</v>
      </c>
      <c r="L150" s="131">
        <f t="shared" ref="L150" si="219">K150/K$145</f>
        <v>0</v>
      </c>
      <c r="M150" s="18">
        <f>HO!M150+'Gulf Mall'!M150+BTC!M150</f>
        <v>0</v>
      </c>
      <c r="N150" s="131">
        <f t="shared" ref="N150" si="220">M150/M$145</f>
        <v>0</v>
      </c>
      <c r="O150" s="18">
        <f>HO!O150+'Gulf Mall'!O150+BTC!O150</f>
        <v>0</v>
      </c>
      <c r="P150" s="131">
        <f t="shared" ref="P150" si="221">O150/O$145</f>
        <v>0</v>
      </c>
      <c r="Q150" s="18">
        <f>HO!Q150+'Gulf Mall'!Q150+BTC!Q150</f>
        <v>0</v>
      </c>
      <c r="R150" s="131">
        <f t="shared" ref="R150" si="222">Q150/Q$145</f>
        <v>0</v>
      </c>
      <c r="S150" s="18">
        <f>HO!S150+'Gulf Mall'!S150+BTC!S150</f>
        <v>0</v>
      </c>
      <c r="T150" s="131">
        <f t="shared" ref="T150" si="223">S150/S$145</f>
        <v>0</v>
      </c>
      <c r="U150" s="18">
        <f>HO!U150+'Gulf Mall'!U150+BTC!U150</f>
        <v>0</v>
      </c>
      <c r="V150" s="131">
        <f t="shared" ref="V150" si="224">U150/U$145</f>
        <v>0</v>
      </c>
      <c r="W150" s="18">
        <f>HO!W150+'Gulf Mall'!W150+BTC!W150</f>
        <v>0</v>
      </c>
      <c r="X150" s="131">
        <f t="shared" ref="X150" si="225">W150/W$145</f>
        <v>0</v>
      </c>
      <c r="Y150" s="18">
        <f>HO!Y150+'Gulf Mall'!Y150+BTC!Y150</f>
        <v>0</v>
      </c>
      <c r="Z150" s="131">
        <f t="shared" ref="Z150" si="226">Y150/Y$145</f>
        <v>0</v>
      </c>
      <c r="AA150" s="101">
        <f t="shared" ref="AA150" si="227">C150+E150+G150+I150+K150+M150+O150+Q150+S150+U150+W150+Y150</f>
        <v>0</v>
      </c>
      <c r="AB150" s="131">
        <f t="shared" ref="AB150" si="228">AA150/AA$145</f>
        <v>0</v>
      </c>
      <c r="AC150" s="117">
        <f t="shared" si="214"/>
        <v>0</v>
      </c>
      <c r="AD150" s="131">
        <f t="shared" ref="AD150" si="229">AC150/AC$145</f>
        <v>0</v>
      </c>
      <c r="AE150" s="44">
        <f t="shared" ref="AE150:AE152" si="230">C150+E150+G150+I150+K150+M150+O150+Q150+S150+U150+W150+Y150</f>
        <v>0</v>
      </c>
      <c r="AF150" s="21">
        <f t="shared" ref="AF150:AF152" si="231">AA150-AE150</f>
        <v>0</v>
      </c>
      <c r="AW150" s="44"/>
      <c r="AX150" s="44"/>
    </row>
    <row r="151" spans="1:50" ht="15.75" thickTop="1">
      <c r="A151" s="1"/>
      <c r="B151" s="46"/>
      <c r="C151" s="21">
        <f>HO!C151+'Gulf Mall'!C151+BTC!C151</f>
        <v>0</v>
      </c>
      <c r="D151" s="50"/>
      <c r="E151" s="21">
        <f>HO!E151+'Gulf Mall'!E151+BTC!E151</f>
        <v>0</v>
      </c>
      <c r="F151" s="50"/>
      <c r="G151" s="21">
        <f>HO!G151+'Gulf Mall'!G151+BTC!G151</f>
        <v>0</v>
      </c>
      <c r="H151" s="50"/>
      <c r="I151" s="21">
        <f>HO!I151+'Gulf Mall'!I151+BTC!I151</f>
        <v>0</v>
      </c>
      <c r="J151" s="50"/>
      <c r="K151" s="21">
        <f>HO!K151+'Gulf Mall'!K151+BTC!K151</f>
        <v>0</v>
      </c>
      <c r="L151" s="50"/>
      <c r="M151" s="21">
        <f>HO!M151+'Gulf Mall'!M151+BTC!M151</f>
        <v>0</v>
      </c>
      <c r="N151" s="50"/>
      <c r="O151" s="21">
        <f>HO!O151+'Gulf Mall'!O151+BTC!O151</f>
        <v>0</v>
      </c>
      <c r="P151" s="50"/>
      <c r="Q151" s="21">
        <f>HO!Q151+'Gulf Mall'!Q151+BTC!Q151</f>
        <v>0</v>
      </c>
      <c r="R151" s="50"/>
      <c r="S151" s="21">
        <f>HO!S151+'Gulf Mall'!S151+BTC!S151</f>
        <v>0</v>
      </c>
      <c r="T151" s="50"/>
      <c r="U151" s="21">
        <f>HO!U151+'Gulf Mall'!U151+BTC!U151</f>
        <v>0</v>
      </c>
      <c r="V151" s="50"/>
      <c r="W151" s="21">
        <f>HO!W151+'Gulf Mall'!W151+BTC!W151</f>
        <v>0</v>
      </c>
      <c r="X151" s="50"/>
      <c r="Y151" s="21">
        <f>HO!Y151+'Gulf Mall'!Y151+BTC!Y151</f>
        <v>0</v>
      </c>
      <c r="Z151" s="50"/>
      <c r="AA151" s="58"/>
      <c r="AB151" s="72"/>
      <c r="AC151" s="66">
        <f t="shared" si="214"/>
        <v>0</v>
      </c>
      <c r="AD151" s="76"/>
      <c r="AE151" s="44">
        <f t="shared" si="230"/>
        <v>0</v>
      </c>
      <c r="AF151" s="21">
        <f t="shared" si="231"/>
        <v>0</v>
      </c>
      <c r="AW151" s="44"/>
      <c r="AX151" s="44"/>
    </row>
    <row r="152" spans="1:50" ht="15.75" thickBot="1">
      <c r="A152" s="90"/>
      <c r="B152" s="93" t="s">
        <v>148</v>
      </c>
      <c r="C152" s="94">
        <f>HO!C152+'Gulf Mall'!C152+BTC!C152</f>
        <v>406892.57127413386</v>
      </c>
      <c r="D152" s="95">
        <f>C152/C145</f>
        <v>0.57594493563752247</v>
      </c>
      <c r="E152" s="94">
        <f>HO!E152+'Gulf Mall'!E152+BTC!E152</f>
        <v>188437.28362485621</v>
      </c>
      <c r="F152" s="95">
        <f t="shared" ref="F152" si="232">E152/E145</f>
        <v>0.24420167120619654</v>
      </c>
      <c r="G152" s="94">
        <f>HO!G152+'Gulf Mall'!G152+BTC!G152</f>
        <v>747229.05615707894</v>
      </c>
      <c r="H152" s="95">
        <f t="shared" ref="H152" si="233">G152/G145</f>
        <v>0.97423024405971526</v>
      </c>
      <c r="I152" s="94">
        <f>HO!I152+'Gulf Mall'!I152+BTC!I152</f>
        <v>626363.91101347317</v>
      </c>
      <c r="J152" s="95">
        <f t="shared" ref="J152" si="234">I152/I145</f>
        <v>0.80389344545848662</v>
      </c>
      <c r="K152" s="94">
        <f>HO!K152+'Gulf Mall'!K152+BTC!K152</f>
        <v>523783.99009496695</v>
      </c>
      <c r="L152" s="95">
        <f t="shared" ref="L152" si="235">K152/K145</f>
        <v>0.63023714899588112</v>
      </c>
      <c r="M152" s="94">
        <f>HO!M152+'Gulf Mall'!M152+BTC!M152</f>
        <v>874729.80059638678</v>
      </c>
      <c r="N152" s="95">
        <f t="shared" ref="N152" si="236">M152/M145</f>
        <v>1.2138810031514982</v>
      </c>
      <c r="O152" s="94">
        <f>HO!O152+'Gulf Mall'!O152+BTC!O152</f>
        <v>344186.80985369411</v>
      </c>
      <c r="P152" s="95">
        <f t="shared" ref="P152" si="237">O152/O145</f>
        <v>0.45545816830078817</v>
      </c>
      <c r="Q152" s="94">
        <f>HO!Q152+'Gulf Mall'!Q152+BTC!Q152</f>
        <v>598098.02648037055</v>
      </c>
      <c r="R152" s="95">
        <f t="shared" ref="R152" si="238">Q152/Q145</f>
        <v>0.75858274037524376</v>
      </c>
      <c r="S152" s="94">
        <f>HO!S152+'Gulf Mall'!S152+BTC!S152</f>
        <v>608504.41791365773</v>
      </c>
      <c r="T152" s="95">
        <f t="shared" ref="T152" si="239">S152/S145</f>
        <v>0.79429621430480601</v>
      </c>
      <c r="U152" s="94">
        <f>HO!U152+'Gulf Mall'!U152+BTC!U152</f>
        <v>359196.47869506292</v>
      </c>
      <c r="V152" s="95">
        <f t="shared" ref="V152" si="240">U152/U145</f>
        <v>0.46994334896379369</v>
      </c>
      <c r="W152" s="94">
        <f>HO!W152+'Gulf Mall'!W152+BTC!W152</f>
        <v>384524.21694189194</v>
      </c>
      <c r="X152" s="95">
        <f t="shared" ref="X152" si="241">W152/W145</f>
        <v>0.49066559271151178</v>
      </c>
      <c r="Y152" s="94">
        <f>HO!Y152+'Gulf Mall'!Y152+BTC!Y152</f>
        <v>809539.44554948981</v>
      </c>
      <c r="Z152" s="95">
        <f t="shared" ref="Z152:AD152" si="242">Y152/Y145</f>
        <v>1.0336747271128923</v>
      </c>
      <c r="AA152" s="101">
        <f t="shared" ref="AA152" si="243">C152+E152+G152+I152+K152+M152+O152+Q152+S152+U152+W152+Y152</f>
        <v>6471486.0081950631</v>
      </c>
      <c r="AB152" s="95">
        <f t="shared" si="242"/>
        <v>0.70209523582776212</v>
      </c>
      <c r="AC152" s="117">
        <f t="shared" si="214"/>
        <v>539290.50068292196</v>
      </c>
      <c r="AD152" s="95">
        <f t="shared" si="242"/>
        <v>0.70209523582776223</v>
      </c>
      <c r="AE152" s="44">
        <f t="shared" si="230"/>
        <v>6471486.0081950631</v>
      </c>
      <c r="AF152" s="21">
        <f t="shared" si="231"/>
        <v>0</v>
      </c>
      <c r="AW152" s="44"/>
      <c r="AX152" s="44"/>
    </row>
    <row r="153" spans="1:50" ht="15.75" thickTop="1">
      <c r="A153" s="15"/>
      <c r="B153" s="15"/>
      <c r="C153" s="20">
        <f>C152</f>
        <v>406892.57127413386</v>
      </c>
      <c r="D153" s="91"/>
      <c r="E153" s="20">
        <f>C153+E152</f>
        <v>595329.85489899013</v>
      </c>
      <c r="F153" s="91"/>
      <c r="G153" s="20">
        <f>G152+E153</f>
        <v>1342558.9110560692</v>
      </c>
      <c r="H153" s="91"/>
      <c r="I153" s="20">
        <f>I152+G153</f>
        <v>1968922.8220695425</v>
      </c>
      <c r="J153" s="91"/>
      <c r="K153" s="20">
        <f>K152+I153</f>
        <v>2492706.8121645097</v>
      </c>
      <c r="L153" s="91"/>
      <c r="M153" s="20">
        <f>M152+K153</f>
        <v>3367436.6127608963</v>
      </c>
      <c r="N153" s="91"/>
      <c r="O153" s="20">
        <f>O152+M153</f>
        <v>3711623.4226145903</v>
      </c>
      <c r="P153" s="91"/>
      <c r="Q153" s="20">
        <f>Q152+O153</f>
        <v>4309721.4490949605</v>
      </c>
      <c r="R153" s="91"/>
      <c r="S153" s="20">
        <f>S152+Q153</f>
        <v>4918225.8670086181</v>
      </c>
      <c r="T153" s="91"/>
      <c r="U153" s="20">
        <f>U152+S153</f>
        <v>5277422.345703681</v>
      </c>
      <c r="V153" s="91"/>
      <c r="W153" s="20">
        <f>W152+U153</f>
        <v>5661946.5626455732</v>
      </c>
      <c r="X153" s="91"/>
      <c r="Y153" s="20">
        <f>Y152+W153</f>
        <v>6471486.0081950631</v>
      </c>
      <c r="Z153" s="91"/>
      <c r="AA153" s="85"/>
      <c r="AB153" s="91"/>
      <c r="AC153" s="85"/>
      <c r="AD153" s="91"/>
      <c r="AE153" s="1"/>
      <c r="AF153" s="21"/>
    </row>
    <row r="154" spans="1:50">
      <c r="A154" s="15"/>
      <c r="B154" s="15"/>
      <c r="D154" s="91"/>
      <c r="F154" s="91"/>
      <c r="H154" s="91"/>
      <c r="J154" s="91"/>
      <c r="L154" s="91"/>
      <c r="N154" s="91"/>
      <c r="P154" s="91"/>
      <c r="R154" s="91"/>
      <c r="T154" s="91"/>
      <c r="V154" s="91"/>
      <c r="X154" s="91"/>
      <c r="Z154" s="91"/>
      <c r="AA154" s="85">
        <f>HO!AA152+'Gulf Mall'!AA152</f>
        <v>6469891.0315567069</v>
      </c>
      <c r="AB154" s="91"/>
      <c r="AC154" s="85"/>
      <c r="AD154" s="91"/>
      <c r="AE154" s="1"/>
      <c r="AF154" s="21"/>
    </row>
    <row r="155" spans="1:50">
      <c r="A155" s="15"/>
      <c r="B155" s="15"/>
      <c r="D155" s="91"/>
      <c r="F155" s="91"/>
      <c r="H155" s="91"/>
      <c r="J155" s="91"/>
      <c r="L155" s="91"/>
      <c r="N155" s="91"/>
      <c r="P155" s="91"/>
      <c r="R155" s="91"/>
      <c r="T155" s="91"/>
      <c r="V155" s="91"/>
      <c r="X155" s="91"/>
      <c r="Z155" s="91"/>
      <c r="AA155" s="267"/>
      <c r="AB155" s="91"/>
      <c r="AC155" s="85"/>
      <c r="AD155" s="91"/>
      <c r="AE155" s="1"/>
      <c r="AF155" s="21"/>
    </row>
    <row r="156" spans="1:50">
      <c r="AA156" s="264"/>
    </row>
    <row r="157" spans="1:50" hidden="1">
      <c r="Y157" s="340" t="s">
        <v>212</v>
      </c>
      <c r="Z157" s="340"/>
      <c r="AA157" s="340"/>
      <c r="AB157" s="340"/>
      <c r="AC157" s="340"/>
    </row>
    <row r="158" spans="1:50" hidden="1">
      <c r="AA158" s="1" t="s">
        <v>133</v>
      </c>
      <c r="AC158" s="84" t="s">
        <v>213</v>
      </c>
    </row>
    <row r="159" spans="1:50" hidden="1">
      <c r="Y159" s="20" t="s">
        <v>214</v>
      </c>
      <c r="AA159" s="21">
        <v>900000</v>
      </c>
      <c r="AC159" s="100">
        <f>AA159*12</f>
        <v>10800000</v>
      </c>
    </row>
    <row r="160" spans="1:50" hidden="1">
      <c r="Y160" s="20" t="s">
        <v>215</v>
      </c>
      <c r="AA160" s="21">
        <v>500000</v>
      </c>
      <c r="AC160" s="100">
        <f>AA160*12</f>
        <v>6000000</v>
      </c>
    </row>
    <row r="161" spans="25:29" hidden="1">
      <c r="Y161" s="20" t="s">
        <v>216</v>
      </c>
      <c r="AA161" s="21">
        <v>1400000</v>
      </c>
      <c r="AC161" s="100">
        <f>AA161*12</f>
        <v>16800000</v>
      </c>
    </row>
    <row r="162" spans="25:29" hidden="1">
      <c r="AA162" s="123">
        <f>SUM(AA159:AA161)</f>
        <v>2800000</v>
      </c>
      <c r="AC162" s="291">
        <f>AA162*12</f>
        <v>33600000</v>
      </c>
    </row>
    <row r="163" spans="25:29" hidden="1">
      <c r="Y163" s="20" t="s">
        <v>217</v>
      </c>
      <c r="AA163" s="45">
        <f>AA162/13</f>
        <v>215384.61538461538</v>
      </c>
      <c r="AC163" s="268">
        <f>AA163*12</f>
        <v>2584615.3846153845</v>
      </c>
    </row>
  </sheetData>
  <mergeCells count="15">
    <mergeCell ref="AA2:AB2"/>
    <mergeCell ref="AC2:AD2"/>
    <mergeCell ref="Y157:AC157"/>
    <mergeCell ref="O2:P2"/>
    <mergeCell ref="Q2:R2"/>
    <mergeCell ref="S2:T2"/>
    <mergeCell ref="U2:V2"/>
    <mergeCell ref="W2:X2"/>
    <mergeCell ref="Y2:Z2"/>
    <mergeCell ref="M2:N2"/>
    <mergeCell ref="C2:D2"/>
    <mergeCell ref="E2:F2"/>
    <mergeCell ref="G2:H2"/>
    <mergeCell ref="I2:J2"/>
    <mergeCell ref="K2:L2"/>
  </mergeCells>
  <printOptions horizontalCentered="1" gridLines="1"/>
  <pageMargins left="0" right="0" top="1" bottom="0.75" header="0.3" footer="0.3"/>
  <pageSetup paperSize="8" scale="55" fitToWidth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AX170"/>
  <sheetViews>
    <sheetView zoomScale="85" zoomScaleNormal="85" workbookViewId="0">
      <pane xSplit="2" ySplit="3" topLeftCell="O122" activePane="bottomRight" state="frozen"/>
      <selection pane="topRight" activeCell="C1" sqref="C1"/>
      <selection pane="bottomLeft" activeCell="A4" sqref="A4"/>
      <selection pane="bottomRight" activeCell="AA142" sqref="AA142"/>
    </sheetView>
  </sheetViews>
  <sheetFormatPr defaultColWidth="9.140625" defaultRowHeight="15"/>
  <cols>
    <col min="1" max="1" width="6.42578125" style="84" customWidth="1"/>
    <col min="2" max="2" width="34.42578125" style="84" bestFit="1" customWidth="1"/>
    <col min="3" max="3" width="14" style="20" bestFit="1" customWidth="1"/>
    <col min="4" max="4" width="10.85546875" style="88" bestFit="1" customWidth="1"/>
    <col min="5" max="5" width="14" style="20" bestFit="1" customWidth="1"/>
    <col min="6" max="6" width="11.28515625" style="88" bestFit="1" customWidth="1"/>
    <col min="7" max="7" width="14" style="20" bestFit="1" customWidth="1"/>
    <col min="8" max="8" width="12.5703125" style="88" customWidth="1"/>
    <col min="9" max="9" width="14" style="20" bestFit="1" customWidth="1"/>
    <col min="10" max="10" width="8.140625" style="88" bestFit="1" customWidth="1"/>
    <col min="11" max="11" width="14" style="20" bestFit="1" customWidth="1"/>
    <col min="12" max="12" width="10.85546875" style="88" bestFit="1" customWidth="1"/>
    <col min="13" max="13" width="14" style="20" bestFit="1" customWidth="1"/>
    <col min="14" max="14" width="9.85546875" style="88" bestFit="1" customWidth="1"/>
    <col min="15" max="15" width="14" style="20" bestFit="1" customWidth="1"/>
    <col min="16" max="16" width="9.85546875" style="88" bestFit="1" customWidth="1"/>
    <col min="17" max="17" width="14" style="20" bestFit="1" customWidth="1"/>
    <col min="18" max="18" width="9.85546875" style="88" bestFit="1" customWidth="1"/>
    <col min="19" max="19" width="14" style="20" bestFit="1" customWidth="1"/>
    <col min="20" max="20" width="9.85546875" style="88" bestFit="1" customWidth="1"/>
    <col min="21" max="21" width="14" style="20" bestFit="1" customWidth="1"/>
    <col min="22" max="22" width="9.85546875" style="88" bestFit="1" customWidth="1"/>
    <col min="23" max="23" width="14" style="20" bestFit="1" customWidth="1"/>
    <col min="24" max="24" width="9.85546875" style="88" bestFit="1" customWidth="1"/>
    <col min="25" max="25" width="14" style="20" bestFit="1" customWidth="1"/>
    <col min="26" max="26" width="9.85546875" style="88" bestFit="1" customWidth="1"/>
    <col min="27" max="27" width="14" style="84" bestFit="1" customWidth="1"/>
    <col min="28" max="28" width="9.85546875" style="88" bestFit="1" customWidth="1"/>
    <col min="29" max="29" width="11.5703125" style="84" bestFit="1" customWidth="1"/>
    <col min="30" max="30" width="9.85546875" style="88" bestFit="1" customWidth="1"/>
    <col min="31" max="31" width="14" style="86" hidden="1" customWidth="1"/>
    <col min="32" max="32" width="15.28515625" style="87" hidden="1" customWidth="1"/>
    <col min="33" max="33" width="11.42578125" style="111" hidden="1" customWidth="1"/>
    <col min="34" max="34" width="46.28515625" style="1" hidden="1" customWidth="1"/>
    <col min="35" max="35" width="9.5703125" style="1" customWidth="1"/>
    <col min="36" max="36" width="5.140625" style="1" bestFit="1" customWidth="1"/>
    <col min="37" max="37" width="6.42578125" style="1" customWidth="1"/>
    <col min="38" max="48" width="9.140625" style="86" customWidth="1"/>
    <col min="49" max="49" width="15" style="86" customWidth="1"/>
    <col min="50" max="50" width="15" style="86" bestFit="1" customWidth="1"/>
    <col min="51" max="16384" width="9.140625" style="1"/>
  </cols>
  <sheetData>
    <row r="1" spans="1:50">
      <c r="A1" s="323" t="s">
        <v>240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1"/>
      <c r="AF1" s="21"/>
      <c r="AG1" s="265"/>
      <c r="AH1" s="265"/>
      <c r="AI1" s="305"/>
      <c r="AJ1" s="305"/>
      <c r="AK1" s="305"/>
      <c r="AL1" s="305"/>
      <c r="AM1" s="305"/>
      <c r="AN1" s="305"/>
      <c r="AO1" s="305"/>
    </row>
    <row r="2" spans="1:50" s="86" customFormat="1">
      <c r="A2" s="22"/>
      <c r="B2" s="22"/>
      <c r="C2" s="334" t="s">
        <v>64</v>
      </c>
      <c r="D2" s="336"/>
      <c r="E2" s="337" t="s">
        <v>65</v>
      </c>
      <c r="F2" s="337"/>
      <c r="G2" s="334" t="s">
        <v>81</v>
      </c>
      <c r="H2" s="336"/>
      <c r="I2" s="334" t="s">
        <v>82</v>
      </c>
      <c r="J2" s="336"/>
      <c r="K2" s="334" t="s">
        <v>83</v>
      </c>
      <c r="L2" s="336"/>
      <c r="M2" s="334" t="s">
        <v>84</v>
      </c>
      <c r="N2" s="335"/>
      <c r="O2" s="334" t="s">
        <v>85</v>
      </c>
      <c r="P2" s="336"/>
      <c r="Q2" s="334" t="s">
        <v>86</v>
      </c>
      <c r="R2" s="336"/>
      <c r="S2" s="337" t="s">
        <v>87</v>
      </c>
      <c r="T2" s="337"/>
      <c r="U2" s="334" t="s">
        <v>112</v>
      </c>
      <c r="V2" s="336"/>
      <c r="W2" s="334" t="s">
        <v>113</v>
      </c>
      <c r="X2" s="336"/>
      <c r="Y2" s="337" t="s">
        <v>114</v>
      </c>
      <c r="Z2" s="337"/>
      <c r="AA2" s="338" t="s">
        <v>109</v>
      </c>
      <c r="AB2" s="338"/>
      <c r="AC2" s="339" t="s">
        <v>110</v>
      </c>
      <c r="AD2" s="339"/>
      <c r="AE2" s="262"/>
      <c r="AF2" s="263"/>
      <c r="AG2" s="111"/>
      <c r="AH2" s="1"/>
    </row>
    <row r="3" spans="1:50" s="86" customFormat="1" ht="15.75" thickBot="1">
      <c r="A3" s="27"/>
      <c r="B3" s="9" t="s">
        <v>69</v>
      </c>
      <c r="C3" s="29" t="s">
        <v>94</v>
      </c>
      <c r="D3" s="48" t="s">
        <v>80</v>
      </c>
      <c r="E3" s="29" t="s">
        <v>94</v>
      </c>
      <c r="F3" s="48" t="s">
        <v>80</v>
      </c>
      <c r="G3" s="29" t="s">
        <v>94</v>
      </c>
      <c r="H3" s="48" t="s">
        <v>80</v>
      </c>
      <c r="I3" s="29" t="s">
        <v>94</v>
      </c>
      <c r="J3" s="48" t="s">
        <v>80</v>
      </c>
      <c r="K3" s="29" t="s">
        <v>94</v>
      </c>
      <c r="L3" s="48" t="s">
        <v>80</v>
      </c>
      <c r="M3" s="29" t="s">
        <v>94</v>
      </c>
      <c r="N3" s="48" t="s">
        <v>80</v>
      </c>
      <c r="O3" s="29" t="s">
        <v>94</v>
      </c>
      <c r="P3" s="48" t="s">
        <v>80</v>
      </c>
      <c r="Q3" s="29" t="s">
        <v>94</v>
      </c>
      <c r="R3" s="48" t="s">
        <v>80</v>
      </c>
      <c r="S3" s="29" t="s">
        <v>94</v>
      </c>
      <c r="T3" s="48" t="s">
        <v>80</v>
      </c>
      <c r="U3" s="29" t="s">
        <v>94</v>
      </c>
      <c r="V3" s="48" t="s">
        <v>80</v>
      </c>
      <c r="W3" s="29" t="s">
        <v>94</v>
      </c>
      <c r="X3" s="48" t="s">
        <v>80</v>
      </c>
      <c r="Y3" s="29" t="s">
        <v>94</v>
      </c>
      <c r="Z3" s="48" t="s">
        <v>80</v>
      </c>
      <c r="AA3" s="57" t="s">
        <v>95</v>
      </c>
      <c r="AB3" s="80" t="s">
        <v>80</v>
      </c>
      <c r="AC3" s="65" t="s">
        <v>95</v>
      </c>
      <c r="AD3" s="75" t="s">
        <v>80</v>
      </c>
      <c r="AE3" s="1"/>
      <c r="AF3" s="21"/>
      <c r="AG3" s="119" t="s">
        <v>218</v>
      </c>
      <c r="AH3" s="118" t="s">
        <v>145</v>
      </c>
    </row>
    <row r="4" spans="1:50">
      <c r="A4" s="1"/>
      <c r="B4" s="1"/>
      <c r="C4" s="16"/>
      <c r="D4" s="49"/>
      <c r="E4" s="16"/>
      <c r="F4" s="49"/>
      <c r="G4" s="16"/>
      <c r="H4" s="49"/>
      <c r="I4" s="16"/>
      <c r="J4" s="49"/>
      <c r="K4" s="16"/>
      <c r="L4" s="49"/>
      <c r="M4" s="16"/>
      <c r="N4" s="49"/>
      <c r="O4" s="16"/>
      <c r="P4" s="49"/>
      <c r="Q4" s="16"/>
      <c r="R4" s="49"/>
      <c r="S4" s="16"/>
      <c r="T4" s="49"/>
      <c r="U4" s="16"/>
      <c r="V4" s="49"/>
      <c r="W4" s="16"/>
      <c r="X4" s="49"/>
      <c r="Y4" s="16"/>
      <c r="Z4" s="49"/>
      <c r="AA4" s="58"/>
      <c r="AB4" s="72"/>
      <c r="AC4" s="66"/>
      <c r="AD4" s="76"/>
      <c r="AE4" s="1"/>
      <c r="AF4" s="21"/>
      <c r="AW4" s="99"/>
      <c r="AX4" s="99"/>
    </row>
    <row r="5" spans="1:50">
      <c r="A5" s="6">
        <v>5004</v>
      </c>
      <c r="B5" s="13" t="s">
        <v>71</v>
      </c>
      <c r="C5" s="19"/>
      <c r="D5" s="28"/>
      <c r="E5" s="19"/>
      <c r="F5" s="28"/>
      <c r="G5" s="17"/>
      <c r="H5" s="28"/>
      <c r="I5" s="17"/>
      <c r="J5" s="28"/>
      <c r="K5" s="19"/>
      <c r="L5" s="28"/>
      <c r="M5" s="19"/>
      <c r="N5" s="28"/>
      <c r="O5" s="19"/>
      <c r="P5" s="28"/>
      <c r="Q5" s="19"/>
      <c r="R5" s="28"/>
      <c r="S5" s="19"/>
      <c r="T5" s="28"/>
      <c r="U5" s="19"/>
      <c r="V5" s="28"/>
      <c r="W5" s="19"/>
      <c r="X5" s="28"/>
      <c r="Y5" s="19"/>
      <c r="Z5" s="28"/>
      <c r="AA5" s="59">
        <f>C5+E5+G5+I5+K5+M5+O5+Q5+S5+U5+W5+Y5</f>
        <v>0</v>
      </c>
      <c r="AB5" s="60"/>
      <c r="AC5" s="67">
        <f>AA5/12</f>
        <v>0</v>
      </c>
      <c r="AD5" s="68"/>
      <c r="AE5" s="44">
        <f>C5+E5+G5+I5+K5+M5+O5+Q5+S5+U5+W5+Y5</f>
        <v>0</v>
      </c>
      <c r="AF5" s="21">
        <f>AA5-AE5</f>
        <v>0</v>
      </c>
      <c r="AG5" s="112"/>
      <c r="AW5" s="99"/>
      <c r="AX5" s="99"/>
    </row>
    <row r="6" spans="1:50">
      <c r="A6" s="1">
        <v>5005</v>
      </c>
      <c r="B6" s="1" t="s">
        <v>67</v>
      </c>
      <c r="C6" s="19"/>
      <c r="D6" s="28"/>
      <c r="E6" s="16"/>
      <c r="F6" s="28"/>
      <c r="G6" s="16"/>
      <c r="H6" s="28"/>
      <c r="I6" s="16"/>
      <c r="J6" s="49"/>
      <c r="K6" s="16"/>
      <c r="L6" s="49"/>
      <c r="M6" s="16"/>
      <c r="N6" s="49"/>
      <c r="O6" s="19"/>
      <c r="P6" s="28"/>
      <c r="Q6" s="19"/>
      <c r="R6" s="28"/>
      <c r="S6" s="16"/>
      <c r="T6" s="28"/>
      <c r="U6" s="19"/>
      <c r="V6" s="28"/>
      <c r="W6" s="19"/>
      <c r="X6" s="28"/>
      <c r="Y6" s="16"/>
      <c r="Z6" s="28"/>
      <c r="AA6" s="59">
        <f t="shared" ref="AA6:AA11" si="0">C6+E6+G6+I6+K6+M6+O6+Q6+S6+U6+W6+Y6</f>
        <v>0</v>
      </c>
      <c r="AB6" s="60"/>
      <c r="AC6" s="67">
        <f t="shared" ref="AC6:AC68" si="1">AA6/12</f>
        <v>0</v>
      </c>
      <c r="AD6" s="68"/>
      <c r="AE6" s="44">
        <f t="shared" ref="AE6:AE69" si="2">C6+E6+G6+I6+K6+M6+O6+Q6+S6+U6+W6+Y6</f>
        <v>0</v>
      </c>
      <c r="AF6" s="21">
        <f t="shared" ref="AF6:AF69" si="3">AA6-AE6</f>
        <v>0</v>
      </c>
      <c r="AW6" s="99"/>
      <c r="AX6" s="99"/>
    </row>
    <row r="7" spans="1:50">
      <c r="A7" s="11">
        <v>5051</v>
      </c>
      <c r="B7" s="12" t="s">
        <v>74</v>
      </c>
      <c r="C7" s="19"/>
      <c r="D7" s="28"/>
      <c r="E7" s="19"/>
      <c r="F7" s="28"/>
      <c r="G7" s="17"/>
      <c r="H7" s="28"/>
      <c r="I7" s="17"/>
      <c r="J7" s="28"/>
      <c r="K7" s="19"/>
      <c r="L7" s="28"/>
      <c r="M7" s="17"/>
      <c r="N7" s="28"/>
      <c r="O7" s="19"/>
      <c r="P7" s="28"/>
      <c r="Q7" s="19"/>
      <c r="R7" s="28"/>
      <c r="S7" s="19"/>
      <c r="T7" s="28"/>
      <c r="U7" s="19"/>
      <c r="V7" s="28"/>
      <c r="W7" s="19"/>
      <c r="X7" s="28"/>
      <c r="Y7" s="19"/>
      <c r="Z7" s="28"/>
      <c r="AA7" s="59">
        <f t="shared" si="0"/>
        <v>0</v>
      </c>
      <c r="AB7" s="60"/>
      <c r="AC7" s="67">
        <f t="shared" si="1"/>
        <v>0</v>
      </c>
      <c r="AD7" s="68"/>
      <c r="AE7" s="44">
        <f t="shared" si="2"/>
        <v>0</v>
      </c>
      <c r="AF7" s="21">
        <f t="shared" si="3"/>
        <v>0</v>
      </c>
      <c r="AW7" s="99"/>
      <c r="AX7" s="99"/>
    </row>
    <row r="8" spans="1:50">
      <c r="A8" s="1">
        <v>5052</v>
      </c>
      <c r="B8" s="1" t="s">
        <v>90</v>
      </c>
      <c r="C8" s="19"/>
      <c r="D8" s="28"/>
      <c r="E8" s="16"/>
      <c r="F8" s="28"/>
      <c r="G8" s="16"/>
      <c r="H8" s="28"/>
      <c r="I8" s="16"/>
      <c r="J8" s="28"/>
      <c r="K8" s="16"/>
      <c r="L8" s="28"/>
      <c r="M8" s="16"/>
      <c r="N8" s="28"/>
      <c r="O8" s="16"/>
      <c r="P8" s="28"/>
      <c r="Q8" s="16"/>
      <c r="R8" s="28"/>
      <c r="S8" s="16"/>
      <c r="T8" s="28"/>
      <c r="U8" s="16"/>
      <c r="V8" s="28"/>
      <c r="W8" s="16"/>
      <c r="X8" s="28"/>
      <c r="Y8" s="16"/>
      <c r="Z8" s="28"/>
      <c r="AA8" s="59">
        <f t="shared" si="0"/>
        <v>0</v>
      </c>
      <c r="AB8" s="60"/>
      <c r="AC8" s="67">
        <f t="shared" si="1"/>
        <v>0</v>
      </c>
      <c r="AD8" s="68"/>
      <c r="AE8" s="44">
        <f t="shared" si="2"/>
        <v>0</v>
      </c>
      <c r="AF8" s="21">
        <f t="shared" si="3"/>
        <v>0</v>
      </c>
      <c r="AW8" s="99"/>
      <c r="AX8" s="99"/>
    </row>
    <row r="9" spans="1:50">
      <c r="A9" s="1">
        <v>5101</v>
      </c>
      <c r="B9" s="1" t="s">
        <v>46</v>
      </c>
      <c r="C9" s="19"/>
      <c r="D9" s="28"/>
      <c r="E9" s="16"/>
      <c r="F9" s="28"/>
      <c r="G9" s="16"/>
      <c r="H9" s="28"/>
      <c r="I9" s="16"/>
      <c r="J9" s="28"/>
      <c r="K9" s="16"/>
      <c r="L9" s="28"/>
      <c r="M9" s="16"/>
      <c r="N9" s="28"/>
      <c r="O9" s="16"/>
      <c r="P9" s="28"/>
      <c r="Q9" s="16"/>
      <c r="R9" s="28"/>
      <c r="S9" s="16"/>
      <c r="T9" s="28"/>
      <c r="U9" s="16"/>
      <c r="V9" s="28"/>
      <c r="W9" s="16"/>
      <c r="X9" s="28"/>
      <c r="Y9" s="16"/>
      <c r="Z9" s="28"/>
      <c r="AA9" s="59">
        <f t="shared" si="0"/>
        <v>0</v>
      </c>
      <c r="AB9" s="60"/>
      <c r="AC9" s="67">
        <f t="shared" si="1"/>
        <v>0</v>
      </c>
      <c r="AD9" s="68"/>
      <c r="AE9" s="44">
        <f t="shared" si="2"/>
        <v>0</v>
      </c>
      <c r="AF9" s="21">
        <f t="shared" si="3"/>
        <v>0</v>
      </c>
      <c r="AW9" s="99"/>
      <c r="AX9" s="99"/>
    </row>
    <row r="10" spans="1:50">
      <c r="A10" s="1">
        <v>5102</v>
      </c>
      <c r="B10" s="1" t="s">
        <v>159</v>
      </c>
      <c r="C10" s="19"/>
      <c r="D10" s="28"/>
      <c r="E10" s="16"/>
      <c r="F10" s="28"/>
      <c r="G10" s="16"/>
      <c r="H10" s="28"/>
      <c r="I10" s="16"/>
      <c r="J10" s="28"/>
      <c r="K10" s="16"/>
      <c r="L10" s="28"/>
      <c r="M10" s="16"/>
      <c r="N10" s="28"/>
      <c r="O10" s="16"/>
      <c r="P10" s="28"/>
      <c r="Q10" s="16"/>
      <c r="R10" s="28"/>
      <c r="S10" s="16"/>
      <c r="T10" s="28"/>
      <c r="U10" s="16"/>
      <c r="V10" s="28"/>
      <c r="W10" s="16"/>
      <c r="X10" s="28"/>
      <c r="Y10" s="16"/>
      <c r="Z10" s="28"/>
      <c r="AA10" s="59">
        <f t="shared" si="0"/>
        <v>0</v>
      </c>
      <c r="AB10" s="60"/>
      <c r="AC10" s="67">
        <f t="shared" si="1"/>
        <v>0</v>
      </c>
      <c r="AD10" s="68"/>
      <c r="AE10" s="44">
        <f t="shared" si="2"/>
        <v>0</v>
      </c>
      <c r="AF10" s="21">
        <f t="shared" si="3"/>
        <v>0</v>
      </c>
      <c r="AW10" s="99"/>
      <c r="AX10" s="99"/>
    </row>
    <row r="11" spans="1:50">
      <c r="A11" s="1">
        <v>5103</v>
      </c>
      <c r="B11" s="1" t="s">
        <v>63</v>
      </c>
      <c r="C11" s="16"/>
      <c r="D11" s="28"/>
      <c r="E11" s="17"/>
      <c r="F11" s="28"/>
      <c r="G11" s="16"/>
      <c r="H11" s="28"/>
      <c r="I11" s="16"/>
      <c r="J11" s="28"/>
      <c r="K11" s="16"/>
      <c r="L11" s="28"/>
      <c r="M11" s="16"/>
      <c r="N11" s="28"/>
      <c r="O11" s="16"/>
      <c r="P11" s="28"/>
      <c r="Q11" s="16"/>
      <c r="R11" s="28"/>
      <c r="S11" s="16"/>
      <c r="T11" s="28"/>
      <c r="U11" s="16"/>
      <c r="V11" s="28"/>
      <c r="W11" s="16"/>
      <c r="X11" s="28"/>
      <c r="Y11" s="16"/>
      <c r="Z11" s="28"/>
      <c r="AA11" s="59">
        <f t="shared" si="0"/>
        <v>0</v>
      </c>
      <c r="AB11" s="60"/>
      <c r="AC11" s="67">
        <f t="shared" si="1"/>
        <v>0</v>
      </c>
      <c r="AD11" s="68"/>
      <c r="AE11" s="44">
        <f t="shared" si="2"/>
        <v>0</v>
      </c>
      <c r="AF11" s="21">
        <f t="shared" si="3"/>
        <v>0</v>
      </c>
      <c r="AW11" s="99"/>
      <c r="AX11" s="99"/>
    </row>
    <row r="12" spans="1:50" ht="15.75" thickBot="1">
      <c r="A12" s="30">
        <v>5149</v>
      </c>
      <c r="B12" s="30" t="s">
        <v>66</v>
      </c>
      <c r="C12" s="31">
        <f>C5+C6-C7-C8-C9+C11</f>
        <v>0</v>
      </c>
      <c r="D12" s="52">
        <f>C12/C$145</f>
        <v>0</v>
      </c>
      <c r="E12" s="31">
        <f>E5+E6-E7-E8-E9+E11</f>
        <v>0</v>
      </c>
      <c r="F12" s="52">
        <f>E12/E$145</f>
        <v>0</v>
      </c>
      <c r="G12" s="31">
        <f>G5+G6-G7-G8-G9+G11</f>
        <v>0</v>
      </c>
      <c r="H12" s="52">
        <f>G12/G$145</f>
        <v>0</v>
      </c>
      <c r="I12" s="31">
        <f>I5+I6-I7-I8-I9+I11</f>
        <v>0</v>
      </c>
      <c r="J12" s="52">
        <f>I12/I$145</f>
        <v>0</v>
      </c>
      <c r="K12" s="31">
        <f>K5+K6-K7-K8-K9+K11</f>
        <v>0</v>
      </c>
      <c r="L12" s="52">
        <f>K12/K$145</f>
        <v>0</v>
      </c>
      <c r="M12" s="31">
        <f>M5+M6-M7-M8-M9+M11</f>
        <v>0</v>
      </c>
      <c r="N12" s="52">
        <f>M12/M$145</f>
        <v>0</v>
      </c>
      <c r="O12" s="31">
        <f>O5+O6-O7-O8-O9+O11</f>
        <v>0</v>
      </c>
      <c r="P12" s="52">
        <f>O12/O$145</f>
        <v>0</v>
      </c>
      <c r="Q12" s="31">
        <f>Q5+Q6-Q7-Q8-Q9+Q11</f>
        <v>0</v>
      </c>
      <c r="R12" s="52">
        <f>Q12/Q$145</f>
        <v>0</v>
      </c>
      <c r="S12" s="31">
        <f>S5+S6-S7-S8-S9+S11</f>
        <v>0</v>
      </c>
      <c r="T12" s="52">
        <f>S12/S$145</f>
        <v>0</v>
      </c>
      <c r="U12" s="31">
        <f>U5+U6-U7-U8-U9+U11</f>
        <v>0</v>
      </c>
      <c r="V12" s="52">
        <f>U12/U$145</f>
        <v>0</v>
      </c>
      <c r="W12" s="31">
        <f>W5+W6-W7-W8-W9+W11</f>
        <v>0</v>
      </c>
      <c r="X12" s="52">
        <f>W12/W$145</f>
        <v>0</v>
      </c>
      <c r="Y12" s="31">
        <f>Y5+Y6-Y7-Y8-Y9+Y11</f>
        <v>0</v>
      </c>
      <c r="Z12" s="52">
        <f>Y12/Y$145</f>
        <v>0</v>
      </c>
      <c r="AA12" s="61">
        <f>AA5+AA6-AA7-AA8-AA9+AA11</f>
        <v>0</v>
      </c>
      <c r="AB12" s="74">
        <f>AA12/AA$145</f>
        <v>0</v>
      </c>
      <c r="AC12" s="24">
        <f t="shared" si="1"/>
        <v>0</v>
      </c>
      <c r="AD12" s="77">
        <f>AC12/AC$145</f>
        <v>0</v>
      </c>
      <c r="AE12" s="44">
        <f t="shared" si="2"/>
        <v>0</v>
      </c>
      <c r="AF12" s="21">
        <f t="shared" si="3"/>
        <v>0</v>
      </c>
      <c r="AW12" s="99"/>
      <c r="AX12" s="99"/>
    </row>
    <row r="13" spans="1:50" ht="15.75" thickTop="1">
      <c r="A13" s="1">
        <v>5151</v>
      </c>
      <c r="B13" s="1" t="s">
        <v>47</v>
      </c>
      <c r="C13" s="16"/>
      <c r="D13" s="28"/>
      <c r="E13" s="16"/>
      <c r="F13" s="28">
        <f>E13/E$145</f>
        <v>0</v>
      </c>
      <c r="G13" s="16"/>
      <c r="H13" s="28">
        <f>G13/G$145</f>
        <v>0</v>
      </c>
      <c r="I13" s="16"/>
      <c r="J13" s="28">
        <f>I13/I$145</f>
        <v>0</v>
      </c>
      <c r="K13" s="16"/>
      <c r="L13" s="28">
        <f>K13/K$145</f>
        <v>0</v>
      </c>
      <c r="M13" s="16"/>
      <c r="N13" s="28">
        <f>M13/M$145</f>
        <v>0</v>
      </c>
      <c r="O13" s="16"/>
      <c r="P13" s="28">
        <f>O13/O$145</f>
        <v>0</v>
      </c>
      <c r="Q13" s="16"/>
      <c r="R13" s="28">
        <f>Q13/Q$145</f>
        <v>0</v>
      </c>
      <c r="S13" s="16"/>
      <c r="T13" s="28">
        <f>S13/S$145</f>
        <v>0</v>
      </c>
      <c r="U13" s="16"/>
      <c r="V13" s="28">
        <f>U13/U$145</f>
        <v>0</v>
      </c>
      <c r="W13" s="16"/>
      <c r="X13" s="28">
        <f>W13/W$145</f>
        <v>0</v>
      </c>
      <c r="Y13" s="16"/>
      <c r="Z13" s="28">
        <f>Y13/Y$145</f>
        <v>0</v>
      </c>
      <c r="AA13" s="59">
        <f t="shared" ref="AA13:AA14" si="4">C13+E13+G13+I13+K13+M13+O13+Q13+S13+U13+W13+Y13</f>
        <v>0</v>
      </c>
      <c r="AB13" s="60">
        <f>AA13/AA$145</f>
        <v>0</v>
      </c>
      <c r="AC13" s="67">
        <f t="shared" si="1"/>
        <v>0</v>
      </c>
      <c r="AD13" s="68">
        <f>AC13/AC$145</f>
        <v>0</v>
      </c>
      <c r="AE13" s="44">
        <f t="shared" si="2"/>
        <v>0</v>
      </c>
      <c r="AF13" s="21">
        <f t="shared" si="3"/>
        <v>0</v>
      </c>
      <c r="AW13" s="99"/>
      <c r="AX13" s="99"/>
    </row>
    <row r="14" spans="1:50">
      <c r="A14" s="1">
        <v>5152</v>
      </c>
      <c r="B14" s="1" t="s">
        <v>48</v>
      </c>
      <c r="C14" s="16"/>
      <c r="D14" s="28"/>
      <c r="E14" s="16"/>
      <c r="F14" s="28">
        <f>E14/E$145</f>
        <v>0</v>
      </c>
      <c r="G14" s="16"/>
      <c r="H14" s="28">
        <f>G14/G$145</f>
        <v>0</v>
      </c>
      <c r="I14" s="16"/>
      <c r="J14" s="28">
        <f>I14/I$145</f>
        <v>0</v>
      </c>
      <c r="K14" s="16"/>
      <c r="L14" s="28">
        <f>K14/K$145</f>
        <v>0</v>
      </c>
      <c r="M14" s="16"/>
      <c r="N14" s="28">
        <f>M14/M$145</f>
        <v>0</v>
      </c>
      <c r="O14" s="16"/>
      <c r="P14" s="28">
        <f>O14/O$145</f>
        <v>0</v>
      </c>
      <c r="Q14" s="16"/>
      <c r="R14" s="28">
        <f>Q14/Q$145</f>
        <v>0</v>
      </c>
      <c r="S14" s="16"/>
      <c r="T14" s="28">
        <f>S14/S$145</f>
        <v>0</v>
      </c>
      <c r="U14" s="16"/>
      <c r="V14" s="28">
        <f>U14/U$145</f>
        <v>0</v>
      </c>
      <c r="W14" s="16"/>
      <c r="X14" s="28">
        <f>W14/W$145</f>
        <v>0</v>
      </c>
      <c r="Y14" s="16"/>
      <c r="Z14" s="28">
        <f>Y14/Y$145</f>
        <v>0</v>
      </c>
      <c r="AA14" s="59">
        <f t="shared" si="4"/>
        <v>0</v>
      </c>
      <c r="AB14" s="60">
        <f>AA14/AA$145</f>
        <v>0</v>
      </c>
      <c r="AC14" s="67">
        <f t="shared" si="1"/>
        <v>0</v>
      </c>
      <c r="AD14" s="68">
        <f>AC14/AC$145</f>
        <v>0</v>
      </c>
      <c r="AE14" s="44">
        <f t="shared" si="2"/>
        <v>0</v>
      </c>
      <c r="AF14" s="21">
        <f t="shared" si="3"/>
        <v>0</v>
      </c>
      <c r="AW14" s="99"/>
      <c r="AX14" s="99"/>
    </row>
    <row r="15" spans="1:50" ht="15.75" thickBot="1">
      <c r="A15" s="30">
        <v>5198</v>
      </c>
      <c r="B15" s="30" t="s">
        <v>96</v>
      </c>
      <c r="C15" s="32">
        <f>C13+C14</f>
        <v>0</v>
      </c>
      <c r="D15" s="53">
        <f>C15/C$145</f>
        <v>0</v>
      </c>
      <c r="E15" s="32">
        <f>E13+E14</f>
        <v>0</v>
      </c>
      <c r="F15" s="53">
        <f>E15/E$145</f>
        <v>0</v>
      </c>
      <c r="G15" s="32">
        <f>G13+G14</f>
        <v>0</v>
      </c>
      <c r="H15" s="53">
        <f>G15/G$145</f>
        <v>0</v>
      </c>
      <c r="I15" s="32">
        <f>I13+I14</f>
        <v>0</v>
      </c>
      <c r="J15" s="53">
        <f>I15/I$145</f>
        <v>0</v>
      </c>
      <c r="K15" s="32">
        <f>K13+K14</f>
        <v>0</v>
      </c>
      <c r="L15" s="53">
        <f>K15/K$145</f>
        <v>0</v>
      </c>
      <c r="M15" s="32">
        <f>M13+M14</f>
        <v>0</v>
      </c>
      <c r="N15" s="53">
        <f>M15/M$145</f>
        <v>0</v>
      </c>
      <c r="O15" s="32">
        <f>O13+O14</f>
        <v>0</v>
      </c>
      <c r="P15" s="53">
        <f>O15/O$145</f>
        <v>0</v>
      </c>
      <c r="Q15" s="32">
        <f>Q13+Q14</f>
        <v>0</v>
      </c>
      <c r="R15" s="53">
        <f>Q15/Q$145</f>
        <v>0</v>
      </c>
      <c r="S15" s="32">
        <f>S13+S14</f>
        <v>0</v>
      </c>
      <c r="T15" s="53">
        <f>S15/S$145</f>
        <v>0</v>
      </c>
      <c r="U15" s="32">
        <f>U13+U14</f>
        <v>0</v>
      </c>
      <c r="V15" s="53">
        <f>U15/U$145</f>
        <v>0</v>
      </c>
      <c r="W15" s="32">
        <f>W13+W14</f>
        <v>0</v>
      </c>
      <c r="X15" s="53">
        <f>W15/W$145</f>
        <v>0</v>
      </c>
      <c r="Y15" s="32">
        <f>Y13+Y14</f>
        <v>0</v>
      </c>
      <c r="Z15" s="53">
        <f>Y15/Y$145</f>
        <v>0</v>
      </c>
      <c r="AA15" s="61">
        <f>AA13+AA14</f>
        <v>0</v>
      </c>
      <c r="AB15" s="73">
        <f>AA15/AA$145</f>
        <v>0</v>
      </c>
      <c r="AC15" s="24">
        <f t="shared" si="1"/>
        <v>0</v>
      </c>
      <c r="AD15" s="78">
        <f>AC15/AC$145</f>
        <v>0</v>
      </c>
      <c r="AE15" s="44">
        <f t="shared" si="2"/>
        <v>0</v>
      </c>
      <c r="AF15" s="21">
        <f t="shared" si="3"/>
        <v>0</v>
      </c>
      <c r="AW15" s="99"/>
      <c r="AX15" s="99"/>
    </row>
    <row r="16" spans="1:50" ht="16.5" thickTop="1" thickBot="1">
      <c r="A16" s="25">
        <v>5199</v>
      </c>
      <c r="B16" s="25" t="s">
        <v>70</v>
      </c>
      <c r="C16" s="103">
        <f>C12+C15</f>
        <v>0</v>
      </c>
      <c r="D16" s="47">
        <f>C16/C$145</f>
        <v>0</v>
      </c>
      <c r="E16" s="18">
        <f>E12+E15</f>
        <v>0</v>
      </c>
      <c r="F16" s="47">
        <f>E16/E$145</f>
        <v>0</v>
      </c>
      <c r="G16" s="18">
        <f>G12+G15</f>
        <v>0</v>
      </c>
      <c r="H16" s="47">
        <f>G16/G$145</f>
        <v>0</v>
      </c>
      <c r="I16" s="18">
        <f>I12+I15</f>
        <v>0</v>
      </c>
      <c r="J16" s="47">
        <f>I16/I$145</f>
        <v>0</v>
      </c>
      <c r="K16" s="18">
        <f>K12+K15</f>
        <v>0</v>
      </c>
      <c r="L16" s="47">
        <f>K16/K$145</f>
        <v>0</v>
      </c>
      <c r="M16" s="18">
        <f>M12+M15</f>
        <v>0</v>
      </c>
      <c r="N16" s="47">
        <f>M16/M$145</f>
        <v>0</v>
      </c>
      <c r="O16" s="18">
        <f>O12+O15</f>
        <v>0</v>
      </c>
      <c r="P16" s="47">
        <f>O16/O$145</f>
        <v>0</v>
      </c>
      <c r="Q16" s="18">
        <f>Q12+Q15</f>
        <v>0</v>
      </c>
      <c r="R16" s="47">
        <f>Q16/Q$145</f>
        <v>0</v>
      </c>
      <c r="S16" s="18">
        <f>S12+S15</f>
        <v>0</v>
      </c>
      <c r="T16" s="47">
        <f>S16/S$145</f>
        <v>0</v>
      </c>
      <c r="U16" s="18">
        <f>U12+U15</f>
        <v>0</v>
      </c>
      <c r="V16" s="47">
        <f>U16/U$145</f>
        <v>0</v>
      </c>
      <c r="W16" s="18">
        <f>W12+W15</f>
        <v>0</v>
      </c>
      <c r="X16" s="47">
        <f>W16/W$145</f>
        <v>0</v>
      </c>
      <c r="Y16" s="18">
        <f>Y12+Y15</f>
        <v>0</v>
      </c>
      <c r="Z16" s="47">
        <f>Y16/Y$145</f>
        <v>0</v>
      </c>
      <c r="AA16" s="62">
        <f>AA12+AA15</f>
        <v>0</v>
      </c>
      <c r="AB16" s="74">
        <f>AA16/AA$145</f>
        <v>0</v>
      </c>
      <c r="AC16" s="69">
        <f t="shared" si="1"/>
        <v>0</v>
      </c>
      <c r="AD16" s="77">
        <f>AC16/AC$145</f>
        <v>0</v>
      </c>
      <c r="AE16" s="44">
        <f t="shared" si="2"/>
        <v>0</v>
      </c>
      <c r="AF16" s="21">
        <f t="shared" si="3"/>
        <v>0</v>
      </c>
      <c r="AW16" s="99"/>
      <c r="AX16" s="99"/>
    </row>
    <row r="17" spans="1:50" ht="15.75" thickTop="1">
      <c r="A17" s="10">
        <v>5502</v>
      </c>
      <c r="B17" s="5" t="s">
        <v>49</v>
      </c>
      <c r="C17" s="85"/>
      <c r="D17" s="28"/>
      <c r="E17" s="16"/>
      <c r="F17" s="28"/>
      <c r="G17" s="16"/>
      <c r="H17" s="28"/>
      <c r="I17" s="16"/>
      <c r="J17" s="28"/>
      <c r="K17" s="16"/>
      <c r="L17" s="28"/>
      <c r="M17" s="16"/>
      <c r="N17" s="28"/>
      <c r="O17" s="16"/>
      <c r="P17" s="28"/>
      <c r="Q17" s="16"/>
      <c r="R17" s="28"/>
      <c r="S17" s="16"/>
      <c r="T17" s="28"/>
      <c r="U17" s="16"/>
      <c r="V17" s="28"/>
      <c r="W17" s="16"/>
      <c r="X17" s="28"/>
      <c r="Y17" s="16"/>
      <c r="Z17" s="28"/>
      <c r="AA17" s="59">
        <f t="shared" ref="AA17:AA20" si="5">C17+E17+G17+I17+K17+M17+O17+Q17+S17+U17+W17+Y17</f>
        <v>0</v>
      </c>
      <c r="AB17" s="60"/>
      <c r="AC17" s="67">
        <f t="shared" si="1"/>
        <v>0</v>
      </c>
      <c r="AD17" s="68"/>
      <c r="AE17" s="44">
        <f t="shared" si="2"/>
        <v>0</v>
      </c>
      <c r="AF17" s="21">
        <f t="shared" si="3"/>
        <v>0</v>
      </c>
      <c r="AW17" s="99"/>
      <c r="AX17" s="99"/>
    </row>
    <row r="18" spans="1:50">
      <c r="A18" s="3">
        <v>5503</v>
      </c>
      <c r="B18" s="3" t="s">
        <v>50</v>
      </c>
      <c r="C18" s="16"/>
      <c r="D18" s="28"/>
      <c r="E18" s="16"/>
      <c r="F18" s="28"/>
      <c r="G18" s="16"/>
      <c r="H18" s="28"/>
      <c r="I18" s="16"/>
      <c r="J18" s="28"/>
      <c r="K18" s="16"/>
      <c r="L18" s="28"/>
      <c r="M18" s="16"/>
      <c r="N18" s="28"/>
      <c r="O18" s="16"/>
      <c r="P18" s="28"/>
      <c r="Q18" s="16"/>
      <c r="R18" s="28"/>
      <c r="S18" s="16"/>
      <c r="T18" s="28"/>
      <c r="U18" s="16"/>
      <c r="V18" s="28"/>
      <c r="W18" s="16"/>
      <c r="X18" s="28"/>
      <c r="Y18" s="16"/>
      <c r="Z18" s="28"/>
      <c r="AA18" s="59">
        <f t="shared" si="5"/>
        <v>0</v>
      </c>
      <c r="AB18" s="60"/>
      <c r="AC18" s="67">
        <f t="shared" si="1"/>
        <v>0</v>
      </c>
      <c r="AD18" s="68"/>
      <c r="AE18" s="44">
        <f t="shared" si="2"/>
        <v>0</v>
      </c>
      <c r="AF18" s="21">
        <f t="shared" si="3"/>
        <v>0</v>
      </c>
      <c r="AW18" s="99"/>
      <c r="AX18" s="99"/>
    </row>
    <row r="19" spans="1:50">
      <c r="A19" s="3">
        <v>5504</v>
      </c>
      <c r="B19" s="3" t="s">
        <v>51</v>
      </c>
      <c r="C19" s="16"/>
      <c r="D19" s="28"/>
      <c r="E19" s="16"/>
      <c r="F19" s="28"/>
      <c r="G19" s="16"/>
      <c r="H19" s="28"/>
      <c r="I19" s="16"/>
      <c r="J19" s="28"/>
      <c r="K19" s="16"/>
      <c r="L19" s="28"/>
      <c r="M19" s="16"/>
      <c r="N19" s="28"/>
      <c r="O19" s="16"/>
      <c r="P19" s="28"/>
      <c r="Q19" s="16"/>
      <c r="R19" s="28"/>
      <c r="S19" s="16"/>
      <c r="T19" s="28"/>
      <c r="U19" s="16"/>
      <c r="V19" s="28"/>
      <c r="W19" s="16"/>
      <c r="X19" s="28"/>
      <c r="Y19" s="16"/>
      <c r="Z19" s="28"/>
      <c r="AA19" s="59">
        <f t="shared" si="5"/>
        <v>0</v>
      </c>
      <c r="AB19" s="60"/>
      <c r="AC19" s="67">
        <f t="shared" si="1"/>
        <v>0</v>
      </c>
      <c r="AD19" s="68"/>
      <c r="AE19" s="44">
        <f t="shared" si="2"/>
        <v>0</v>
      </c>
      <c r="AF19" s="21">
        <f t="shared" si="3"/>
        <v>0</v>
      </c>
      <c r="AW19" s="99"/>
      <c r="AX19" s="99"/>
    </row>
    <row r="20" spans="1:50">
      <c r="A20" s="3">
        <v>5505</v>
      </c>
      <c r="B20" s="3" t="s">
        <v>52</v>
      </c>
      <c r="C20" s="16"/>
      <c r="D20" s="28"/>
      <c r="E20" s="16"/>
      <c r="F20" s="28"/>
      <c r="G20" s="16"/>
      <c r="H20" s="28"/>
      <c r="I20" s="16"/>
      <c r="J20" s="28"/>
      <c r="K20" s="16"/>
      <c r="L20" s="28"/>
      <c r="M20" s="16"/>
      <c r="N20" s="28"/>
      <c r="O20" s="16"/>
      <c r="P20" s="28"/>
      <c r="Q20" s="16"/>
      <c r="R20" s="28"/>
      <c r="S20" s="16"/>
      <c r="T20" s="28"/>
      <c r="U20" s="16"/>
      <c r="V20" s="28"/>
      <c r="W20" s="16"/>
      <c r="X20" s="28"/>
      <c r="Y20" s="16"/>
      <c r="Z20" s="28"/>
      <c r="AA20" s="59">
        <f t="shared" si="5"/>
        <v>0</v>
      </c>
      <c r="AB20" s="60"/>
      <c r="AC20" s="67">
        <f t="shared" si="1"/>
        <v>0</v>
      </c>
      <c r="AD20" s="68"/>
      <c r="AE20" s="44">
        <f t="shared" si="2"/>
        <v>0</v>
      </c>
      <c r="AF20" s="21">
        <f t="shared" si="3"/>
        <v>0</v>
      </c>
      <c r="AW20" s="99"/>
      <c r="AX20" s="99"/>
    </row>
    <row r="21" spans="1:50" ht="15.75" thickBot="1">
      <c r="A21" s="33">
        <v>5599</v>
      </c>
      <c r="B21" s="33" t="s">
        <v>97</v>
      </c>
      <c r="C21" s="31">
        <f>SUM(C17:C20)</f>
        <v>0</v>
      </c>
      <c r="D21" s="52">
        <f t="shared" ref="D21:D37" si="6">C21/C$145</f>
        <v>0</v>
      </c>
      <c r="E21" s="31">
        <f>SUM(E17:E20)</f>
        <v>0</v>
      </c>
      <c r="F21" s="52">
        <f t="shared" ref="F21:F37" si="7">E21/E$145</f>
        <v>0</v>
      </c>
      <c r="G21" s="31">
        <f>SUM(G17:G20)</f>
        <v>0</v>
      </c>
      <c r="H21" s="52">
        <f t="shared" ref="H21:H37" si="8">G21/G$145</f>
        <v>0</v>
      </c>
      <c r="I21" s="31">
        <f>SUM(I17:I20)</f>
        <v>0</v>
      </c>
      <c r="J21" s="52">
        <f t="shared" ref="J21:J37" si="9">I21/I$145</f>
        <v>0</v>
      </c>
      <c r="K21" s="31">
        <f>SUM(K17:K20)</f>
        <v>0</v>
      </c>
      <c r="L21" s="52">
        <f t="shared" ref="L21:L37" si="10">K21/K$145</f>
        <v>0</v>
      </c>
      <c r="M21" s="31">
        <f>SUM(M17:M20)</f>
        <v>0</v>
      </c>
      <c r="N21" s="52">
        <f t="shared" ref="N21:N37" si="11">M21/M$145</f>
        <v>0</v>
      </c>
      <c r="O21" s="31">
        <f>SUM(O17:O20)</f>
        <v>0</v>
      </c>
      <c r="P21" s="52">
        <f t="shared" ref="P21:P37" si="12">O21/O$145</f>
        <v>0</v>
      </c>
      <c r="Q21" s="31">
        <f>SUM(Q17:Q20)</f>
        <v>0</v>
      </c>
      <c r="R21" s="52">
        <f t="shared" ref="R21:R37" si="13">Q21/Q$145</f>
        <v>0</v>
      </c>
      <c r="S21" s="31">
        <f>SUM(S17:S20)</f>
        <v>0</v>
      </c>
      <c r="T21" s="52">
        <f t="shared" ref="T21:T37" si="14">S21/S$145</f>
        <v>0</v>
      </c>
      <c r="U21" s="31">
        <f>SUM(U17:U20)</f>
        <v>0</v>
      </c>
      <c r="V21" s="52">
        <f t="shared" ref="V21:V37" si="15">U21/U$145</f>
        <v>0</v>
      </c>
      <c r="W21" s="31">
        <f>SUM(W17:W20)</f>
        <v>0</v>
      </c>
      <c r="X21" s="52">
        <f t="shared" ref="X21:X37" si="16">W21/W$145</f>
        <v>0</v>
      </c>
      <c r="Y21" s="31">
        <f>SUM(Y17:Y20)</f>
        <v>0</v>
      </c>
      <c r="Z21" s="52">
        <f t="shared" ref="Z21:Z37" si="17">Y21/Y$145</f>
        <v>0</v>
      </c>
      <c r="AA21" s="61">
        <f>SUM(AA17:AA20)</f>
        <v>0</v>
      </c>
      <c r="AB21" s="74">
        <f t="shared" ref="AB21:AB37" si="18">AA21/AA$145</f>
        <v>0</v>
      </c>
      <c r="AC21" s="24">
        <f t="shared" si="1"/>
        <v>0</v>
      </c>
      <c r="AD21" s="77">
        <f t="shared" ref="AD21:AD37" si="19">AC21/AC$145</f>
        <v>0</v>
      </c>
      <c r="AE21" s="44">
        <f t="shared" si="2"/>
        <v>0</v>
      </c>
      <c r="AF21" s="21">
        <f t="shared" si="3"/>
        <v>0</v>
      </c>
      <c r="AW21" s="99"/>
      <c r="AX21" s="99"/>
    </row>
    <row r="22" spans="1:50" ht="15.75" thickTop="1">
      <c r="A22" s="3">
        <v>5601</v>
      </c>
      <c r="B22" s="3" t="s">
        <v>53</v>
      </c>
      <c r="C22" s="16"/>
      <c r="D22" s="28">
        <f t="shared" si="6"/>
        <v>0</v>
      </c>
      <c r="E22" s="16"/>
      <c r="F22" s="28">
        <f t="shared" si="7"/>
        <v>0</v>
      </c>
      <c r="G22" s="16"/>
      <c r="H22" s="28">
        <f t="shared" si="8"/>
        <v>0</v>
      </c>
      <c r="I22" s="16"/>
      <c r="J22" s="28">
        <f t="shared" si="9"/>
        <v>0</v>
      </c>
      <c r="K22" s="16"/>
      <c r="L22" s="28">
        <f t="shared" si="10"/>
        <v>0</v>
      </c>
      <c r="M22" s="16"/>
      <c r="N22" s="28">
        <f t="shared" si="11"/>
        <v>0</v>
      </c>
      <c r="O22" s="16"/>
      <c r="P22" s="28">
        <f t="shared" si="12"/>
        <v>0</v>
      </c>
      <c r="Q22" s="16"/>
      <c r="R22" s="28">
        <f t="shared" si="13"/>
        <v>0</v>
      </c>
      <c r="S22" s="16"/>
      <c r="T22" s="28">
        <f t="shared" si="14"/>
        <v>0</v>
      </c>
      <c r="U22" s="16"/>
      <c r="V22" s="28">
        <f t="shared" si="15"/>
        <v>0</v>
      </c>
      <c r="W22" s="16"/>
      <c r="X22" s="28">
        <f t="shared" si="16"/>
        <v>0</v>
      </c>
      <c r="Y22" s="16"/>
      <c r="Z22" s="28">
        <f t="shared" si="17"/>
        <v>0</v>
      </c>
      <c r="AA22" s="59">
        <f t="shared" ref="AA22:AA34" si="20">C22+E22+G22+I22+K22+M22+O22+Q22+S22+U22+W22+Y22</f>
        <v>0</v>
      </c>
      <c r="AB22" s="60">
        <f t="shared" si="18"/>
        <v>0</v>
      </c>
      <c r="AC22" s="67">
        <f t="shared" si="1"/>
        <v>0</v>
      </c>
      <c r="AD22" s="68">
        <f t="shared" si="19"/>
        <v>0</v>
      </c>
      <c r="AE22" s="44">
        <f t="shared" si="2"/>
        <v>0</v>
      </c>
      <c r="AF22" s="21">
        <f t="shared" si="3"/>
        <v>0</v>
      </c>
      <c r="AW22" s="99"/>
      <c r="AX22" s="99"/>
    </row>
    <row r="23" spans="1:50">
      <c r="A23" s="3">
        <v>5602</v>
      </c>
      <c r="B23" s="3" t="s">
        <v>54</v>
      </c>
      <c r="C23" s="16"/>
      <c r="D23" s="28">
        <f t="shared" si="6"/>
        <v>0</v>
      </c>
      <c r="E23" s="16"/>
      <c r="F23" s="28">
        <f t="shared" si="7"/>
        <v>0</v>
      </c>
      <c r="G23" s="16"/>
      <c r="H23" s="28">
        <f t="shared" si="8"/>
        <v>0</v>
      </c>
      <c r="I23" s="16"/>
      <c r="J23" s="28">
        <f t="shared" si="9"/>
        <v>0</v>
      </c>
      <c r="K23" s="16"/>
      <c r="L23" s="28">
        <f t="shared" si="10"/>
        <v>0</v>
      </c>
      <c r="M23" s="16"/>
      <c r="N23" s="28">
        <f t="shared" si="11"/>
        <v>0</v>
      </c>
      <c r="O23" s="16"/>
      <c r="P23" s="28">
        <f t="shared" si="12"/>
        <v>0</v>
      </c>
      <c r="Q23" s="16"/>
      <c r="R23" s="28">
        <f t="shared" si="13"/>
        <v>0</v>
      </c>
      <c r="S23" s="16"/>
      <c r="T23" s="28">
        <f t="shared" si="14"/>
        <v>0</v>
      </c>
      <c r="U23" s="16"/>
      <c r="V23" s="28">
        <f t="shared" si="15"/>
        <v>0</v>
      </c>
      <c r="W23" s="16"/>
      <c r="X23" s="28">
        <f t="shared" si="16"/>
        <v>0</v>
      </c>
      <c r="Y23" s="16"/>
      <c r="Z23" s="28">
        <f t="shared" si="17"/>
        <v>0</v>
      </c>
      <c r="AA23" s="59">
        <f t="shared" si="20"/>
        <v>0</v>
      </c>
      <c r="AB23" s="60">
        <f t="shared" si="18"/>
        <v>0</v>
      </c>
      <c r="AC23" s="67">
        <f t="shared" si="1"/>
        <v>0</v>
      </c>
      <c r="AD23" s="68">
        <f t="shared" si="19"/>
        <v>0</v>
      </c>
      <c r="AE23" s="44">
        <f t="shared" si="2"/>
        <v>0</v>
      </c>
      <c r="AF23" s="21">
        <f t="shared" si="3"/>
        <v>0</v>
      </c>
      <c r="AW23" s="99"/>
      <c r="AX23" s="99"/>
    </row>
    <row r="24" spans="1:50">
      <c r="A24" s="3">
        <v>5603</v>
      </c>
      <c r="B24" s="3" t="s">
        <v>55</v>
      </c>
      <c r="C24" s="16"/>
      <c r="D24" s="28">
        <f t="shared" si="6"/>
        <v>0</v>
      </c>
      <c r="E24" s="16"/>
      <c r="F24" s="28">
        <f t="shared" si="7"/>
        <v>0</v>
      </c>
      <c r="G24" s="16"/>
      <c r="H24" s="28">
        <f t="shared" si="8"/>
        <v>0</v>
      </c>
      <c r="I24" s="16"/>
      <c r="J24" s="28">
        <f t="shared" si="9"/>
        <v>0</v>
      </c>
      <c r="K24" s="16"/>
      <c r="L24" s="28">
        <f t="shared" si="10"/>
        <v>0</v>
      </c>
      <c r="M24" s="16"/>
      <c r="N24" s="28">
        <f t="shared" si="11"/>
        <v>0</v>
      </c>
      <c r="O24" s="16"/>
      <c r="P24" s="28">
        <f t="shared" si="12"/>
        <v>0</v>
      </c>
      <c r="Q24" s="16"/>
      <c r="R24" s="28">
        <f t="shared" si="13"/>
        <v>0</v>
      </c>
      <c r="S24" s="16"/>
      <c r="T24" s="28">
        <f t="shared" si="14"/>
        <v>0</v>
      </c>
      <c r="U24" s="16"/>
      <c r="V24" s="28">
        <f t="shared" si="15"/>
        <v>0</v>
      </c>
      <c r="W24" s="16"/>
      <c r="X24" s="28">
        <f t="shared" si="16"/>
        <v>0</v>
      </c>
      <c r="Y24" s="16"/>
      <c r="Z24" s="28">
        <f t="shared" si="17"/>
        <v>0</v>
      </c>
      <c r="AA24" s="59">
        <f t="shared" si="20"/>
        <v>0</v>
      </c>
      <c r="AB24" s="60">
        <f t="shared" si="18"/>
        <v>0</v>
      </c>
      <c r="AC24" s="67">
        <f t="shared" si="1"/>
        <v>0</v>
      </c>
      <c r="AD24" s="68">
        <f t="shared" si="19"/>
        <v>0</v>
      </c>
      <c r="AE24" s="44">
        <f t="shared" si="2"/>
        <v>0</v>
      </c>
      <c r="AF24" s="21">
        <f t="shared" si="3"/>
        <v>0</v>
      </c>
      <c r="AW24" s="99"/>
      <c r="AX24" s="99"/>
    </row>
    <row r="25" spans="1:50">
      <c r="A25" s="3">
        <v>5604</v>
      </c>
      <c r="B25" s="3" t="s">
        <v>56</v>
      </c>
      <c r="C25" s="16"/>
      <c r="D25" s="28">
        <f t="shared" si="6"/>
        <v>0</v>
      </c>
      <c r="E25" s="16"/>
      <c r="F25" s="28">
        <f t="shared" si="7"/>
        <v>0</v>
      </c>
      <c r="G25" s="16"/>
      <c r="H25" s="28">
        <f t="shared" si="8"/>
        <v>0</v>
      </c>
      <c r="I25" s="16"/>
      <c r="J25" s="28">
        <f t="shared" si="9"/>
        <v>0</v>
      </c>
      <c r="K25" s="16"/>
      <c r="L25" s="28">
        <f t="shared" si="10"/>
        <v>0</v>
      </c>
      <c r="M25" s="16"/>
      <c r="N25" s="28">
        <f t="shared" si="11"/>
        <v>0</v>
      </c>
      <c r="O25" s="16"/>
      <c r="P25" s="28">
        <f t="shared" si="12"/>
        <v>0</v>
      </c>
      <c r="Q25" s="16"/>
      <c r="R25" s="28">
        <f t="shared" si="13"/>
        <v>0</v>
      </c>
      <c r="S25" s="16"/>
      <c r="T25" s="28">
        <f t="shared" si="14"/>
        <v>0</v>
      </c>
      <c r="U25" s="16"/>
      <c r="V25" s="28">
        <f t="shared" si="15"/>
        <v>0</v>
      </c>
      <c r="W25" s="16"/>
      <c r="X25" s="28">
        <f t="shared" si="16"/>
        <v>0</v>
      </c>
      <c r="Y25" s="16"/>
      <c r="Z25" s="28">
        <f t="shared" si="17"/>
        <v>0</v>
      </c>
      <c r="AA25" s="59">
        <f t="shared" si="20"/>
        <v>0</v>
      </c>
      <c r="AB25" s="60">
        <f t="shared" si="18"/>
        <v>0</v>
      </c>
      <c r="AC25" s="67">
        <f t="shared" si="1"/>
        <v>0</v>
      </c>
      <c r="AD25" s="68">
        <f t="shared" si="19"/>
        <v>0</v>
      </c>
      <c r="AE25" s="44">
        <f t="shared" si="2"/>
        <v>0</v>
      </c>
      <c r="AF25" s="21">
        <f t="shared" si="3"/>
        <v>0</v>
      </c>
      <c r="AW25" s="99"/>
      <c r="AX25" s="99"/>
    </row>
    <row r="26" spans="1:50">
      <c r="A26" s="3">
        <v>5605</v>
      </c>
      <c r="B26" s="3" t="s">
        <v>14</v>
      </c>
      <c r="C26" s="16"/>
      <c r="D26" s="28">
        <f t="shared" si="6"/>
        <v>0</v>
      </c>
      <c r="E26" s="16"/>
      <c r="F26" s="28">
        <f t="shared" si="7"/>
        <v>0</v>
      </c>
      <c r="G26" s="16"/>
      <c r="H26" s="28">
        <f t="shared" si="8"/>
        <v>0</v>
      </c>
      <c r="I26" s="16"/>
      <c r="J26" s="28">
        <f t="shared" si="9"/>
        <v>0</v>
      </c>
      <c r="K26" s="16"/>
      <c r="L26" s="28">
        <f t="shared" si="10"/>
        <v>0</v>
      </c>
      <c r="M26" s="16"/>
      <c r="N26" s="28">
        <f t="shared" si="11"/>
        <v>0</v>
      </c>
      <c r="O26" s="16"/>
      <c r="P26" s="28">
        <f t="shared" si="12"/>
        <v>0</v>
      </c>
      <c r="Q26" s="16"/>
      <c r="R26" s="28">
        <f t="shared" si="13"/>
        <v>0</v>
      </c>
      <c r="S26" s="16"/>
      <c r="T26" s="28">
        <f t="shared" si="14"/>
        <v>0</v>
      </c>
      <c r="U26" s="16"/>
      <c r="V26" s="28">
        <f t="shared" si="15"/>
        <v>0</v>
      </c>
      <c r="W26" s="16"/>
      <c r="X26" s="28">
        <f t="shared" si="16"/>
        <v>0</v>
      </c>
      <c r="Y26" s="16"/>
      <c r="Z26" s="28">
        <f t="shared" si="17"/>
        <v>0</v>
      </c>
      <c r="AA26" s="59">
        <f t="shared" si="20"/>
        <v>0</v>
      </c>
      <c r="AB26" s="60">
        <f t="shared" si="18"/>
        <v>0</v>
      </c>
      <c r="AC26" s="67">
        <f t="shared" si="1"/>
        <v>0</v>
      </c>
      <c r="AD26" s="68">
        <f t="shared" si="19"/>
        <v>0</v>
      </c>
      <c r="AE26" s="44">
        <f t="shared" si="2"/>
        <v>0</v>
      </c>
      <c r="AF26" s="21">
        <f t="shared" si="3"/>
        <v>0</v>
      </c>
      <c r="AW26" s="99"/>
      <c r="AX26" s="99"/>
    </row>
    <row r="27" spans="1:50">
      <c r="A27" s="3">
        <v>5606</v>
      </c>
      <c r="B27" s="3" t="s">
        <v>77</v>
      </c>
      <c r="C27" s="16"/>
      <c r="D27" s="28">
        <f t="shared" si="6"/>
        <v>0</v>
      </c>
      <c r="E27" s="16"/>
      <c r="F27" s="28">
        <f t="shared" si="7"/>
        <v>0</v>
      </c>
      <c r="G27" s="16"/>
      <c r="H27" s="28">
        <f t="shared" si="8"/>
        <v>0</v>
      </c>
      <c r="I27" s="16"/>
      <c r="J27" s="28">
        <f t="shared" si="9"/>
        <v>0</v>
      </c>
      <c r="K27" s="16"/>
      <c r="L27" s="28">
        <f t="shared" si="10"/>
        <v>0</v>
      </c>
      <c r="M27" s="16"/>
      <c r="N27" s="28">
        <f t="shared" si="11"/>
        <v>0</v>
      </c>
      <c r="O27" s="16"/>
      <c r="P27" s="28">
        <f t="shared" si="12"/>
        <v>0</v>
      </c>
      <c r="Q27" s="16"/>
      <c r="R27" s="28">
        <f t="shared" si="13"/>
        <v>0</v>
      </c>
      <c r="S27" s="16"/>
      <c r="T27" s="28">
        <f t="shared" si="14"/>
        <v>0</v>
      </c>
      <c r="U27" s="16"/>
      <c r="V27" s="28">
        <f t="shared" si="15"/>
        <v>0</v>
      </c>
      <c r="W27" s="16"/>
      <c r="X27" s="28">
        <f t="shared" si="16"/>
        <v>0</v>
      </c>
      <c r="Y27" s="16"/>
      <c r="Z27" s="28">
        <f t="shared" si="17"/>
        <v>0</v>
      </c>
      <c r="AA27" s="59">
        <f t="shared" si="20"/>
        <v>0</v>
      </c>
      <c r="AB27" s="60">
        <f t="shared" si="18"/>
        <v>0</v>
      </c>
      <c r="AC27" s="67">
        <f t="shared" si="1"/>
        <v>0</v>
      </c>
      <c r="AD27" s="68">
        <f t="shared" si="19"/>
        <v>0</v>
      </c>
      <c r="AE27" s="44">
        <f t="shared" si="2"/>
        <v>0</v>
      </c>
      <c r="AF27" s="21">
        <f t="shared" si="3"/>
        <v>0</v>
      </c>
      <c r="AW27" s="99"/>
      <c r="AX27" s="99"/>
    </row>
    <row r="28" spans="1:50">
      <c r="A28" s="3">
        <v>5607</v>
      </c>
      <c r="B28" s="3" t="s">
        <v>57</v>
      </c>
      <c r="C28" s="16"/>
      <c r="D28" s="28">
        <f t="shared" si="6"/>
        <v>0</v>
      </c>
      <c r="E28" s="16"/>
      <c r="F28" s="28">
        <f t="shared" si="7"/>
        <v>0</v>
      </c>
      <c r="G28" s="16"/>
      <c r="H28" s="28">
        <f t="shared" si="8"/>
        <v>0</v>
      </c>
      <c r="I28" s="16"/>
      <c r="J28" s="28">
        <f t="shared" si="9"/>
        <v>0</v>
      </c>
      <c r="K28" s="16"/>
      <c r="L28" s="28">
        <f t="shared" si="10"/>
        <v>0</v>
      </c>
      <c r="M28" s="16"/>
      <c r="N28" s="28">
        <f t="shared" si="11"/>
        <v>0</v>
      </c>
      <c r="O28" s="16"/>
      <c r="P28" s="28">
        <f t="shared" si="12"/>
        <v>0</v>
      </c>
      <c r="Q28" s="16"/>
      <c r="R28" s="28">
        <f t="shared" si="13"/>
        <v>0</v>
      </c>
      <c r="S28" s="16"/>
      <c r="T28" s="28">
        <f t="shared" si="14"/>
        <v>0</v>
      </c>
      <c r="U28" s="16"/>
      <c r="V28" s="28">
        <f t="shared" si="15"/>
        <v>0</v>
      </c>
      <c r="W28" s="16"/>
      <c r="X28" s="28">
        <f t="shared" si="16"/>
        <v>0</v>
      </c>
      <c r="Y28" s="16"/>
      <c r="Z28" s="28">
        <f t="shared" si="17"/>
        <v>0</v>
      </c>
      <c r="AA28" s="59">
        <f t="shared" si="20"/>
        <v>0</v>
      </c>
      <c r="AB28" s="60">
        <f t="shared" si="18"/>
        <v>0</v>
      </c>
      <c r="AC28" s="67">
        <f t="shared" si="1"/>
        <v>0</v>
      </c>
      <c r="AD28" s="68">
        <f t="shared" si="19"/>
        <v>0</v>
      </c>
      <c r="AE28" s="44">
        <f t="shared" si="2"/>
        <v>0</v>
      </c>
      <c r="AF28" s="21">
        <f t="shared" si="3"/>
        <v>0</v>
      </c>
      <c r="AW28" s="99"/>
      <c r="AX28" s="99"/>
    </row>
    <row r="29" spans="1:50">
      <c r="A29" s="3">
        <v>5608</v>
      </c>
      <c r="B29" s="3" t="s">
        <v>58</v>
      </c>
      <c r="C29" s="16"/>
      <c r="D29" s="28">
        <f t="shared" si="6"/>
        <v>0</v>
      </c>
      <c r="E29" s="16"/>
      <c r="F29" s="28">
        <f t="shared" si="7"/>
        <v>0</v>
      </c>
      <c r="G29" s="16"/>
      <c r="H29" s="28">
        <f t="shared" si="8"/>
        <v>0</v>
      </c>
      <c r="I29" s="16"/>
      <c r="J29" s="28">
        <f t="shared" si="9"/>
        <v>0</v>
      </c>
      <c r="K29" s="16"/>
      <c r="L29" s="28">
        <f t="shared" si="10"/>
        <v>0</v>
      </c>
      <c r="M29" s="16"/>
      <c r="N29" s="28">
        <f t="shared" si="11"/>
        <v>0</v>
      </c>
      <c r="O29" s="16"/>
      <c r="P29" s="28">
        <f t="shared" si="12"/>
        <v>0</v>
      </c>
      <c r="Q29" s="16"/>
      <c r="R29" s="28">
        <f t="shared" si="13"/>
        <v>0</v>
      </c>
      <c r="S29" s="16"/>
      <c r="T29" s="28">
        <f t="shared" si="14"/>
        <v>0</v>
      </c>
      <c r="U29" s="16"/>
      <c r="V29" s="28">
        <f t="shared" si="15"/>
        <v>0</v>
      </c>
      <c r="W29" s="16"/>
      <c r="X29" s="28">
        <f t="shared" si="16"/>
        <v>0</v>
      </c>
      <c r="Y29" s="16"/>
      <c r="Z29" s="28">
        <f t="shared" si="17"/>
        <v>0</v>
      </c>
      <c r="AA29" s="59">
        <f t="shared" si="20"/>
        <v>0</v>
      </c>
      <c r="AB29" s="60">
        <f t="shared" si="18"/>
        <v>0</v>
      </c>
      <c r="AC29" s="67">
        <f t="shared" si="1"/>
        <v>0</v>
      </c>
      <c r="AD29" s="68">
        <f t="shared" si="19"/>
        <v>0</v>
      </c>
      <c r="AE29" s="44">
        <f t="shared" si="2"/>
        <v>0</v>
      </c>
      <c r="AF29" s="21">
        <f t="shared" si="3"/>
        <v>0</v>
      </c>
      <c r="AW29" s="99"/>
      <c r="AX29" s="99"/>
    </row>
    <row r="30" spans="1:50">
      <c r="A30" s="3">
        <v>5609</v>
      </c>
      <c r="B30" s="3" t="s">
        <v>59</v>
      </c>
      <c r="C30" s="16"/>
      <c r="D30" s="28">
        <f t="shared" si="6"/>
        <v>0</v>
      </c>
      <c r="E30" s="16"/>
      <c r="F30" s="28">
        <f t="shared" si="7"/>
        <v>0</v>
      </c>
      <c r="G30" s="16"/>
      <c r="H30" s="28">
        <f t="shared" si="8"/>
        <v>0</v>
      </c>
      <c r="I30" s="16"/>
      <c r="J30" s="28">
        <f t="shared" si="9"/>
        <v>0</v>
      </c>
      <c r="K30" s="16"/>
      <c r="L30" s="28">
        <f t="shared" si="10"/>
        <v>0</v>
      </c>
      <c r="M30" s="16"/>
      <c r="N30" s="28">
        <f t="shared" si="11"/>
        <v>0</v>
      </c>
      <c r="O30" s="16"/>
      <c r="P30" s="28">
        <f t="shared" si="12"/>
        <v>0</v>
      </c>
      <c r="Q30" s="16"/>
      <c r="R30" s="28">
        <f t="shared" si="13"/>
        <v>0</v>
      </c>
      <c r="S30" s="16"/>
      <c r="T30" s="28">
        <f t="shared" si="14"/>
        <v>0</v>
      </c>
      <c r="U30" s="16"/>
      <c r="V30" s="28">
        <f t="shared" si="15"/>
        <v>0</v>
      </c>
      <c r="W30" s="16"/>
      <c r="X30" s="28">
        <f t="shared" si="16"/>
        <v>0</v>
      </c>
      <c r="Y30" s="16"/>
      <c r="Z30" s="28">
        <f t="shared" si="17"/>
        <v>0</v>
      </c>
      <c r="AA30" s="59">
        <f t="shared" si="20"/>
        <v>0</v>
      </c>
      <c r="AB30" s="60">
        <f t="shared" si="18"/>
        <v>0</v>
      </c>
      <c r="AC30" s="67">
        <f t="shared" si="1"/>
        <v>0</v>
      </c>
      <c r="AD30" s="68">
        <f t="shared" si="19"/>
        <v>0</v>
      </c>
      <c r="AE30" s="44">
        <f t="shared" si="2"/>
        <v>0</v>
      </c>
      <c r="AF30" s="21">
        <f t="shared" si="3"/>
        <v>0</v>
      </c>
      <c r="AW30" s="99"/>
      <c r="AX30" s="99"/>
    </row>
    <row r="31" spans="1:50">
      <c r="A31" s="3">
        <v>5610</v>
      </c>
      <c r="B31" s="3" t="s">
        <v>60</v>
      </c>
      <c r="C31" s="16"/>
      <c r="D31" s="28">
        <f t="shared" si="6"/>
        <v>0</v>
      </c>
      <c r="E31" s="16"/>
      <c r="F31" s="28">
        <f t="shared" si="7"/>
        <v>0</v>
      </c>
      <c r="G31" s="16"/>
      <c r="H31" s="28">
        <f t="shared" si="8"/>
        <v>0</v>
      </c>
      <c r="I31" s="16"/>
      <c r="J31" s="28">
        <f t="shared" si="9"/>
        <v>0</v>
      </c>
      <c r="K31" s="16"/>
      <c r="L31" s="28">
        <f t="shared" si="10"/>
        <v>0</v>
      </c>
      <c r="M31" s="16"/>
      <c r="N31" s="28">
        <f t="shared" si="11"/>
        <v>0</v>
      </c>
      <c r="O31" s="16"/>
      <c r="P31" s="28">
        <f t="shared" si="12"/>
        <v>0</v>
      </c>
      <c r="Q31" s="16"/>
      <c r="R31" s="28">
        <f t="shared" si="13"/>
        <v>0</v>
      </c>
      <c r="S31" s="16"/>
      <c r="T31" s="28">
        <f t="shared" si="14"/>
        <v>0</v>
      </c>
      <c r="U31" s="16"/>
      <c r="V31" s="28">
        <f t="shared" si="15"/>
        <v>0</v>
      </c>
      <c r="W31" s="16"/>
      <c r="X31" s="28">
        <f t="shared" si="16"/>
        <v>0</v>
      </c>
      <c r="Y31" s="16"/>
      <c r="Z31" s="28">
        <f t="shared" si="17"/>
        <v>0</v>
      </c>
      <c r="AA31" s="59">
        <f t="shared" si="20"/>
        <v>0</v>
      </c>
      <c r="AB31" s="60">
        <f t="shared" si="18"/>
        <v>0</v>
      </c>
      <c r="AC31" s="67">
        <f t="shared" si="1"/>
        <v>0</v>
      </c>
      <c r="AD31" s="68">
        <f t="shared" si="19"/>
        <v>0</v>
      </c>
      <c r="AE31" s="44">
        <f t="shared" si="2"/>
        <v>0</v>
      </c>
      <c r="AF31" s="21">
        <f t="shared" si="3"/>
        <v>0</v>
      </c>
      <c r="AW31" s="99"/>
      <c r="AX31" s="99"/>
    </row>
    <row r="32" spans="1:50">
      <c r="A32" s="3">
        <v>5611</v>
      </c>
      <c r="B32" s="3" t="s">
        <v>98</v>
      </c>
      <c r="C32" s="16"/>
      <c r="D32" s="28">
        <f t="shared" si="6"/>
        <v>0</v>
      </c>
      <c r="E32" s="16"/>
      <c r="F32" s="28">
        <f t="shared" si="7"/>
        <v>0</v>
      </c>
      <c r="G32" s="16"/>
      <c r="H32" s="28">
        <f t="shared" si="8"/>
        <v>0</v>
      </c>
      <c r="I32" s="16"/>
      <c r="J32" s="28">
        <f t="shared" si="9"/>
        <v>0</v>
      </c>
      <c r="K32" s="16"/>
      <c r="L32" s="28">
        <f t="shared" si="10"/>
        <v>0</v>
      </c>
      <c r="M32" s="16"/>
      <c r="N32" s="28">
        <f t="shared" si="11"/>
        <v>0</v>
      </c>
      <c r="O32" s="16"/>
      <c r="P32" s="28">
        <f t="shared" si="12"/>
        <v>0</v>
      </c>
      <c r="Q32" s="16"/>
      <c r="R32" s="28">
        <f t="shared" si="13"/>
        <v>0</v>
      </c>
      <c r="S32" s="16"/>
      <c r="T32" s="28">
        <f t="shared" si="14"/>
        <v>0</v>
      </c>
      <c r="U32" s="16"/>
      <c r="V32" s="28">
        <f t="shared" si="15"/>
        <v>0</v>
      </c>
      <c r="W32" s="16"/>
      <c r="X32" s="28">
        <f t="shared" si="16"/>
        <v>0</v>
      </c>
      <c r="Y32" s="16"/>
      <c r="Z32" s="28">
        <f t="shared" si="17"/>
        <v>0</v>
      </c>
      <c r="AA32" s="59">
        <f t="shared" si="20"/>
        <v>0</v>
      </c>
      <c r="AB32" s="60">
        <f t="shared" si="18"/>
        <v>0</v>
      </c>
      <c r="AC32" s="67">
        <f t="shared" si="1"/>
        <v>0</v>
      </c>
      <c r="AD32" s="68">
        <f t="shared" si="19"/>
        <v>0</v>
      </c>
      <c r="AE32" s="44">
        <f t="shared" si="2"/>
        <v>0</v>
      </c>
      <c r="AF32" s="21">
        <f t="shared" si="3"/>
        <v>0</v>
      </c>
      <c r="AW32" s="99"/>
      <c r="AX32" s="99"/>
    </row>
    <row r="33" spans="1:50">
      <c r="A33" s="3">
        <v>5612</v>
      </c>
      <c r="B33" s="3" t="s">
        <v>61</v>
      </c>
      <c r="C33" s="16"/>
      <c r="D33" s="28">
        <f t="shared" si="6"/>
        <v>0</v>
      </c>
      <c r="E33" s="16"/>
      <c r="F33" s="28">
        <f t="shared" si="7"/>
        <v>0</v>
      </c>
      <c r="G33" s="16"/>
      <c r="H33" s="28">
        <f t="shared" si="8"/>
        <v>0</v>
      </c>
      <c r="I33" s="16"/>
      <c r="J33" s="28">
        <f t="shared" si="9"/>
        <v>0</v>
      </c>
      <c r="K33" s="16"/>
      <c r="L33" s="28">
        <f t="shared" si="10"/>
        <v>0</v>
      </c>
      <c r="M33" s="16"/>
      <c r="N33" s="28">
        <f t="shared" si="11"/>
        <v>0</v>
      </c>
      <c r="O33" s="16"/>
      <c r="P33" s="28">
        <f t="shared" si="12"/>
        <v>0</v>
      </c>
      <c r="Q33" s="16"/>
      <c r="R33" s="28">
        <f t="shared" si="13"/>
        <v>0</v>
      </c>
      <c r="S33" s="16"/>
      <c r="T33" s="28">
        <f t="shared" si="14"/>
        <v>0</v>
      </c>
      <c r="U33" s="16"/>
      <c r="V33" s="28">
        <f t="shared" si="15"/>
        <v>0</v>
      </c>
      <c r="W33" s="16"/>
      <c r="X33" s="28">
        <f t="shared" si="16"/>
        <v>0</v>
      </c>
      <c r="Y33" s="16"/>
      <c r="Z33" s="28">
        <f t="shared" si="17"/>
        <v>0</v>
      </c>
      <c r="AA33" s="59">
        <f t="shared" si="20"/>
        <v>0</v>
      </c>
      <c r="AB33" s="60">
        <f t="shared" si="18"/>
        <v>0</v>
      </c>
      <c r="AC33" s="67">
        <f t="shared" si="1"/>
        <v>0</v>
      </c>
      <c r="AD33" s="68">
        <f t="shared" si="19"/>
        <v>0</v>
      </c>
      <c r="AE33" s="44">
        <f t="shared" si="2"/>
        <v>0</v>
      </c>
      <c r="AF33" s="21">
        <f t="shared" si="3"/>
        <v>0</v>
      </c>
      <c r="AW33" s="99"/>
      <c r="AX33" s="99"/>
    </row>
    <row r="34" spans="1:50">
      <c r="A34" s="3">
        <v>5613</v>
      </c>
      <c r="B34" s="3" t="s">
        <v>62</v>
      </c>
      <c r="C34" s="16"/>
      <c r="D34" s="28">
        <f t="shared" si="6"/>
        <v>0</v>
      </c>
      <c r="E34" s="16"/>
      <c r="F34" s="28">
        <f t="shared" si="7"/>
        <v>0</v>
      </c>
      <c r="G34" s="16"/>
      <c r="H34" s="28">
        <f t="shared" si="8"/>
        <v>0</v>
      </c>
      <c r="I34" s="16"/>
      <c r="J34" s="28">
        <f t="shared" si="9"/>
        <v>0</v>
      </c>
      <c r="K34" s="16"/>
      <c r="L34" s="28">
        <f t="shared" si="10"/>
        <v>0</v>
      </c>
      <c r="M34" s="16"/>
      <c r="N34" s="28">
        <f t="shared" si="11"/>
        <v>0</v>
      </c>
      <c r="O34" s="16"/>
      <c r="P34" s="28">
        <f t="shared" si="12"/>
        <v>0</v>
      </c>
      <c r="Q34" s="16"/>
      <c r="R34" s="28">
        <f t="shared" si="13"/>
        <v>0</v>
      </c>
      <c r="S34" s="16"/>
      <c r="T34" s="28">
        <f t="shared" si="14"/>
        <v>0</v>
      </c>
      <c r="U34" s="16"/>
      <c r="V34" s="28">
        <f t="shared" si="15"/>
        <v>0</v>
      </c>
      <c r="W34" s="16"/>
      <c r="X34" s="28">
        <f t="shared" si="16"/>
        <v>0</v>
      </c>
      <c r="Y34" s="16"/>
      <c r="Z34" s="28">
        <f t="shared" si="17"/>
        <v>0</v>
      </c>
      <c r="AA34" s="59">
        <f t="shared" si="20"/>
        <v>0</v>
      </c>
      <c r="AB34" s="60">
        <f t="shared" si="18"/>
        <v>0</v>
      </c>
      <c r="AC34" s="67">
        <f t="shared" si="1"/>
        <v>0</v>
      </c>
      <c r="AD34" s="68">
        <f t="shared" si="19"/>
        <v>0</v>
      </c>
      <c r="AE34" s="44">
        <f t="shared" si="2"/>
        <v>0</v>
      </c>
      <c r="AF34" s="21">
        <f t="shared" si="3"/>
        <v>0</v>
      </c>
      <c r="AW34" s="99"/>
      <c r="AX34" s="99"/>
    </row>
    <row r="35" spans="1:50">
      <c r="A35" s="34">
        <v>5699</v>
      </c>
      <c r="B35" s="34" t="s">
        <v>99</v>
      </c>
      <c r="C35" s="32">
        <f>SUM(C22:C34)</f>
        <v>0</v>
      </c>
      <c r="D35" s="53">
        <f t="shared" si="6"/>
        <v>0</v>
      </c>
      <c r="E35" s="32">
        <f>SUM(E22:E34)</f>
        <v>0</v>
      </c>
      <c r="F35" s="53">
        <f t="shared" si="7"/>
        <v>0</v>
      </c>
      <c r="G35" s="32">
        <f>SUM(G22:G34)</f>
        <v>0</v>
      </c>
      <c r="H35" s="53">
        <f t="shared" si="8"/>
        <v>0</v>
      </c>
      <c r="I35" s="32">
        <f>SUM(I22:I34)</f>
        <v>0</v>
      </c>
      <c r="J35" s="53">
        <f t="shared" si="9"/>
        <v>0</v>
      </c>
      <c r="K35" s="32">
        <f>SUM(K22:K34)</f>
        <v>0</v>
      </c>
      <c r="L35" s="53">
        <f t="shared" si="10"/>
        <v>0</v>
      </c>
      <c r="M35" s="32">
        <f>SUM(M22:M34)</f>
        <v>0</v>
      </c>
      <c r="N35" s="53">
        <f t="shared" si="11"/>
        <v>0</v>
      </c>
      <c r="O35" s="32">
        <f>SUM(O22:O34)</f>
        <v>0</v>
      </c>
      <c r="P35" s="53">
        <f t="shared" si="12"/>
        <v>0</v>
      </c>
      <c r="Q35" s="32">
        <f>SUM(Q22:Q34)</f>
        <v>0</v>
      </c>
      <c r="R35" s="53">
        <f t="shared" si="13"/>
        <v>0</v>
      </c>
      <c r="S35" s="32">
        <f>SUM(S22:S34)</f>
        <v>0</v>
      </c>
      <c r="T35" s="53">
        <f t="shared" si="14"/>
        <v>0</v>
      </c>
      <c r="U35" s="32">
        <f>SUM(U22:U34)</f>
        <v>0</v>
      </c>
      <c r="V35" s="53">
        <f t="shared" si="15"/>
        <v>0</v>
      </c>
      <c r="W35" s="32">
        <f>SUM(W22:W34)</f>
        <v>0</v>
      </c>
      <c r="X35" s="53">
        <f t="shared" si="16"/>
        <v>0</v>
      </c>
      <c r="Y35" s="32">
        <f>SUM(Y22:Y34)</f>
        <v>0</v>
      </c>
      <c r="Z35" s="53">
        <f t="shared" si="17"/>
        <v>0</v>
      </c>
      <c r="AA35" s="63">
        <f>SUM(AA22:AA34)</f>
        <v>0</v>
      </c>
      <c r="AB35" s="73">
        <f t="shared" si="18"/>
        <v>0</v>
      </c>
      <c r="AC35" s="70">
        <f t="shared" si="1"/>
        <v>0</v>
      </c>
      <c r="AD35" s="78">
        <f t="shared" si="19"/>
        <v>0</v>
      </c>
      <c r="AE35" s="44">
        <f t="shared" si="2"/>
        <v>0</v>
      </c>
      <c r="AF35" s="21">
        <f t="shared" si="3"/>
        <v>0</v>
      </c>
      <c r="AW35" s="99"/>
      <c r="AX35" s="99"/>
    </row>
    <row r="36" spans="1:50" ht="15.75" thickBot="1">
      <c r="A36" s="35">
        <v>5999</v>
      </c>
      <c r="B36" s="34" t="s">
        <v>100</v>
      </c>
      <c r="C36" s="32">
        <f>C21+C35</f>
        <v>0</v>
      </c>
      <c r="D36" s="53">
        <f t="shared" si="6"/>
        <v>0</v>
      </c>
      <c r="E36" s="32">
        <f>E21+E35</f>
        <v>0</v>
      </c>
      <c r="F36" s="53">
        <f t="shared" si="7"/>
        <v>0</v>
      </c>
      <c r="G36" s="32">
        <f>G21+G35</f>
        <v>0</v>
      </c>
      <c r="H36" s="53">
        <f t="shared" si="8"/>
        <v>0</v>
      </c>
      <c r="I36" s="32">
        <f>I21+I35</f>
        <v>0</v>
      </c>
      <c r="J36" s="53">
        <f t="shared" si="9"/>
        <v>0</v>
      </c>
      <c r="K36" s="32">
        <f>K21+K35</f>
        <v>0</v>
      </c>
      <c r="L36" s="53">
        <f t="shared" si="10"/>
        <v>0</v>
      </c>
      <c r="M36" s="32">
        <f>M21+M35</f>
        <v>0</v>
      </c>
      <c r="N36" s="53">
        <f t="shared" si="11"/>
        <v>0</v>
      </c>
      <c r="O36" s="32">
        <f>O21+O35</f>
        <v>0</v>
      </c>
      <c r="P36" s="53">
        <f t="shared" si="12"/>
        <v>0</v>
      </c>
      <c r="Q36" s="32">
        <f>Q21+Q35</f>
        <v>0</v>
      </c>
      <c r="R36" s="53">
        <f t="shared" si="13"/>
        <v>0</v>
      </c>
      <c r="S36" s="32">
        <f>S21+S35</f>
        <v>0</v>
      </c>
      <c r="T36" s="53">
        <f t="shared" si="14"/>
        <v>0</v>
      </c>
      <c r="U36" s="32">
        <f>U21+U35</f>
        <v>0</v>
      </c>
      <c r="V36" s="53">
        <f t="shared" si="15"/>
        <v>0</v>
      </c>
      <c r="W36" s="32">
        <f>W21+W35</f>
        <v>0</v>
      </c>
      <c r="X36" s="53">
        <f t="shared" si="16"/>
        <v>0</v>
      </c>
      <c r="Y36" s="32">
        <f>Y21+Y35</f>
        <v>0</v>
      </c>
      <c r="Z36" s="53">
        <f t="shared" si="17"/>
        <v>0</v>
      </c>
      <c r="AA36" s="63">
        <f>AA21+AA35</f>
        <v>0</v>
      </c>
      <c r="AB36" s="73">
        <f t="shared" si="18"/>
        <v>0</v>
      </c>
      <c r="AC36" s="70">
        <f t="shared" si="1"/>
        <v>0</v>
      </c>
      <c r="AD36" s="78">
        <f t="shared" si="19"/>
        <v>0</v>
      </c>
      <c r="AE36" s="44">
        <f t="shared" si="2"/>
        <v>0</v>
      </c>
      <c r="AF36" s="21">
        <f t="shared" si="3"/>
        <v>0</v>
      </c>
      <c r="AW36" s="99"/>
      <c r="AX36" s="99"/>
    </row>
    <row r="37" spans="1:50" ht="16.5" thickTop="1" thickBot="1">
      <c r="A37" s="36"/>
      <c r="B37" s="7" t="s">
        <v>68</v>
      </c>
      <c r="C37" s="18">
        <f>(C16-C36)</f>
        <v>0</v>
      </c>
      <c r="D37" s="47">
        <f t="shared" si="6"/>
        <v>0</v>
      </c>
      <c r="E37" s="18">
        <f>(E16-E36)</f>
        <v>0</v>
      </c>
      <c r="F37" s="47">
        <f t="shared" si="7"/>
        <v>0</v>
      </c>
      <c r="G37" s="18">
        <f>(G16-G36)</f>
        <v>0</v>
      </c>
      <c r="H37" s="47">
        <f t="shared" si="8"/>
        <v>0</v>
      </c>
      <c r="I37" s="18">
        <f>(I16-I36)</f>
        <v>0</v>
      </c>
      <c r="J37" s="47">
        <f t="shared" si="9"/>
        <v>0</v>
      </c>
      <c r="K37" s="18">
        <f>(K16-K36)</f>
        <v>0</v>
      </c>
      <c r="L37" s="47">
        <f t="shared" si="10"/>
        <v>0</v>
      </c>
      <c r="M37" s="18">
        <f>(M16-M36)</f>
        <v>0</v>
      </c>
      <c r="N37" s="47">
        <f t="shared" si="11"/>
        <v>0</v>
      </c>
      <c r="O37" s="18">
        <f>(O16-O36)</f>
        <v>0</v>
      </c>
      <c r="P37" s="47">
        <f t="shared" si="12"/>
        <v>0</v>
      </c>
      <c r="Q37" s="18">
        <f>(Q16-Q36)</f>
        <v>0</v>
      </c>
      <c r="R37" s="47">
        <f t="shared" si="13"/>
        <v>0</v>
      </c>
      <c r="S37" s="18">
        <f>(S16-S36)</f>
        <v>0</v>
      </c>
      <c r="T37" s="47">
        <f t="shared" si="14"/>
        <v>0</v>
      </c>
      <c r="U37" s="18">
        <f>(U16-U36)</f>
        <v>0</v>
      </c>
      <c r="V37" s="47">
        <f t="shared" si="15"/>
        <v>0</v>
      </c>
      <c r="W37" s="18">
        <f>(W16-W36)</f>
        <v>0</v>
      </c>
      <c r="X37" s="47">
        <f t="shared" si="16"/>
        <v>0</v>
      </c>
      <c r="Y37" s="18">
        <f>(Y16-Y36)</f>
        <v>0</v>
      </c>
      <c r="Z37" s="47">
        <f t="shared" si="17"/>
        <v>0</v>
      </c>
      <c r="AA37" s="61">
        <f>(AA16-AA36)</f>
        <v>0</v>
      </c>
      <c r="AB37" s="74">
        <f t="shared" si="18"/>
        <v>0</v>
      </c>
      <c r="AC37" s="24">
        <f t="shared" si="1"/>
        <v>0</v>
      </c>
      <c r="AD37" s="77">
        <f t="shared" si="19"/>
        <v>0</v>
      </c>
      <c r="AE37" s="44">
        <f t="shared" si="2"/>
        <v>0</v>
      </c>
      <c r="AF37" s="21">
        <f t="shared" si="3"/>
        <v>0</v>
      </c>
      <c r="AW37" s="99"/>
      <c r="AX37" s="99"/>
    </row>
    <row r="38" spans="1:50" ht="15.75" thickTop="1">
      <c r="A38" s="2">
        <v>6002</v>
      </c>
      <c r="B38" s="2" t="s">
        <v>45</v>
      </c>
      <c r="C38" s="16"/>
      <c r="D38" s="28"/>
      <c r="E38" s="16"/>
      <c r="F38" s="28"/>
      <c r="G38" s="16"/>
      <c r="H38" s="28"/>
      <c r="I38" s="16"/>
      <c r="J38" s="28"/>
      <c r="K38" s="16"/>
      <c r="L38" s="28"/>
      <c r="M38" s="16"/>
      <c r="N38" s="28"/>
      <c r="O38" s="16"/>
      <c r="P38" s="28"/>
      <c r="Q38" s="16"/>
      <c r="R38" s="28"/>
      <c r="S38" s="16"/>
      <c r="T38" s="28"/>
      <c r="U38" s="16"/>
      <c r="V38" s="28"/>
      <c r="W38" s="16"/>
      <c r="X38" s="28"/>
      <c r="Y38" s="16"/>
      <c r="Z38" s="28"/>
      <c r="AA38" s="59">
        <f t="shared" ref="AA38:AA40" si="21">C38+E38+G38+I38+K38+M38+O38+Q38+S38+U38+W38+Y38</f>
        <v>0</v>
      </c>
      <c r="AB38" s="60"/>
      <c r="AC38" s="67">
        <f t="shared" si="1"/>
        <v>0</v>
      </c>
      <c r="AD38" s="68"/>
      <c r="AE38" s="44">
        <f t="shared" si="2"/>
        <v>0</v>
      </c>
      <c r="AF38" s="21">
        <f t="shared" si="3"/>
        <v>0</v>
      </c>
      <c r="AW38" s="99"/>
      <c r="AX38" s="99"/>
    </row>
    <row r="39" spans="1:50">
      <c r="A39" s="2">
        <v>6003</v>
      </c>
      <c r="B39" s="2" t="s">
        <v>0</v>
      </c>
      <c r="C39" s="16">
        <v>36500</v>
      </c>
      <c r="D39" s="28">
        <f t="shared" ref="D39:D51" si="22">C39/C$145</f>
        <v>-2.6042777430613611</v>
      </c>
      <c r="E39" s="16">
        <v>36500</v>
      </c>
      <c r="F39" s="28">
        <f>E39/E$145</f>
        <v>-2.6042777430613611</v>
      </c>
      <c r="G39" s="16">
        <v>36500</v>
      </c>
      <c r="H39" s="28">
        <f>G39/G$145</f>
        <v>-2.6042777430613611</v>
      </c>
      <c r="I39" s="16">
        <v>36500</v>
      </c>
      <c r="J39" s="28">
        <f>I39/I$145</f>
        <v>-2.6042777430613611</v>
      </c>
      <c r="K39" s="16">
        <v>36500</v>
      </c>
      <c r="L39" s="28">
        <f>K39/K$145</f>
        <v>-2.6042777430613611</v>
      </c>
      <c r="M39" s="16">
        <v>36500</v>
      </c>
      <c r="N39" s="28">
        <f>M39/M$145</f>
        <v>-3.4015500381174539</v>
      </c>
      <c r="O39" s="16">
        <v>36500</v>
      </c>
      <c r="P39" s="28">
        <f>O39/O$145</f>
        <v>-4.1879880214017451</v>
      </c>
      <c r="Q39" s="16">
        <v>36500</v>
      </c>
      <c r="R39" s="28">
        <f>Q39/Q$145</f>
        <v>-2.6042777430613611</v>
      </c>
      <c r="S39" s="16">
        <v>36500</v>
      </c>
      <c r="T39" s="28">
        <f>S39/S$145</f>
        <v>-2.6042796012168155</v>
      </c>
      <c r="U39" s="16">
        <v>36500</v>
      </c>
      <c r="V39" s="28">
        <f>U39/U$145</f>
        <v>-2.6042777430613611</v>
      </c>
      <c r="W39" s="16">
        <v>36500</v>
      </c>
      <c r="X39" s="28">
        <f>W39/W$145</f>
        <v>-2.6042777430613611</v>
      </c>
      <c r="Y39" s="16">
        <v>36500</v>
      </c>
      <c r="Z39" s="28">
        <f>Y39/Y$145</f>
        <v>46.520650236418547</v>
      </c>
      <c r="AA39" s="59">
        <f t="shared" si="21"/>
        <v>438000</v>
      </c>
      <c r="AB39" s="60">
        <f>AA39/AA$145</f>
        <v>-3.0248657147648124</v>
      </c>
      <c r="AC39" s="67">
        <f t="shared" si="1"/>
        <v>36500</v>
      </c>
      <c r="AD39" s="68">
        <f>AC39/AC$145</f>
        <v>-3.0248657147648124</v>
      </c>
      <c r="AE39" s="44">
        <f t="shared" si="2"/>
        <v>438000</v>
      </c>
      <c r="AF39" s="21">
        <f t="shared" si="3"/>
        <v>0</v>
      </c>
      <c r="AG39" s="113">
        <v>36500</v>
      </c>
      <c r="AH39" s="1" t="s">
        <v>137</v>
      </c>
      <c r="AW39" s="99"/>
      <c r="AX39" s="99"/>
    </row>
    <row r="40" spans="1:50">
      <c r="A40" s="2">
        <v>6004</v>
      </c>
      <c r="B40" s="2" t="s">
        <v>1</v>
      </c>
      <c r="C40" s="16"/>
      <c r="D40" s="28">
        <f t="shared" si="22"/>
        <v>0</v>
      </c>
      <c r="E40" s="16"/>
      <c r="F40" s="28"/>
      <c r="G40" s="16"/>
      <c r="H40" s="28"/>
      <c r="I40" s="16"/>
      <c r="J40" s="28"/>
      <c r="K40" s="16"/>
      <c r="L40" s="28"/>
      <c r="M40" s="16"/>
      <c r="N40" s="28"/>
      <c r="O40" s="16"/>
      <c r="P40" s="28"/>
      <c r="Q40" s="16"/>
      <c r="R40" s="28"/>
      <c r="S40" s="16"/>
      <c r="T40" s="28"/>
      <c r="U40" s="16"/>
      <c r="V40" s="28"/>
      <c r="W40" s="16"/>
      <c r="X40" s="28"/>
      <c r="Y40" s="16"/>
      <c r="Z40" s="28"/>
      <c r="AA40" s="59">
        <f t="shared" si="21"/>
        <v>0</v>
      </c>
      <c r="AB40" s="60"/>
      <c r="AC40" s="67">
        <f t="shared" si="1"/>
        <v>0</v>
      </c>
      <c r="AD40" s="68"/>
      <c r="AE40" s="44">
        <f t="shared" si="2"/>
        <v>0</v>
      </c>
      <c r="AF40" s="21">
        <f t="shared" si="3"/>
        <v>0</v>
      </c>
      <c r="AW40" s="99"/>
      <c r="AX40" s="99"/>
    </row>
    <row r="41" spans="1:50" ht="15.75" thickBot="1">
      <c r="A41" s="37">
        <v>6099</v>
      </c>
      <c r="B41" s="37" t="s">
        <v>101</v>
      </c>
      <c r="C41" s="38">
        <f>SUM(C38:C40)</f>
        <v>36500</v>
      </c>
      <c r="D41" s="54">
        <f t="shared" si="22"/>
        <v>-2.6042777430613611</v>
      </c>
      <c r="E41" s="38">
        <f>SUM(E38:E40)</f>
        <v>36500</v>
      </c>
      <c r="F41" s="54">
        <f>E41/E$145</f>
        <v>-2.6042777430613611</v>
      </c>
      <c r="G41" s="38">
        <f>SUM(G38:G40)</f>
        <v>36500</v>
      </c>
      <c r="H41" s="54">
        <f>G41/G$145</f>
        <v>-2.6042777430613611</v>
      </c>
      <c r="I41" s="38">
        <f>SUM(I38:I40)</f>
        <v>36500</v>
      </c>
      <c r="J41" s="54">
        <f>I41/I$145</f>
        <v>-2.6042777430613611</v>
      </c>
      <c r="K41" s="38">
        <f>SUM(K38:K40)</f>
        <v>36500</v>
      </c>
      <c r="L41" s="54">
        <f>K41/K$145</f>
        <v>-2.6042777430613611</v>
      </c>
      <c r="M41" s="38">
        <f>SUM(M38:M40)</f>
        <v>36500</v>
      </c>
      <c r="N41" s="54">
        <f>M41/M$145</f>
        <v>-3.4015500381174539</v>
      </c>
      <c r="O41" s="38">
        <f>SUM(O38:O40)</f>
        <v>36500</v>
      </c>
      <c r="P41" s="54">
        <f>O41/O$145</f>
        <v>-4.1879880214017451</v>
      </c>
      <c r="Q41" s="38">
        <f>SUM(Q38:Q40)</f>
        <v>36500</v>
      </c>
      <c r="R41" s="54">
        <f>Q41/Q$145</f>
        <v>-2.6042777430613611</v>
      </c>
      <c r="S41" s="38">
        <f>SUM(S38:S40)</f>
        <v>36500</v>
      </c>
      <c r="T41" s="54">
        <f>S41/S$145</f>
        <v>-2.6042796012168155</v>
      </c>
      <c r="U41" s="38">
        <f>SUM(U38:U40)</f>
        <v>36500</v>
      </c>
      <c r="V41" s="54">
        <f>U41/U$145</f>
        <v>-2.6042777430613611</v>
      </c>
      <c r="W41" s="38">
        <f>SUM(W38:W40)</f>
        <v>36500</v>
      </c>
      <c r="X41" s="54">
        <f>W41/W$145</f>
        <v>-2.6042777430613611</v>
      </c>
      <c r="Y41" s="38">
        <f>SUM(Y38:Y40)</f>
        <v>36500</v>
      </c>
      <c r="Z41" s="54">
        <f>Y41/Y$145</f>
        <v>46.520650236418547</v>
      </c>
      <c r="AA41" s="61">
        <f>SUM(AA38:AA40)</f>
        <v>438000</v>
      </c>
      <c r="AB41" s="74">
        <f>AA41/AA$145</f>
        <v>-3.0248657147648124</v>
      </c>
      <c r="AC41" s="24">
        <f t="shared" si="1"/>
        <v>36500</v>
      </c>
      <c r="AD41" s="77">
        <f>AC41/AC$145</f>
        <v>-3.0248657147648124</v>
      </c>
      <c r="AE41" s="44">
        <f t="shared" si="2"/>
        <v>438000</v>
      </c>
      <c r="AF41" s="21">
        <f t="shared" si="3"/>
        <v>0</v>
      </c>
      <c r="AW41" s="99"/>
      <c r="AX41" s="99"/>
    </row>
    <row r="42" spans="1:50" ht="15.75" thickTop="1">
      <c r="A42" s="2">
        <v>6101</v>
      </c>
      <c r="B42" s="2" t="s">
        <v>2</v>
      </c>
      <c r="C42" s="16">
        <v>0</v>
      </c>
      <c r="D42" s="28">
        <f t="shared" si="22"/>
        <v>0</v>
      </c>
      <c r="E42" s="16">
        <v>0</v>
      </c>
      <c r="F42" s="28">
        <f>E42/E$145</f>
        <v>0</v>
      </c>
      <c r="G42" s="16">
        <v>0</v>
      </c>
      <c r="H42" s="28">
        <f>G42/G$145</f>
        <v>0</v>
      </c>
      <c r="I42" s="16">
        <v>0</v>
      </c>
      <c r="J42" s="28">
        <f>I42/I$145</f>
        <v>0</v>
      </c>
      <c r="K42" s="16">
        <v>0</v>
      </c>
      <c r="L42" s="28">
        <f>K42/K$145</f>
        <v>0</v>
      </c>
      <c r="M42" s="16">
        <v>0</v>
      </c>
      <c r="N42" s="28">
        <f>M42/M$145</f>
        <v>0</v>
      </c>
      <c r="O42" s="16">
        <v>0</v>
      </c>
      <c r="P42" s="28">
        <f>O42/O$145</f>
        <v>0</v>
      </c>
      <c r="Q42" s="16">
        <v>0</v>
      </c>
      <c r="R42" s="28">
        <f>Q42/Q$145</f>
        <v>0</v>
      </c>
      <c r="S42" s="16">
        <v>0</v>
      </c>
      <c r="T42" s="28">
        <f>S42/S$145</f>
        <v>0</v>
      </c>
      <c r="U42" s="16">
        <v>0</v>
      </c>
      <c r="V42" s="28">
        <f>U42/U$145</f>
        <v>0</v>
      </c>
      <c r="W42" s="16">
        <v>0</v>
      </c>
      <c r="X42" s="28">
        <f>W42/W$145</f>
        <v>0</v>
      </c>
      <c r="Y42" s="16">
        <v>0</v>
      </c>
      <c r="Z42" s="28">
        <f>Y42/Y$145</f>
        <v>0</v>
      </c>
      <c r="AA42" s="59">
        <f t="shared" ref="AA42:AA75" si="23">C42+E42+G42+I42+K42+M42+O42+Q42+S42+U42+W42+Y42</f>
        <v>0</v>
      </c>
      <c r="AB42" s="60">
        <f>AA42/AA$145</f>
        <v>0</v>
      </c>
      <c r="AC42" s="67">
        <f t="shared" si="1"/>
        <v>0</v>
      </c>
      <c r="AD42" s="68">
        <f>AC42/AC$145</f>
        <v>0</v>
      </c>
      <c r="AE42" s="44">
        <f t="shared" si="2"/>
        <v>0</v>
      </c>
      <c r="AF42" s="21">
        <f t="shared" si="3"/>
        <v>0</v>
      </c>
      <c r="AG42" s="113"/>
      <c r="AH42" s="1" t="s">
        <v>199</v>
      </c>
      <c r="AW42" s="99"/>
      <c r="AX42" s="99"/>
    </row>
    <row r="43" spans="1:50">
      <c r="A43" s="82">
        <v>6102</v>
      </c>
      <c r="B43" s="2" t="s">
        <v>3</v>
      </c>
      <c r="C43" s="19"/>
      <c r="D43" s="28">
        <f t="shared" si="22"/>
        <v>0</v>
      </c>
      <c r="E43" s="19"/>
      <c r="F43" s="28"/>
      <c r="G43" s="19"/>
      <c r="H43" s="28"/>
      <c r="I43" s="19">
        <v>0</v>
      </c>
      <c r="J43" s="28"/>
      <c r="K43" s="19"/>
      <c r="L43" s="28"/>
      <c r="M43" s="19"/>
      <c r="N43" s="28"/>
      <c r="O43" s="19"/>
      <c r="P43" s="28"/>
      <c r="Q43" s="19"/>
      <c r="R43" s="28"/>
      <c r="S43" s="19"/>
      <c r="T43" s="28"/>
      <c r="U43" s="19"/>
      <c r="V43" s="28"/>
      <c r="W43" s="19"/>
      <c r="X43" s="28"/>
      <c r="Y43" s="19"/>
      <c r="Z43" s="28"/>
      <c r="AA43" s="59">
        <f t="shared" si="23"/>
        <v>0</v>
      </c>
      <c r="AB43" s="60"/>
      <c r="AC43" s="67">
        <f t="shared" si="1"/>
        <v>0</v>
      </c>
      <c r="AD43" s="68"/>
      <c r="AE43" s="44">
        <f t="shared" si="2"/>
        <v>0</v>
      </c>
      <c r="AF43" s="21">
        <f t="shared" si="3"/>
        <v>0</v>
      </c>
      <c r="AG43" s="113"/>
      <c r="AW43" s="99"/>
      <c r="AX43" s="99"/>
    </row>
    <row r="44" spans="1:50">
      <c r="A44" s="2">
        <v>6103</v>
      </c>
      <c r="B44" s="2" t="s">
        <v>4</v>
      </c>
      <c r="C44" s="16"/>
      <c r="D44" s="28">
        <f t="shared" si="22"/>
        <v>0</v>
      </c>
      <c r="E44" s="16"/>
      <c r="F44" s="28"/>
      <c r="G44" s="16"/>
      <c r="H44" s="28"/>
      <c r="I44" s="16"/>
      <c r="J44" s="28"/>
      <c r="K44" s="16"/>
      <c r="L44" s="28"/>
      <c r="M44" s="16"/>
      <c r="N44" s="28"/>
      <c r="O44" s="16"/>
      <c r="P44" s="28"/>
      <c r="Q44" s="16"/>
      <c r="R44" s="28"/>
      <c r="S44" s="16"/>
      <c r="T44" s="28"/>
      <c r="U44" s="16"/>
      <c r="V44" s="28"/>
      <c r="W44" s="16"/>
      <c r="X44" s="28"/>
      <c r="Y44" s="16"/>
      <c r="Z44" s="28"/>
      <c r="AA44" s="59">
        <f t="shared" si="23"/>
        <v>0</v>
      </c>
      <c r="AB44" s="60"/>
      <c r="AC44" s="67">
        <f t="shared" si="1"/>
        <v>0</v>
      </c>
      <c r="AD44" s="68"/>
      <c r="AE44" s="44">
        <f t="shared" si="2"/>
        <v>0</v>
      </c>
      <c r="AF44" s="21">
        <f t="shared" si="3"/>
        <v>0</v>
      </c>
      <c r="AG44" s="113"/>
      <c r="AW44" s="99"/>
      <c r="AX44" s="99"/>
    </row>
    <row r="45" spans="1:50">
      <c r="A45" s="2">
        <v>6104</v>
      </c>
      <c r="B45" s="2" t="s">
        <v>5</v>
      </c>
      <c r="C45" s="19">
        <v>0</v>
      </c>
      <c r="D45" s="28">
        <f t="shared" si="22"/>
        <v>0</v>
      </c>
      <c r="E45" s="19">
        <v>0</v>
      </c>
      <c r="F45" s="28">
        <f t="shared" ref="F45:F51" si="24">E45/E$145</f>
        <v>0</v>
      </c>
      <c r="G45" s="19">
        <v>0</v>
      </c>
      <c r="H45" s="28">
        <f t="shared" ref="H45:H51" si="25">G45/G$145</f>
        <v>0</v>
      </c>
      <c r="I45" s="19">
        <v>0</v>
      </c>
      <c r="J45" s="28">
        <f t="shared" ref="J45:J51" si="26">I45/I$145</f>
        <v>0</v>
      </c>
      <c r="K45" s="19">
        <v>0</v>
      </c>
      <c r="L45" s="28">
        <f t="shared" ref="L45:L51" si="27">K45/K$145</f>
        <v>0</v>
      </c>
      <c r="M45" s="19">
        <v>0</v>
      </c>
      <c r="N45" s="28">
        <f t="shared" ref="N45:N53" si="28">M45/M$145</f>
        <v>0</v>
      </c>
      <c r="O45" s="19">
        <v>0</v>
      </c>
      <c r="P45" s="28">
        <f t="shared" ref="P45:P51" si="29">O45/O$145</f>
        <v>0</v>
      </c>
      <c r="Q45" s="19">
        <v>0</v>
      </c>
      <c r="R45" s="28">
        <f t="shared" ref="R45:R51" si="30">Q45/Q$145</f>
        <v>0</v>
      </c>
      <c r="S45" s="19">
        <v>0</v>
      </c>
      <c r="T45" s="28">
        <f t="shared" ref="T45:T51" si="31">S45/S$145</f>
        <v>0</v>
      </c>
      <c r="U45" s="19">
        <v>0</v>
      </c>
      <c r="V45" s="28">
        <f t="shared" ref="V45:V51" si="32">U45/U$145</f>
        <v>0</v>
      </c>
      <c r="W45" s="19">
        <v>0</v>
      </c>
      <c r="X45" s="28">
        <f t="shared" ref="X45:X51" si="33">W45/W$145</f>
        <v>0</v>
      </c>
      <c r="Y45" s="19">
        <v>0</v>
      </c>
      <c r="Z45" s="28">
        <f t="shared" ref="Z45:Z51" si="34">Y45/Y$145</f>
        <v>0</v>
      </c>
      <c r="AA45" s="59">
        <f t="shared" si="23"/>
        <v>0</v>
      </c>
      <c r="AB45" s="60">
        <f t="shared" ref="AB45:AB51" si="35">AA45/AA$145</f>
        <v>0</v>
      </c>
      <c r="AC45" s="67">
        <f t="shared" si="1"/>
        <v>0</v>
      </c>
      <c r="AD45" s="68">
        <f t="shared" ref="AD45:AD51" si="36">AC45/AC$145</f>
        <v>0</v>
      </c>
      <c r="AE45" s="44">
        <f t="shared" si="2"/>
        <v>0</v>
      </c>
      <c r="AF45" s="21">
        <f t="shared" si="3"/>
        <v>0</v>
      </c>
      <c r="AG45" s="113">
        <v>9717</v>
      </c>
      <c r="AW45" s="99"/>
      <c r="AX45" s="99"/>
    </row>
    <row r="46" spans="1:50">
      <c r="A46" s="2">
        <v>6105</v>
      </c>
      <c r="B46" s="2" t="s">
        <v>39</v>
      </c>
      <c r="C46" s="19"/>
      <c r="D46" s="28">
        <f t="shared" si="22"/>
        <v>0</v>
      </c>
      <c r="E46" s="19"/>
      <c r="F46" s="28">
        <f t="shared" si="24"/>
        <v>0</v>
      </c>
      <c r="G46" s="19"/>
      <c r="H46" s="28">
        <f t="shared" si="25"/>
        <v>0</v>
      </c>
      <c r="I46" s="19"/>
      <c r="J46" s="28">
        <f t="shared" si="26"/>
        <v>0</v>
      </c>
      <c r="K46" s="19"/>
      <c r="L46" s="28">
        <f t="shared" si="27"/>
        <v>0</v>
      </c>
      <c r="M46" s="19"/>
      <c r="N46" s="28">
        <f t="shared" si="28"/>
        <v>0</v>
      </c>
      <c r="O46" s="19"/>
      <c r="P46" s="28">
        <f t="shared" si="29"/>
        <v>0</v>
      </c>
      <c r="Q46" s="19"/>
      <c r="R46" s="28">
        <f t="shared" si="30"/>
        <v>0</v>
      </c>
      <c r="S46" s="19"/>
      <c r="T46" s="28">
        <f t="shared" si="31"/>
        <v>0</v>
      </c>
      <c r="U46" s="19"/>
      <c r="V46" s="28">
        <f t="shared" si="32"/>
        <v>0</v>
      </c>
      <c r="W46" s="19"/>
      <c r="X46" s="28">
        <f t="shared" si="33"/>
        <v>0</v>
      </c>
      <c r="Y46" s="19"/>
      <c r="Z46" s="28">
        <f t="shared" si="34"/>
        <v>0</v>
      </c>
      <c r="AA46" s="59">
        <f t="shared" si="23"/>
        <v>0</v>
      </c>
      <c r="AB46" s="60">
        <f t="shared" si="35"/>
        <v>0</v>
      </c>
      <c r="AC46" s="67">
        <f t="shared" si="1"/>
        <v>0</v>
      </c>
      <c r="AD46" s="68">
        <f t="shared" si="36"/>
        <v>0</v>
      </c>
      <c r="AE46" s="44">
        <f t="shared" si="2"/>
        <v>0</v>
      </c>
      <c r="AF46" s="21">
        <f t="shared" si="3"/>
        <v>0</v>
      </c>
      <c r="AW46" s="99"/>
      <c r="AX46" s="99"/>
    </row>
    <row r="47" spans="1:50">
      <c r="A47" s="2">
        <v>6106</v>
      </c>
      <c r="B47" s="2" t="s">
        <v>6</v>
      </c>
      <c r="C47" s="19">
        <v>5000</v>
      </c>
      <c r="D47" s="28">
        <f t="shared" si="22"/>
        <v>-0.35675037576183027</v>
      </c>
      <c r="E47" s="19">
        <v>5000</v>
      </c>
      <c r="F47" s="28">
        <f t="shared" si="24"/>
        <v>-0.35675037576183027</v>
      </c>
      <c r="G47" s="19">
        <v>5000</v>
      </c>
      <c r="H47" s="28">
        <f t="shared" si="25"/>
        <v>-0.35675037576183027</v>
      </c>
      <c r="I47" s="19">
        <v>5000</v>
      </c>
      <c r="J47" s="28">
        <f t="shared" si="26"/>
        <v>-0.35675037576183027</v>
      </c>
      <c r="K47" s="19">
        <v>5000</v>
      </c>
      <c r="L47" s="28">
        <f t="shared" si="27"/>
        <v>-0.35675037576183027</v>
      </c>
      <c r="M47" s="19">
        <v>5000</v>
      </c>
      <c r="N47" s="28">
        <f t="shared" si="28"/>
        <v>-0.46596575864622658</v>
      </c>
      <c r="O47" s="19">
        <v>5000</v>
      </c>
      <c r="P47" s="28">
        <f t="shared" si="29"/>
        <v>-0.57369698923311574</v>
      </c>
      <c r="Q47" s="19">
        <v>5000</v>
      </c>
      <c r="R47" s="28">
        <f t="shared" si="30"/>
        <v>-0.35675037576183027</v>
      </c>
      <c r="S47" s="19">
        <v>5000</v>
      </c>
      <c r="T47" s="28">
        <f t="shared" si="31"/>
        <v>-0.35675063030367338</v>
      </c>
      <c r="U47" s="19">
        <v>5000</v>
      </c>
      <c r="V47" s="28">
        <f t="shared" si="32"/>
        <v>-0.35675037576183027</v>
      </c>
      <c r="W47" s="19">
        <v>5000</v>
      </c>
      <c r="X47" s="28">
        <f t="shared" si="33"/>
        <v>-0.35675037576183027</v>
      </c>
      <c r="Y47" s="19">
        <v>5000</v>
      </c>
      <c r="Z47" s="28">
        <f t="shared" si="34"/>
        <v>6.3726918132080197</v>
      </c>
      <c r="AA47" s="59">
        <f t="shared" si="23"/>
        <v>60000</v>
      </c>
      <c r="AB47" s="60">
        <f t="shared" si="35"/>
        <v>-0.41436516640613869</v>
      </c>
      <c r="AC47" s="67">
        <f t="shared" si="1"/>
        <v>5000</v>
      </c>
      <c r="AD47" s="68">
        <f t="shared" si="36"/>
        <v>-0.41436516640613869</v>
      </c>
      <c r="AE47" s="44">
        <f t="shared" si="2"/>
        <v>60000</v>
      </c>
      <c r="AF47" s="21">
        <f t="shared" si="3"/>
        <v>0</v>
      </c>
      <c r="AG47" s="113">
        <v>9473</v>
      </c>
      <c r="AH47" s="104" t="s">
        <v>241</v>
      </c>
      <c r="AI47" s="102"/>
      <c r="AW47" s="99"/>
      <c r="AX47" s="99"/>
    </row>
    <row r="48" spans="1:50">
      <c r="A48" s="2">
        <v>6107</v>
      </c>
      <c r="B48" s="2" t="s">
        <v>7</v>
      </c>
      <c r="C48" s="19">
        <v>3000</v>
      </c>
      <c r="D48" s="28">
        <f t="shared" si="22"/>
        <v>-0.21405022545709818</v>
      </c>
      <c r="E48" s="19">
        <v>3000</v>
      </c>
      <c r="F48" s="28">
        <f t="shared" si="24"/>
        <v>-0.21405022545709818</v>
      </c>
      <c r="G48" s="19">
        <v>3000</v>
      </c>
      <c r="H48" s="28">
        <f t="shared" si="25"/>
        <v>-0.21405022545709818</v>
      </c>
      <c r="I48" s="19">
        <v>3000</v>
      </c>
      <c r="J48" s="28">
        <f t="shared" si="26"/>
        <v>-0.21405022545709818</v>
      </c>
      <c r="K48" s="19">
        <v>3000</v>
      </c>
      <c r="L48" s="28">
        <f t="shared" si="27"/>
        <v>-0.21405022545709818</v>
      </c>
      <c r="M48" s="19">
        <v>3000</v>
      </c>
      <c r="N48" s="28">
        <f t="shared" si="28"/>
        <v>-0.27957945518773597</v>
      </c>
      <c r="O48" s="19">
        <v>3000</v>
      </c>
      <c r="P48" s="28">
        <f t="shared" si="29"/>
        <v>-0.34421819353986943</v>
      </c>
      <c r="Q48" s="19">
        <v>3000</v>
      </c>
      <c r="R48" s="28">
        <f t="shared" si="30"/>
        <v>-0.21405022545709818</v>
      </c>
      <c r="S48" s="19">
        <v>3000</v>
      </c>
      <c r="T48" s="28">
        <f t="shared" si="31"/>
        <v>-0.21405037818220402</v>
      </c>
      <c r="U48" s="19">
        <v>3000</v>
      </c>
      <c r="V48" s="28">
        <f t="shared" si="32"/>
        <v>-0.21405022545709818</v>
      </c>
      <c r="W48" s="19">
        <v>3000</v>
      </c>
      <c r="X48" s="28">
        <f t="shared" si="33"/>
        <v>-0.21405022545709818</v>
      </c>
      <c r="Y48" s="19">
        <v>3000</v>
      </c>
      <c r="Z48" s="28">
        <f t="shared" si="34"/>
        <v>3.8236150879248116</v>
      </c>
      <c r="AA48" s="59">
        <f t="shared" si="23"/>
        <v>36000</v>
      </c>
      <c r="AB48" s="60">
        <f t="shared" si="35"/>
        <v>-0.24861909984368322</v>
      </c>
      <c r="AC48" s="67">
        <f t="shared" si="1"/>
        <v>3000</v>
      </c>
      <c r="AD48" s="68">
        <f t="shared" si="36"/>
        <v>-0.24861909984368319</v>
      </c>
      <c r="AE48" s="44">
        <f t="shared" si="2"/>
        <v>36000</v>
      </c>
      <c r="AF48" s="21">
        <f t="shared" si="3"/>
        <v>0</v>
      </c>
      <c r="AG48" s="113">
        <v>4790</v>
      </c>
      <c r="AH48" s="104" t="s">
        <v>242</v>
      </c>
      <c r="AI48" s="102"/>
      <c r="AW48" s="99"/>
      <c r="AX48" s="99"/>
    </row>
    <row r="49" spans="1:50">
      <c r="A49" s="2">
        <v>6108</v>
      </c>
      <c r="B49" s="2" t="s">
        <v>8</v>
      </c>
      <c r="C49" s="19">
        <v>7000</v>
      </c>
      <c r="D49" s="28">
        <f t="shared" si="22"/>
        <v>-0.49945052606656243</v>
      </c>
      <c r="E49" s="19">
        <v>7000</v>
      </c>
      <c r="F49" s="28">
        <f t="shared" si="24"/>
        <v>-0.49945052606656243</v>
      </c>
      <c r="G49" s="19">
        <v>7000</v>
      </c>
      <c r="H49" s="28">
        <f t="shared" si="25"/>
        <v>-0.49945052606656243</v>
      </c>
      <c r="I49" s="19">
        <v>7000</v>
      </c>
      <c r="J49" s="28">
        <f t="shared" si="26"/>
        <v>-0.49945052606656243</v>
      </c>
      <c r="K49" s="19">
        <v>7000</v>
      </c>
      <c r="L49" s="28">
        <f t="shared" si="27"/>
        <v>-0.49945052606656243</v>
      </c>
      <c r="M49" s="19">
        <v>7000</v>
      </c>
      <c r="N49" s="28">
        <f t="shared" si="28"/>
        <v>-0.65235206210471719</v>
      </c>
      <c r="O49" s="19">
        <v>7000</v>
      </c>
      <c r="P49" s="28">
        <f t="shared" si="29"/>
        <v>-0.80317578492636199</v>
      </c>
      <c r="Q49" s="19">
        <v>7000</v>
      </c>
      <c r="R49" s="28">
        <f t="shared" si="30"/>
        <v>-0.49945052606656243</v>
      </c>
      <c r="S49" s="19">
        <v>7000</v>
      </c>
      <c r="T49" s="28">
        <f t="shared" si="31"/>
        <v>-0.49945088242514268</v>
      </c>
      <c r="U49" s="19">
        <v>7000</v>
      </c>
      <c r="V49" s="28">
        <f t="shared" si="32"/>
        <v>-0.49945052606656243</v>
      </c>
      <c r="W49" s="19">
        <v>7000</v>
      </c>
      <c r="X49" s="28">
        <f t="shared" si="33"/>
        <v>-0.49945052606656243</v>
      </c>
      <c r="Y49" s="19">
        <v>7000</v>
      </c>
      <c r="Z49" s="28">
        <f t="shared" si="34"/>
        <v>8.9217685384912269</v>
      </c>
      <c r="AA49" s="59">
        <f t="shared" si="23"/>
        <v>84000</v>
      </c>
      <c r="AB49" s="60">
        <f t="shared" si="35"/>
        <v>-0.58011123296859413</v>
      </c>
      <c r="AC49" s="67">
        <f t="shared" si="1"/>
        <v>7000</v>
      </c>
      <c r="AD49" s="68">
        <f t="shared" si="36"/>
        <v>-0.58011123296859413</v>
      </c>
      <c r="AE49" s="44">
        <f t="shared" si="2"/>
        <v>84000</v>
      </c>
      <c r="AF49" s="21">
        <f t="shared" si="3"/>
        <v>0</v>
      </c>
      <c r="AG49" s="113">
        <v>17500</v>
      </c>
      <c r="AH49" s="104" t="s">
        <v>231</v>
      </c>
      <c r="AW49" s="99"/>
      <c r="AX49" s="99"/>
    </row>
    <row r="50" spans="1:50">
      <c r="A50" s="82">
        <v>6109</v>
      </c>
      <c r="B50" s="82" t="s">
        <v>79</v>
      </c>
      <c r="C50" s="19">
        <v>500</v>
      </c>
      <c r="D50" s="28">
        <f t="shared" si="22"/>
        <v>-3.5675037576183032E-2</v>
      </c>
      <c r="E50" s="19">
        <v>500</v>
      </c>
      <c r="F50" s="28">
        <f t="shared" si="24"/>
        <v>-3.5675037576183032E-2</v>
      </c>
      <c r="G50" s="19">
        <v>500</v>
      </c>
      <c r="H50" s="28">
        <f t="shared" si="25"/>
        <v>-3.5675037576183032E-2</v>
      </c>
      <c r="I50" s="19">
        <v>500</v>
      </c>
      <c r="J50" s="28">
        <f t="shared" si="26"/>
        <v>-3.5675037576183032E-2</v>
      </c>
      <c r="K50" s="19">
        <v>500</v>
      </c>
      <c r="L50" s="28">
        <f t="shared" si="27"/>
        <v>-3.5675037576183032E-2</v>
      </c>
      <c r="M50" s="19">
        <v>500</v>
      </c>
      <c r="N50" s="28">
        <f t="shared" si="28"/>
        <v>-4.6596575864622659E-2</v>
      </c>
      <c r="O50" s="19">
        <v>500</v>
      </c>
      <c r="P50" s="28">
        <f t="shared" si="29"/>
        <v>-5.736969892331157E-2</v>
      </c>
      <c r="Q50" s="19">
        <v>500</v>
      </c>
      <c r="R50" s="28">
        <f t="shared" si="30"/>
        <v>-3.5675037576183032E-2</v>
      </c>
      <c r="S50" s="19">
        <v>500</v>
      </c>
      <c r="T50" s="28">
        <f t="shared" si="31"/>
        <v>-3.5675063030367334E-2</v>
      </c>
      <c r="U50" s="19">
        <v>500</v>
      </c>
      <c r="V50" s="28">
        <f t="shared" si="32"/>
        <v>-3.5675037576183032E-2</v>
      </c>
      <c r="W50" s="19">
        <v>500</v>
      </c>
      <c r="X50" s="28">
        <f t="shared" si="33"/>
        <v>-3.5675037576183032E-2</v>
      </c>
      <c r="Y50" s="19">
        <v>500</v>
      </c>
      <c r="Z50" s="28">
        <f t="shared" si="34"/>
        <v>0.63726918132080201</v>
      </c>
      <c r="AA50" s="59">
        <f t="shared" si="23"/>
        <v>6000</v>
      </c>
      <c r="AB50" s="60">
        <f t="shared" si="35"/>
        <v>-4.1436516640613867E-2</v>
      </c>
      <c r="AC50" s="67">
        <f t="shared" si="1"/>
        <v>500</v>
      </c>
      <c r="AD50" s="68">
        <f t="shared" si="36"/>
        <v>-4.1436516640613867E-2</v>
      </c>
      <c r="AE50" s="44">
        <f t="shared" si="2"/>
        <v>6000</v>
      </c>
      <c r="AF50" s="21">
        <f t="shared" si="3"/>
        <v>0</v>
      </c>
      <c r="AG50" s="113">
        <v>100</v>
      </c>
      <c r="AH50" s="104"/>
      <c r="AW50" s="99"/>
      <c r="AX50" s="99"/>
    </row>
    <row r="51" spans="1:50">
      <c r="A51" s="2">
        <v>6110</v>
      </c>
      <c r="B51" s="2" t="s">
        <v>9</v>
      </c>
      <c r="C51" s="19">
        <v>1200</v>
      </c>
      <c r="D51" s="28">
        <f t="shared" si="22"/>
        <v>-8.5620090182839267E-2</v>
      </c>
      <c r="E51" s="19">
        <v>1200</v>
      </c>
      <c r="F51" s="28">
        <f t="shared" si="24"/>
        <v>-8.5620090182839267E-2</v>
      </c>
      <c r="G51" s="19">
        <v>1200</v>
      </c>
      <c r="H51" s="28">
        <f t="shared" si="25"/>
        <v>-8.5620090182839267E-2</v>
      </c>
      <c r="I51" s="19">
        <v>1200</v>
      </c>
      <c r="J51" s="28">
        <f t="shared" si="26"/>
        <v>-8.5620090182839267E-2</v>
      </c>
      <c r="K51" s="19">
        <v>1200</v>
      </c>
      <c r="L51" s="28">
        <f t="shared" si="27"/>
        <v>-8.5620090182839267E-2</v>
      </c>
      <c r="M51" s="19">
        <v>1200</v>
      </c>
      <c r="N51" s="28">
        <f t="shared" si="28"/>
        <v>-0.11183178207509438</v>
      </c>
      <c r="O51" s="19">
        <v>1200</v>
      </c>
      <c r="P51" s="28">
        <f t="shared" si="29"/>
        <v>-0.13768727741594777</v>
      </c>
      <c r="Q51" s="19">
        <v>1200</v>
      </c>
      <c r="R51" s="28">
        <f t="shared" si="30"/>
        <v>-8.5620090182839267E-2</v>
      </c>
      <c r="S51" s="19">
        <v>1200</v>
      </c>
      <c r="T51" s="28">
        <f t="shared" si="31"/>
        <v>-8.5620151272881612E-2</v>
      </c>
      <c r="U51" s="19">
        <v>1200</v>
      </c>
      <c r="V51" s="28">
        <f t="shared" si="32"/>
        <v>-8.5620090182839267E-2</v>
      </c>
      <c r="W51" s="19">
        <v>1200</v>
      </c>
      <c r="X51" s="28">
        <f t="shared" si="33"/>
        <v>-8.5620090182839267E-2</v>
      </c>
      <c r="Y51" s="19">
        <v>1200</v>
      </c>
      <c r="Z51" s="28">
        <f t="shared" si="34"/>
        <v>1.5294460351699248</v>
      </c>
      <c r="AA51" s="59">
        <f t="shared" si="23"/>
        <v>14400</v>
      </c>
      <c r="AB51" s="60">
        <f t="shared" si="35"/>
        <v>-9.9447639937473284E-2</v>
      </c>
      <c r="AC51" s="67">
        <f t="shared" si="1"/>
        <v>1200</v>
      </c>
      <c r="AD51" s="68">
        <f t="shared" si="36"/>
        <v>-9.9447639937473284E-2</v>
      </c>
      <c r="AE51" s="44">
        <f t="shared" si="2"/>
        <v>14400</v>
      </c>
      <c r="AF51" s="21">
        <f t="shared" si="3"/>
        <v>0</v>
      </c>
      <c r="AG51" s="113">
        <v>1131</v>
      </c>
      <c r="AH51" s="104" t="s">
        <v>232</v>
      </c>
      <c r="AW51" s="99"/>
      <c r="AX51" s="99"/>
    </row>
    <row r="52" spans="1:50">
      <c r="A52" s="2">
        <v>6111</v>
      </c>
      <c r="B52" s="2" t="s">
        <v>10</v>
      </c>
      <c r="C52" s="16"/>
      <c r="D52" s="28"/>
      <c r="E52" s="16"/>
      <c r="F52" s="28"/>
      <c r="G52" s="16"/>
      <c r="H52" s="28"/>
      <c r="I52" s="16"/>
      <c r="J52" s="28"/>
      <c r="K52" s="16"/>
      <c r="L52" s="28"/>
      <c r="M52" s="16">
        <v>0</v>
      </c>
      <c r="N52" s="28">
        <f t="shared" si="28"/>
        <v>0</v>
      </c>
      <c r="O52" s="16"/>
      <c r="P52" s="28"/>
      <c r="Q52" s="16"/>
      <c r="R52" s="28"/>
      <c r="S52" s="16"/>
      <c r="T52" s="28"/>
      <c r="U52" s="16"/>
      <c r="V52" s="28"/>
      <c r="W52" s="16"/>
      <c r="X52" s="28"/>
      <c r="Y52" s="16"/>
      <c r="Z52" s="28"/>
      <c r="AA52" s="59">
        <f t="shared" si="23"/>
        <v>0</v>
      </c>
      <c r="AB52" s="60"/>
      <c r="AC52" s="67">
        <f t="shared" si="1"/>
        <v>0</v>
      </c>
      <c r="AD52" s="68"/>
      <c r="AE52" s="44">
        <f t="shared" si="2"/>
        <v>0</v>
      </c>
      <c r="AF52" s="21">
        <f t="shared" si="3"/>
        <v>0</v>
      </c>
      <c r="AG52" s="113"/>
      <c r="AW52" s="99"/>
      <c r="AX52" s="99"/>
    </row>
    <row r="53" spans="1:50">
      <c r="A53" s="2">
        <v>6112</v>
      </c>
      <c r="B53" s="2" t="s">
        <v>11</v>
      </c>
      <c r="C53" s="16"/>
      <c r="D53" s="28"/>
      <c r="E53" s="16"/>
      <c r="F53" s="28"/>
      <c r="G53" s="16">
        <v>0</v>
      </c>
      <c r="H53" s="28"/>
      <c r="I53" s="16">
        <v>0</v>
      </c>
      <c r="J53" s="28"/>
      <c r="K53" s="16">
        <v>0</v>
      </c>
      <c r="L53" s="28"/>
      <c r="M53" s="16">
        <v>0</v>
      </c>
      <c r="N53" s="28">
        <f t="shared" si="28"/>
        <v>0</v>
      </c>
      <c r="O53" s="16"/>
      <c r="P53" s="28"/>
      <c r="Q53" s="16"/>
      <c r="R53" s="28"/>
      <c r="S53" s="16"/>
      <c r="T53" s="28"/>
      <c r="U53" s="16"/>
      <c r="V53" s="28"/>
      <c r="W53" s="16"/>
      <c r="X53" s="28"/>
      <c r="Y53" s="16"/>
      <c r="Z53" s="28"/>
      <c r="AA53" s="59">
        <f t="shared" si="23"/>
        <v>0</v>
      </c>
      <c r="AB53" s="60"/>
      <c r="AC53" s="67">
        <f t="shared" si="1"/>
        <v>0</v>
      </c>
      <c r="AD53" s="68"/>
      <c r="AE53" s="44">
        <f t="shared" si="2"/>
        <v>0</v>
      </c>
      <c r="AF53" s="21">
        <f t="shared" si="3"/>
        <v>0</v>
      </c>
      <c r="AG53" s="113"/>
      <c r="AW53" s="99"/>
      <c r="AX53" s="99"/>
    </row>
    <row r="54" spans="1:50">
      <c r="A54" s="2">
        <v>6113</v>
      </c>
      <c r="B54" s="2" t="s">
        <v>12</v>
      </c>
      <c r="C54" s="16"/>
      <c r="D54" s="28"/>
      <c r="E54" s="16"/>
      <c r="F54" s="28"/>
      <c r="G54" s="16"/>
      <c r="H54" s="28"/>
      <c r="I54" s="16"/>
      <c r="J54" s="28"/>
      <c r="K54" s="16"/>
      <c r="L54" s="28"/>
      <c r="M54" s="16"/>
      <c r="N54" s="28"/>
      <c r="O54" s="16"/>
      <c r="P54" s="28"/>
      <c r="Q54" s="16"/>
      <c r="R54" s="28"/>
      <c r="S54" s="16"/>
      <c r="T54" s="28"/>
      <c r="U54" s="16"/>
      <c r="V54" s="28"/>
      <c r="W54" s="16"/>
      <c r="X54" s="28"/>
      <c r="Y54" s="16"/>
      <c r="Z54" s="28"/>
      <c r="AA54" s="59">
        <f t="shared" si="23"/>
        <v>0</v>
      </c>
      <c r="AB54" s="60"/>
      <c r="AC54" s="67">
        <f t="shared" si="1"/>
        <v>0</v>
      </c>
      <c r="AD54" s="68"/>
      <c r="AE54" s="44">
        <f t="shared" si="2"/>
        <v>0</v>
      </c>
      <c r="AF54" s="21">
        <f t="shared" si="3"/>
        <v>0</v>
      </c>
      <c r="AG54" s="113"/>
      <c r="AW54" s="99"/>
      <c r="AX54" s="99"/>
    </row>
    <row r="55" spans="1:50">
      <c r="A55" s="2">
        <v>6114</v>
      </c>
      <c r="B55" s="2" t="s">
        <v>88</v>
      </c>
      <c r="C55" s="19">
        <v>0</v>
      </c>
      <c r="D55" s="28">
        <f t="shared" ref="D55:D62" si="37">C55/C$145</f>
        <v>0</v>
      </c>
      <c r="E55" s="19">
        <v>0</v>
      </c>
      <c r="F55" s="28">
        <f t="shared" ref="F55:F62" si="38">E55/E$145</f>
        <v>0</v>
      </c>
      <c r="G55" s="19">
        <v>0</v>
      </c>
      <c r="H55" s="28">
        <f t="shared" ref="H55:H62" si="39">G55/G$145</f>
        <v>0</v>
      </c>
      <c r="I55" s="19">
        <v>0</v>
      </c>
      <c r="J55" s="28">
        <f t="shared" ref="J55:J62" si="40">I55/I$145</f>
        <v>0</v>
      </c>
      <c r="K55" s="19">
        <v>0</v>
      </c>
      <c r="L55" s="28">
        <f t="shared" ref="L55:L62" si="41">K55/K$145</f>
        <v>0</v>
      </c>
      <c r="M55" s="19">
        <v>0</v>
      </c>
      <c r="N55" s="28">
        <f t="shared" ref="N55:N62" si="42">M55/M$145</f>
        <v>0</v>
      </c>
      <c r="O55" s="19">
        <v>0</v>
      </c>
      <c r="P55" s="28">
        <f t="shared" ref="P55:P62" si="43">O55/O$145</f>
        <v>0</v>
      </c>
      <c r="Q55" s="19">
        <v>0</v>
      </c>
      <c r="R55" s="28">
        <f t="shared" ref="R55:R62" si="44">Q55/Q$145</f>
        <v>0</v>
      </c>
      <c r="S55" s="19">
        <v>0</v>
      </c>
      <c r="T55" s="28">
        <f t="shared" ref="T55:T62" si="45">S55/S$145</f>
        <v>0</v>
      </c>
      <c r="U55" s="19">
        <v>0</v>
      </c>
      <c r="V55" s="28">
        <f t="shared" ref="V55:V62" si="46">U55/U$145</f>
        <v>0</v>
      </c>
      <c r="W55" s="19">
        <v>0</v>
      </c>
      <c r="X55" s="28">
        <f t="shared" ref="X55:X62" si="47">W55/W$145</f>
        <v>0</v>
      </c>
      <c r="Y55" s="19">
        <v>0</v>
      </c>
      <c r="Z55" s="28">
        <f t="shared" ref="Z55:Z62" si="48">Y55/Y$145</f>
        <v>0</v>
      </c>
      <c r="AA55" s="59">
        <f t="shared" si="23"/>
        <v>0</v>
      </c>
      <c r="AB55" s="60">
        <f t="shared" ref="AB55:AB62" si="49">AA55/AA$145</f>
        <v>0</v>
      </c>
      <c r="AC55" s="67">
        <f t="shared" si="1"/>
        <v>0</v>
      </c>
      <c r="AD55" s="68">
        <f t="shared" ref="AD55:AD62" si="50">AC55/AC$145</f>
        <v>0</v>
      </c>
      <c r="AE55" s="44">
        <f t="shared" si="2"/>
        <v>0</v>
      </c>
      <c r="AF55" s="21">
        <f t="shared" si="3"/>
        <v>0</v>
      </c>
      <c r="AG55" s="113">
        <v>52</v>
      </c>
      <c r="AH55" s="1" t="s">
        <v>134</v>
      </c>
      <c r="AW55" s="99"/>
      <c r="AX55" s="99"/>
    </row>
    <row r="56" spans="1:50">
      <c r="A56" s="2">
        <v>6115</v>
      </c>
      <c r="B56" s="2" t="s">
        <v>13</v>
      </c>
      <c r="C56" s="19">
        <v>0</v>
      </c>
      <c r="D56" s="28">
        <f t="shared" si="37"/>
        <v>0</v>
      </c>
      <c r="E56" s="19">
        <v>0</v>
      </c>
      <c r="F56" s="28">
        <f t="shared" si="38"/>
        <v>0</v>
      </c>
      <c r="G56" s="19">
        <v>0</v>
      </c>
      <c r="H56" s="28">
        <f t="shared" si="39"/>
        <v>0</v>
      </c>
      <c r="I56" s="19">
        <v>0</v>
      </c>
      <c r="J56" s="28">
        <f t="shared" si="40"/>
        <v>0</v>
      </c>
      <c r="K56" s="19">
        <v>0</v>
      </c>
      <c r="L56" s="28">
        <f t="shared" si="41"/>
        <v>0</v>
      </c>
      <c r="M56" s="19">
        <v>0</v>
      </c>
      <c r="N56" s="28">
        <f t="shared" si="42"/>
        <v>0</v>
      </c>
      <c r="O56" s="19">
        <v>0</v>
      </c>
      <c r="P56" s="28">
        <f t="shared" si="43"/>
        <v>0</v>
      </c>
      <c r="Q56" s="19">
        <v>0</v>
      </c>
      <c r="R56" s="28">
        <f t="shared" si="44"/>
        <v>0</v>
      </c>
      <c r="S56" s="19">
        <v>0</v>
      </c>
      <c r="T56" s="28">
        <f t="shared" si="45"/>
        <v>0</v>
      </c>
      <c r="U56" s="19">
        <v>0</v>
      </c>
      <c r="V56" s="28">
        <f t="shared" si="46"/>
        <v>0</v>
      </c>
      <c r="W56" s="19">
        <v>0</v>
      </c>
      <c r="X56" s="28">
        <f t="shared" si="47"/>
        <v>0</v>
      </c>
      <c r="Y56" s="19">
        <v>0</v>
      </c>
      <c r="Z56" s="28">
        <f t="shared" si="48"/>
        <v>0</v>
      </c>
      <c r="AA56" s="59">
        <f t="shared" si="23"/>
        <v>0</v>
      </c>
      <c r="AB56" s="60">
        <f t="shared" si="49"/>
        <v>0</v>
      </c>
      <c r="AC56" s="67">
        <f t="shared" si="1"/>
        <v>0</v>
      </c>
      <c r="AD56" s="68">
        <f t="shared" si="50"/>
        <v>0</v>
      </c>
      <c r="AE56" s="44">
        <f t="shared" si="2"/>
        <v>0</v>
      </c>
      <c r="AF56" s="21">
        <f t="shared" si="3"/>
        <v>0</v>
      </c>
      <c r="AG56" s="113">
        <v>882</v>
      </c>
      <c r="AH56" s="1" t="s">
        <v>136</v>
      </c>
      <c r="AW56" s="99"/>
      <c r="AX56" s="99"/>
    </row>
    <row r="57" spans="1:50">
      <c r="A57" s="2">
        <v>6116</v>
      </c>
      <c r="B57" s="82" t="s">
        <v>14</v>
      </c>
      <c r="C57" s="19"/>
      <c r="D57" s="28">
        <f t="shared" si="37"/>
        <v>0</v>
      </c>
      <c r="E57" s="19"/>
      <c r="F57" s="28">
        <f t="shared" si="38"/>
        <v>0</v>
      </c>
      <c r="G57" s="19"/>
      <c r="H57" s="28">
        <f t="shared" si="39"/>
        <v>0</v>
      </c>
      <c r="I57" s="19"/>
      <c r="J57" s="28">
        <f t="shared" si="40"/>
        <v>0</v>
      </c>
      <c r="K57" s="19"/>
      <c r="L57" s="28">
        <f t="shared" si="41"/>
        <v>0</v>
      </c>
      <c r="M57" s="19">
        <v>0</v>
      </c>
      <c r="N57" s="28">
        <f t="shared" si="42"/>
        <v>0</v>
      </c>
      <c r="O57" s="19">
        <v>0</v>
      </c>
      <c r="P57" s="28">
        <f t="shared" si="43"/>
        <v>0</v>
      </c>
      <c r="Q57" s="19">
        <v>0</v>
      </c>
      <c r="R57" s="28">
        <f t="shared" si="44"/>
        <v>0</v>
      </c>
      <c r="S57" s="19"/>
      <c r="T57" s="28">
        <f t="shared" si="45"/>
        <v>0</v>
      </c>
      <c r="U57" s="19"/>
      <c r="V57" s="28">
        <f t="shared" si="46"/>
        <v>0</v>
      </c>
      <c r="W57" s="19"/>
      <c r="X57" s="28">
        <f t="shared" si="47"/>
        <v>0</v>
      </c>
      <c r="Y57" s="19"/>
      <c r="Z57" s="28">
        <f t="shared" si="48"/>
        <v>0</v>
      </c>
      <c r="AA57" s="59">
        <f t="shared" si="23"/>
        <v>0</v>
      </c>
      <c r="AB57" s="60">
        <f t="shared" si="49"/>
        <v>0</v>
      </c>
      <c r="AC57" s="67">
        <f t="shared" si="1"/>
        <v>0</v>
      </c>
      <c r="AD57" s="68">
        <f t="shared" si="50"/>
        <v>0</v>
      </c>
      <c r="AE57" s="44">
        <f t="shared" si="2"/>
        <v>0</v>
      </c>
      <c r="AF57" s="21">
        <f t="shared" si="3"/>
        <v>0</v>
      </c>
      <c r="AG57" s="113"/>
      <c r="AW57" s="99"/>
      <c r="AX57" s="99"/>
    </row>
    <row r="58" spans="1:50">
      <c r="A58" s="82">
        <v>6117</v>
      </c>
      <c r="B58" s="82" t="s">
        <v>15</v>
      </c>
      <c r="C58" s="16"/>
      <c r="D58" s="28">
        <f t="shared" si="37"/>
        <v>0</v>
      </c>
      <c r="E58" s="16"/>
      <c r="F58" s="28">
        <f t="shared" si="38"/>
        <v>0</v>
      </c>
      <c r="G58" s="16"/>
      <c r="H58" s="28">
        <f t="shared" si="39"/>
        <v>0</v>
      </c>
      <c r="I58" s="16"/>
      <c r="J58" s="28">
        <f t="shared" si="40"/>
        <v>0</v>
      </c>
      <c r="K58" s="16"/>
      <c r="L58" s="28">
        <f t="shared" si="41"/>
        <v>0</v>
      </c>
      <c r="M58" s="16"/>
      <c r="N58" s="28">
        <f t="shared" si="42"/>
        <v>0</v>
      </c>
      <c r="O58" s="16"/>
      <c r="P58" s="28">
        <f t="shared" si="43"/>
        <v>0</v>
      </c>
      <c r="Q58" s="16"/>
      <c r="R58" s="28">
        <f t="shared" si="44"/>
        <v>0</v>
      </c>
      <c r="S58" s="16"/>
      <c r="T58" s="28">
        <f t="shared" si="45"/>
        <v>0</v>
      </c>
      <c r="U58" s="16"/>
      <c r="V58" s="28">
        <f t="shared" si="46"/>
        <v>0</v>
      </c>
      <c r="W58" s="16"/>
      <c r="X58" s="28">
        <f t="shared" si="47"/>
        <v>0</v>
      </c>
      <c r="Y58" s="16"/>
      <c r="Z58" s="28">
        <f t="shared" si="48"/>
        <v>0</v>
      </c>
      <c r="AA58" s="59">
        <f t="shared" si="23"/>
        <v>0</v>
      </c>
      <c r="AB58" s="60">
        <f t="shared" si="49"/>
        <v>0</v>
      </c>
      <c r="AC58" s="67">
        <f t="shared" si="1"/>
        <v>0</v>
      </c>
      <c r="AD58" s="68">
        <f t="shared" si="50"/>
        <v>0</v>
      </c>
      <c r="AE58" s="44">
        <f t="shared" si="2"/>
        <v>0</v>
      </c>
      <c r="AF58" s="21">
        <f t="shared" si="3"/>
        <v>0</v>
      </c>
      <c r="AG58" s="113"/>
      <c r="AW58" s="99"/>
      <c r="AX58" s="99"/>
    </row>
    <row r="59" spans="1:50">
      <c r="A59" s="2">
        <v>6118</v>
      </c>
      <c r="B59" s="2" t="s">
        <v>16</v>
      </c>
      <c r="C59" s="19"/>
      <c r="D59" s="28">
        <f t="shared" si="37"/>
        <v>0</v>
      </c>
      <c r="E59" s="19"/>
      <c r="F59" s="28">
        <f t="shared" si="38"/>
        <v>0</v>
      </c>
      <c r="G59" s="19"/>
      <c r="H59" s="28">
        <f t="shared" si="39"/>
        <v>0</v>
      </c>
      <c r="I59" s="19"/>
      <c r="J59" s="28">
        <f t="shared" si="40"/>
        <v>0</v>
      </c>
      <c r="K59" s="19"/>
      <c r="L59" s="28">
        <f t="shared" si="41"/>
        <v>0</v>
      </c>
      <c r="M59" s="19"/>
      <c r="N59" s="28">
        <f t="shared" si="42"/>
        <v>0</v>
      </c>
      <c r="O59" s="19"/>
      <c r="P59" s="28">
        <f t="shared" si="43"/>
        <v>0</v>
      </c>
      <c r="Q59" s="19"/>
      <c r="R59" s="28">
        <f t="shared" si="44"/>
        <v>0</v>
      </c>
      <c r="S59" s="19"/>
      <c r="T59" s="28">
        <f t="shared" si="45"/>
        <v>0</v>
      </c>
      <c r="U59" s="19"/>
      <c r="V59" s="28">
        <f t="shared" si="46"/>
        <v>0</v>
      </c>
      <c r="W59" s="19"/>
      <c r="X59" s="28">
        <f t="shared" si="47"/>
        <v>0</v>
      </c>
      <c r="Y59" s="19"/>
      <c r="Z59" s="28">
        <f t="shared" si="48"/>
        <v>0</v>
      </c>
      <c r="AA59" s="59">
        <f t="shared" si="23"/>
        <v>0</v>
      </c>
      <c r="AB59" s="60">
        <f t="shared" si="49"/>
        <v>0</v>
      </c>
      <c r="AC59" s="67">
        <f t="shared" si="1"/>
        <v>0</v>
      </c>
      <c r="AD59" s="68">
        <f t="shared" si="50"/>
        <v>0</v>
      </c>
      <c r="AE59" s="44">
        <f t="shared" si="2"/>
        <v>0</v>
      </c>
      <c r="AF59" s="21">
        <f t="shared" si="3"/>
        <v>0</v>
      </c>
      <c r="AG59" s="113"/>
      <c r="AW59" s="99"/>
      <c r="AX59" s="99"/>
    </row>
    <row r="60" spans="1:50">
      <c r="A60" s="2">
        <v>6119</v>
      </c>
      <c r="B60" s="2" t="s">
        <v>17</v>
      </c>
      <c r="C60" s="16">
        <v>0</v>
      </c>
      <c r="D60" s="28">
        <f t="shared" si="37"/>
        <v>0</v>
      </c>
      <c r="E60" s="16"/>
      <c r="F60" s="28">
        <f t="shared" si="38"/>
        <v>0</v>
      </c>
      <c r="G60" s="16"/>
      <c r="H60" s="28">
        <f t="shared" si="39"/>
        <v>0</v>
      </c>
      <c r="I60" s="16"/>
      <c r="J60" s="28">
        <f t="shared" si="40"/>
        <v>0</v>
      </c>
      <c r="K60" s="16"/>
      <c r="L60" s="28">
        <f t="shared" si="41"/>
        <v>0</v>
      </c>
      <c r="M60" s="16">
        <v>0</v>
      </c>
      <c r="N60" s="28">
        <f t="shared" si="42"/>
        <v>0</v>
      </c>
      <c r="O60" s="16">
        <v>0</v>
      </c>
      <c r="P60" s="28">
        <f t="shared" si="43"/>
        <v>0</v>
      </c>
      <c r="Q60" s="16">
        <v>0</v>
      </c>
      <c r="R60" s="28">
        <f t="shared" si="44"/>
        <v>0</v>
      </c>
      <c r="S60" s="16">
        <v>0</v>
      </c>
      <c r="T60" s="28">
        <f t="shared" si="45"/>
        <v>0</v>
      </c>
      <c r="U60" s="16"/>
      <c r="V60" s="28">
        <f t="shared" si="46"/>
        <v>0</v>
      </c>
      <c r="W60" s="16"/>
      <c r="X60" s="28">
        <f t="shared" si="47"/>
        <v>0</v>
      </c>
      <c r="Y60" s="16"/>
      <c r="Z60" s="28">
        <f t="shared" si="48"/>
        <v>0</v>
      </c>
      <c r="AA60" s="59">
        <f t="shared" si="23"/>
        <v>0</v>
      </c>
      <c r="AB60" s="60">
        <f t="shared" si="49"/>
        <v>0</v>
      </c>
      <c r="AC60" s="67">
        <f t="shared" si="1"/>
        <v>0</v>
      </c>
      <c r="AD60" s="68">
        <f t="shared" si="50"/>
        <v>0</v>
      </c>
      <c r="AE60" s="44">
        <f t="shared" si="2"/>
        <v>0</v>
      </c>
      <c r="AF60" s="21">
        <f t="shared" si="3"/>
        <v>0</v>
      </c>
      <c r="AG60" s="113"/>
      <c r="AW60" s="99"/>
      <c r="AX60" s="99"/>
    </row>
    <row r="61" spans="1:50">
      <c r="A61" s="82">
        <v>6120</v>
      </c>
      <c r="B61" s="2" t="s">
        <v>18</v>
      </c>
      <c r="C61" s="16">
        <v>200</v>
      </c>
      <c r="D61" s="28">
        <f t="shared" si="37"/>
        <v>-1.4270015030473211E-2</v>
      </c>
      <c r="E61" s="16">
        <v>200</v>
      </c>
      <c r="F61" s="28">
        <f t="shared" si="38"/>
        <v>-1.4270015030473211E-2</v>
      </c>
      <c r="G61" s="16">
        <v>200</v>
      </c>
      <c r="H61" s="28">
        <f t="shared" si="39"/>
        <v>-1.4270015030473211E-2</v>
      </c>
      <c r="I61" s="16">
        <v>200</v>
      </c>
      <c r="J61" s="28">
        <f t="shared" si="40"/>
        <v>-1.4270015030473211E-2</v>
      </c>
      <c r="K61" s="16">
        <v>200</v>
      </c>
      <c r="L61" s="28">
        <f t="shared" si="41"/>
        <v>-1.4270015030473211E-2</v>
      </c>
      <c r="M61" s="16">
        <v>200</v>
      </c>
      <c r="N61" s="28">
        <f t="shared" si="42"/>
        <v>-1.8638630345849064E-2</v>
      </c>
      <c r="O61" s="16">
        <v>5500</v>
      </c>
      <c r="P61" s="28">
        <f t="shared" si="43"/>
        <v>-0.6310666881564273</v>
      </c>
      <c r="Q61" s="16">
        <v>200</v>
      </c>
      <c r="R61" s="28">
        <f t="shared" si="44"/>
        <v>-1.4270015030473211E-2</v>
      </c>
      <c r="S61" s="16">
        <v>200</v>
      </c>
      <c r="T61" s="28">
        <f t="shared" si="45"/>
        <v>-1.4270025212146934E-2</v>
      </c>
      <c r="U61" s="16">
        <v>200</v>
      </c>
      <c r="V61" s="28">
        <f t="shared" si="46"/>
        <v>-1.4270015030473211E-2</v>
      </c>
      <c r="W61" s="16">
        <v>200</v>
      </c>
      <c r="X61" s="28">
        <f t="shared" si="47"/>
        <v>-1.4270015030473211E-2</v>
      </c>
      <c r="Y61" s="16">
        <v>15000</v>
      </c>
      <c r="Z61" s="28">
        <f t="shared" si="48"/>
        <v>19.118075439624061</v>
      </c>
      <c r="AA61" s="59">
        <f t="shared" si="23"/>
        <v>22500</v>
      </c>
      <c r="AB61" s="60">
        <f t="shared" si="49"/>
        <v>-0.155386937402302</v>
      </c>
      <c r="AC61" s="67">
        <f t="shared" si="1"/>
        <v>1875</v>
      </c>
      <c r="AD61" s="68">
        <f t="shared" si="50"/>
        <v>-0.155386937402302</v>
      </c>
      <c r="AE61" s="44">
        <f t="shared" si="2"/>
        <v>22500</v>
      </c>
      <c r="AF61" s="21">
        <f t="shared" si="3"/>
        <v>0</v>
      </c>
      <c r="AG61" s="113">
        <v>584</v>
      </c>
      <c r="AH61" s="1" t="s">
        <v>144</v>
      </c>
      <c r="AW61" s="99"/>
      <c r="AX61" s="99"/>
    </row>
    <row r="62" spans="1:50">
      <c r="A62" s="2">
        <v>6121</v>
      </c>
      <c r="B62" s="2" t="s">
        <v>19</v>
      </c>
      <c r="C62" s="16">
        <v>0</v>
      </c>
      <c r="D62" s="28">
        <f t="shared" si="37"/>
        <v>0</v>
      </c>
      <c r="E62" s="16">
        <v>0</v>
      </c>
      <c r="F62" s="28">
        <f t="shared" si="38"/>
        <v>0</v>
      </c>
      <c r="G62" s="16">
        <v>0</v>
      </c>
      <c r="H62" s="28">
        <f t="shared" si="39"/>
        <v>0</v>
      </c>
      <c r="I62" s="16">
        <v>0</v>
      </c>
      <c r="J62" s="28">
        <f t="shared" si="40"/>
        <v>0</v>
      </c>
      <c r="K62" s="16">
        <v>0</v>
      </c>
      <c r="L62" s="28">
        <f t="shared" si="41"/>
        <v>0</v>
      </c>
      <c r="M62" s="16">
        <v>0</v>
      </c>
      <c r="N62" s="28">
        <f t="shared" si="42"/>
        <v>0</v>
      </c>
      <c r="O62" s="16">
        <v>0</v>
      </c>
      <c r="P62" s="28">
        <f t="shared" si="43"/>
        <v>0</v>
      </c>
      <c r="Q62" s="16">
        <v>0</v>
      </c>
      <c r="R62" s="28">
        <f t="shared" si="44"/>
        <v>0</v>
      </c>
      <c r="S62" s="16">
        <v>0</v>
      </c>
      <c r="T62" s="28">
        <f t="shared" si="45"/>
        <v>0</v>
      </c>
      <c r="U62" s="16">
        <v>0</v>
      </c>
      <c r="V62" s="28">
        <f t="shared" si="46"/>
        <v>0</v>
      </c>
      <c r="W62" s="16">
        <v>0</v>
      </c>
      <c r="X62" s="28">
        <f t="shared" si="47"/>
        <v>0</v>
      </c>
      <c r="Y62" s="16">
        <v>0</v>
      </c>
      <c r="Z62" s="28">
        <f t="shared" si="48"/>
        <v>0</v>
      </c>
      <c r="AA62" s="59">
        <f t="shared" si="23"/>
        <v>0</v>
      </c>
      <c r="AB62" s="60">
        <f t="shared" si="49"/>
        <v>0</v>
      </c>
      <c r="AC62" s="67">
        <f t="shared" si="1"/>
        <v>0</v>
      </c>
      <c r="AD62" s="68">
        <f t="shared" si="50"/>
        <v>0</v>
      </c>
      <c r="AE62" s="44">
        <f t="shared" si="2"/>
        <v>0</v>
      </c>
      <c r="AF62" s="21">
        <f t="shared" si="3"/>
        <v>0</v>
      </c>
      <c r="AG62" s="113">
        <v>2392</v>
      </c>
      <c r="AH62" s="1" t="s">
        <v>243</v>
      </c>
      <c r="AW62" s="99"/>
      <c r="AX62" s="99"/>
    </row>
    <row r="63" spans="1:50">
      <c r="A63" s="2">
        <v>6122</v>
      </c>
      <c r="B63" s="2" t="s">
        <v>20</v>
      </c>
      <c r="C63" s="16"/>
      <c r="D63" s="28"/>
      <c r="E63" s="16"/>
      <c r="F63" s="28"/>
      <c r="G63" s="16"/>
      <c r="H63" s="28"/>
      <c r="I63" s="16"/>
      <c r="J63" s="28"/>
      <c r="K63" s="16"/>
      <c r="L63" s="28"/>
      <c r="M63" s="16"/>
      <c r="N63" s="28"/>
      <c r="O63" s="16"/>
      <c r="P63" s="28"/>
      <c r="Q63" s="16"/>
      <c r="R63" s="28"/>
      <c r="S63" s="16"/>
      <c r="T63" s="28"/>
      <c r="U63" s="16"/>
      <c r="V63" s="28"/>
      <c r="W63" s="16"/>
      <c r="X63" s="28"/>
      <c r="Y63" s="16"/>
      <c r="Z63" s="28"/>
      <c r="AA63" s="59">
        <f t="shared" si="23"/>
        <v>0</v>
      </c>
      <c r="AB63" s="60"/>
      <c r="AC63" s="67">
        <f t="shared" si="1"/>
        <v>0</v>
      </c>
      <c r="AD63" s="68"/>
      <c r="AE63" s="44">
        <f t="shared" si="2"/>
        <v>0</v>
      </c>
      <c r="AF63" s="21">
        <f t="shared" si="3"/>
        <v>0</v>
      </c>
      <c r="AG63" s="113"/>
      <c r="AW63" s="99"/>
      <c r="AX63" s="99"/>
    </row>
    <row r="64" spans="1:50">
      <c r="A64" s="2">
        <v>6123</v>
      </c>
      <c r="B64" s="2" t="s">
        <v>21</v>
      </c>
      <c r="C64" s="16">
        <v>0</v>
      </c>
      <c r="D64" s="28"/>
      <c r="E64" s="16">
        <v>0</v>
      </c>
      <c r="F64" s="28"/>
      <c r="G64" s="16">
        <v>0</v>
      </c>
      <c r="H64" s="28"/>
      <c r="I64" s="16">
        <v>0</v>
      </c>
      <c r="J64" s="28"/>
      <c r="K64" s="16">
        <v>0</v>
      </c>
      <c r="L64" s="28"/>
      <c r="M64" s="16">
        <v>0</v>
      </c>
      <c r="N64" s="28"/>
      <c r="O64" s="16">
        <v>0</v>
      </c>
      <c r="P64" s="28"/>
      <c r="Q64" s="16">
        <v>0</v>
      </c>
      <c r="R64" s="28"/>
      <c r="S64" s="16">
        <v>0</v>
      </c>
      <c r="T64" s="28"/>
      <c r="U64" s="16"/>
      <c r="V64" s="28"/>
      <c r="W64" s="16"/>
      <c r="X64" s="28"/>
      <c r="Y64" s="16"/>
      <c r="Z64" s="28"/>
      <c r="AA64" s="59">
        <f t="shared" si="23"/>
        <v>0</v>
      </c>
      <c r="AB64" s="60"/>
      <c r="AC64" s="67">
        <f t="shared" si="1"/>
        <v>0</v>
      </c>
      <c r="AD64" s="68"/>
      <c r="AE64" s="44">
        <f t="shared" si="2"/>
        <v>0</v>
      </c>
      <c r="AF64" s="21">
        <f t="shared" si="3"/>
        <v>0</v>
      </c>
      <c r="AG64" s="113">
        <v>190</v>
      </c>
      <c r="AH64" s="1" t="s">
        <v>221</v>
      </c>
      <c r="AW64" s="99"/>
      <c r="AX64" s="99"/>
    </row>
    <row r="65" spans="1:50">
      <c r="A65" s="82">
        <v>6124</v>
      </c>
      <c r="B65" s="2" t="s">
        <v>22</v>
      </c>
      <c r="C65" s="16">
        <v>5000</v>
      </c>
      <c r="D65" s="28">
        <f>C65/C$145</f>
        <v>-0.35675037576183027</v>
      </c>
      <c r="E65" s="16">
        <v>5000</v>
      </c>
      <c r="F65" s="28">
        <f>E65/E$145</f>
        <v>-0.35675037576183027</v>
      </c>
      <c r="G65" s="16">
        <v>5000</v>
      </c>
      <c r="H65" s="28">
        <f>G65/G$145</f>
        <v>-0.35675037576183027</v>
      </c>
      <c r="I65" s="16">
        <v>5000</v>
      </c>
      <c r="J65" s="28">
        <f>I65/I$145</f>
        <v>-0.35675037576183027</v>
      </c>
      <c r="K65" s="16">
        <v>5000</v>
      </c>
      <c r="L65" s="28">
        <f>K65/K$145</f>
        <v>-0.35675037576183027</v>
      </c>
      <c r="M65" s="16">
        <v>5000</v>
      </c>
      <c r="N65" s="28">
        <f>M65/M$145</f>
        <v>-0.46596575864622658</v>
      </c>
      <c r="O65" s="16">
        <v>5000</v>
      </c>
      <c r="P65" s="28">
        <f>O65/O$145</f>
        <v>-0.57369698923311574</v>
      </c>
      <c r="Q65" s="16">
        <v>5000</v>
      </c>
      <c r="R65" s="28">
        <f>Q65/Q$145</f>
        <v>-0.35675037576183027</v>
      </c>
      <c r="S65" s="16">
        <v>5000</v>
      </c>
      <c r="T65" s="28">
        <f>S65/S$145</f>
        <v>-0.35675063030367338</v>
      </c>
      <c r="U65" s="16">
        <v>5000</v>
      </c>
      <c r="V65" s="28">
        <f>U65/U$145</f>
        <v>-0.35675037576183027</v>
      </c>
      <c r="W65" s="16">
        <v>5000</v>
      </c>
      <c r="X65" s="28">
        <f>W65/W$145</f>
        <v>-0.35675037576183027</v>
      </c>
      <c r="Y65" s="16">
        <v>5000</v>
      </c>
      <c r="Z65" s="28">
        <f>Y65/Y$145</f>
        <v>6.3726918132080197</v>
      </c>
      <c r="AA65" s="59">
        <f t="shared" si="23"/>
        <v>60000</v>
      </c>
      <c r="AB65" s="60">
        <f>AA65/AA$145</f>
        <v>-0.41436516640613869</v>
      </c>
      <c r="AC65" s="67">
        <f t="shared" si="1"/>
        <v>5000</v>
      </c>
      <c r="AD65" s="68">
        <f>AC65/AC$145</f>
        <v>-0.41436516640613869</v>
      </c>
      <c r="AE65" s="44">
        <f t="shared" si="2"/>
        <v>60000</v>
      </c>
      <c r="AF65" s="21">
        <f t="shared" si="3"/>
        <v>0</v>
      </c>
      <c r="AG65" s="113">
        <v>1047</v>
      </c>
      <c r="AH65" s="1" t="s">
        <v>197</v>
      </c>
      <c r="AW65" s="99"/>
      <c r="AX65" s="99"/>
    </row>
    <row r="66" spans="1:50">
      <c r="A66" s="2">
        <v>6125</v>
      </c>
      <c r="B66" s="2" t="s">
        <v>78</v>
      </c>
      <c r="C66" s="16">
        <v>9925</v>
      </c>
      <c r="D66" s="28">
        <f>C66/C$145</f>
        <v>-0.70814949588723319</v>
      </c>
      <c r="E66" s="16">
        <v>9925</v>
      </c>
      <c r="F66" s="28">
        <f>E66/E$145</f>
        <v>-0.70814949588723319</v>
      </c>
      <c r="G66" s="16">
        <v>9925</v>
      </c>
      <c r="H66" s="28">
        <f>G66/G$145</f>
        <v>-0.70814949588723319</v>
      </c>
      <c r="I66" s="16">
        <v>9925</v>
      </c>
      <c r="J66" s="28">
        <f>I66/I$145</f>
        <v>-0.70814949588723319</v>
      </c>
      <c r="K66" s="16">
        <v>9925</v>
      </c>
      <c r="L66" s="28">
        <f>K66/K$145</f>
        <v>-0.70814949588723319</v>
      </c>
      <c r="M66" s="16">
        <v>9925</v>
      </c>
      <c r="N66" s="28">
        <f>M66/M$145</f>
        <v>-0.92494203091275973</v>
      </c>
      <c r="O66" s="16">
        <v>9925</v>
      </c>
      <c r="P66" s="28">
        <f>O66/O$145</f>
        <v>-1.1387885236277346</v>
      </c>
      <c r="Q66" s="16">
        <v>9925</v>
      </c>
      <c r="R66" s="28">
        <f>Q66/Q$145</f>
        <v>-0.70814949588723319</v>
      </c>
      <c r="S66" s="16">
        <v>9925</v>
      </c>
      <c r="T66" s="28">
        <f>S66/S$145</f>
        <v>-0.70815000115279159</v>
      </c>
      <c r="U66" s="16">
        <v>9925</v>
      </c>
      <c r="V66" s="28">
        <f>U66/U$145</f>
        <v>-0.70814949588723319</v>
      </c>
      <c r="W66" s="16">
        <v>9925</v>
      </c>
      <c r="X66" s="28">
        <f>W66/W$145</f>
        <v>-0.70814949588723319</v>
      </c>
      <c r="Y66" s="16">
        <v>9925</v>
      </c>
      <c r="Z66" s="28">
        <f>Y66/Y$145</f>
        <v>12.64979324921792</v>
      </c>
      <c r="AA66" s="59">
        <f t="shared" si="23"/>
        <v>119100</v>
      </c>
      <c r="AB66" s="60">
        <f>AA66/AA$145</f>
        <v>-0.82251485531618529</v>
      </c>
      <c r="AC66" s="67">
        <f t="shared" si="1"/>
        <v>9925</v>
      </c>
      <c r="AD66" s="68">
        <f>AC66/AC$145</f>
        <v>-0.82251485531618529</v>
      </c>
      <c r="AE66" s="44">
        <f t="shared" si="2"/>
        <v>119100</v>
      </c>
      <c r="AF66" s="21">
        <f t="shared" si="3"/>
        <v>0</v>
      </c>
      <c r="AG66" s="113">
        <v>3578</v>
      </c>
      <c r="AH66" s="11" t="s">
        <v>234</v>
      </c>
      <c r="AW66" s="99"/>
      <c r="AX66" s="99"/>
    </row>
    <row r="67" spans="1:50">
      <c r="A67" s="2">
        <v>6126</v>
      </c>
      <c r="B67" s="2" t="s">
        <v>105</v>
      </c>
      <c r="C67" s="16">
        <v>0</v>
      </c>
      <c r="D67" s="28">
        <f>C67/C$145</f>
        <v>0</v>
      </c>
      <c r="E67" s="16">
        <v>0</v>
      </c>
      <c r="F67" s="28">
        <f>E67/E$145</f>
        <v>0</v>
      </c>
      <c r="G67" s="16">
        <v>0</v>
      </c>
      <c r="H67" s="28">
        <f>G67/G$145</f>
        <v>0</v>
      </c>
      <c r="I67" s="16">
        <v>0</v>
      </c>
      <c r="J67" s="28">
        <f>I67/I$145</f>
        <v>0</v>
      </c>
      <c r="K67" s="16">
        <v>0</v>
      </c>
      <c r="L67" s="28">
        <f>K67/K$145</f>
        <v>0</v>
      </c>
      <c r="M67" s="16">
        <v>0</v>
      </c>
      <c r="N67" s="28">
        <f>M67/M$145</f>
        <v>0</v>
      </c>
      <c r="O67" s="16">
        <v>0</v>
      </c>
      <c r="P67" s="28">
        <f>O67/O$145</f>
        <v>0</v>
      </c>
      <c r="Q67" s="16">
        <v>0</v>
      </c>
      <c r="R67" s="28">
        <f>Q67/Q$145</f>
        <v>0</v>
      </c>
      <c r="S67" s="16">
        <v>0</v>
      </c>
      <c r="T67" s="28">
        <f>S67/S$145</f>
        <v>0</v>
      </c>
      <c r="U67" s="16">
        <v>0</v>
      </c>
      <c r="V67" s="28">
        <f>U67/U$145</f>
        <v>0</v>
      </c>
      <c r="W67" s="16">
        <v>0</v>
      </c>
      <c r="X67" s="28">
        <f>W67/W$145</f>
        <v>0</v>
      </c>
      <c r="Y67" s="16">
        <v>0</v>
      </c>
      <c r="Z67" s="28">
        <f>Y67/Y$145</f>
        <v>0</v>
      </c>
      <c r="AA67" s="59">
        <f t="shared" si="23"/>
        <v>0</v>
      </c>
      <c r="AB67" s="60">
        <f>AA67/AA$145</f>
        <v>0</v>
      </c>
      <c r="AC67" s="67">
        <f t="shared" si="1"/>
        <v>0</v>
      </c>
      <c r="AD67" s="68">
        <f>AC67/AC$145</f>
        <v>0</v>
      </c>
      <c r="AE67" s="44">
        <f t="shared" si="2"/>
        <v>0</v>
      </c>
      <c r="AF67" s="21">
        <f t="shared" si="3"/>
        <v>0</v>
      </c>
      <c r="AG67" s="113">
        <v>2381</v>
      </c>
      <c r="AH67" s="1" t="s">
        <v>244</v>
      </c>
      <c r="AW67" s="99"/>
      <c r="AX67" s="99"/>
    </row>
    <row r="68" spans="1:50">
      <c r="A68" s="2">
        <v>6127</v>
      </c>
      <c r="B68" s="2" t="s">
        <v>76</v>
      </c>
      <c r="C68" s="16">
        <v>2300</v>
      </c>
      <c r="D68" s="28">
        <f>C68/C$145</f>
        <v>-0.16410517285044193</v>
      </c>
      <c r="E68" s="16">
        <v>2300</v>
      </c>
      <c r="F68" s="28">
        <f>E68/E$145</f>
        <v>-0.16410517285044193</v>
      </c>
      <c r="G68" s="16">
        <v>2300</v>
      </c>
      <c r="H68" s="28">
        <f>G68/G$145</f>
        <v>-0.16410517285044193</v>
      </c>
      <c r="I68" s="16">
        <v>2300</v>
      </c>
      <c r="J68" s="28">
        <f>I68/I$145</f>
        <v>-0.16410517285044193</v>
      </c>
      <c r="K68" s="16">
        <v>2300</v>
      </c>
      <c r="L68" s="28">
        <f>K68/K$145</f>
        <v>-0.16410517285044193</v>
      </c>
      <c r="M68" s="16">
        <v>2300</v>
      </c>
      <c r="N68" s="28">
        <f>M68/M$145</f>
        <v>-0.21434424897726423</v>
      </c>
      <c r="O68" s="16">
        <v>2300</v>
      </c>
      <c r="P68" s="28">
        <f>O68/O$145</f>
        <v>-0.26390061504723322</v>
      </c>
      <c r="Q68" s="16">
        <v>2300</v>
      </c>
      <c r="R68" s="28">
        <f>Q68/Q$145</f>
        <v>-0.16410517285044193</v>
      </c>
      <c r="S68" s="16">
        <v>2300</v>
      </c>
      <c r="T68" s="28">
        <f>S68/S$145</f>
        <v>-0.16410528993968976</v>
      </c>
      <c r="U68" s="16">
        <v>2300</v>
      </c>
      <c r="V68" s="28">
        <f>U68/U$145</f>
        <v>-0.16410517285044193</v>
      </c>
      <c r="W68" s="16">
        <v>2300</v>
      </c>
      <c r="X68" s="28">
        <f>W68/W$145</f>
        <v>-0.16410517285044193</v>
      </c>
      <c r="Y68" s="16">
        <v>2300</v>
      </c>
      <c r="Z68" s="28">
        <f>Y68/Y$145</f>
        <v>2.931438234075689</v>
      </c>
      <c r="AA68" s="59">
        <f t="shared" si="23"/>
        <v>27600</v>
      </c>
      <c r="AB68" s="60">
        <f>AA68/AA$145</f>
        <v>-0.19060797654682379</v>
      </c>
      <c r="AC68" s="67">
        <f t="shared" si="1"/>
        <v>2300</v>
      </c>
      <c r="AD68" s="68">
        <f>AC68/AC$145</f>
        <v>-0.19060797654682379</v>
      </c>
      <c r="AE68" s="44">
        <f t="shared" si="2"/>
        <v>27600</v>
      </c>
      <c r="AF68" s="21">
        <f t="shared" si="3"/>
        <v>0</v>
      </c>
      <c r="AG68" s="113">
        <v>4550</v>
      </c>
      <c r="AH68" s="1" t="s">
        <v>137</v>
      </c>
      <c r="AW68" s="99"/>
      <c r="AX68" s="99"/>
    </row>
    <row r="69" spans="1:50">
      <c r="A69" s="2">
        <v>6128</v>
      </c>
      <c r="B69" s="2" t="s">
        <v>161</v>
      </c>
      <c r="C69" s="16"/>
      <c r="D69" s="28"/>
      <c r="E69" s="16"/>
      <c r="F69" s="28"/>
      <c r="G69" s="16"/>
      <c r="H69" s="28"/>
      <c r="I69" s="16"/>
      <c r="J69" s="28"/>
      <c r="K69" s="16"/>
      <c r="L69" s="28"/>
      <c r="M69" s="16"/>
      <c r="N69" s="28"/>
      <c r="O69" s="16"/>
      <c r="P69" s="28"/>
      <c r="Q69" s="16"/>
      <c r="R69" s="28"/>
      <c r="S69" s="16"/>
      <c r="T69" s="28"/>
      <c r="U69" s="16"/>
      <c r="V69" s="28"/>
      <c r="W69" s="16"/>
      <c r="X69" s="28"/>
      <c r="Y69" s="16"/>
      <c r="Z69" s="28"/>
      <c r="AA69" s="59">
        <f t="shared" si="23"/>
        <v>0</v>
      </c>
      <c r="AB69" s="60">
        <f t="shared" ref="AB69:AB75" si="51">AA69/AA$145</f>
        <v>0</v>
      </c>
      <c r="AC69" s="67">
        <f t="shared" ref="AC69:AC75" si="52">AA69/12</f>
        <v>0</v>
      </c>
      <c r="AD69" s="68">
        <f t="shared" ref="AD69:AD75" si="53">AC69/AC$145</f>
        <v>0</v>
      </c>
      <c r="AE69" s="44">
        <f t="shared" si="2"/>
        <v>0</v>
      </c>
      <c r="AF69" s="21">
        <f t="shared" si="3"/>
        <v>0</v>
      </c>
      <c r="AW69" s="99"/>
      <c r="AX69" s="99"/>
    </row>
    <row r="70" spans="1:50">
      <c r="A70" s="2">
        <v>6131</v>
      </c>
      <c r="B70" s="15" t="s">
        <v>235</v>
      </c>
      <c r="C70" s="84">
        <v>2000</v>
      </c>
      <c r="D70" s="28">
        <f>C70/C$145</f>
        <v>-0.14270015030473213</v>
      </c>
      <c r="E70" s="84">
        <v>2000</v>
      </c>
      <c r="F70" s="28">
        <f>E70/E$145</f>
        <v>-0.14270015030473213</v>
      </c>
      <c r="G70" s="84">
        <v>2000</v>
      </c>
      <c r="H70" s="28">
        <f>G70/G$145</f>
        <v>-0.14270015030473213</v>
      </c>
      <c r="I70" s="84">
        <v>2000</v>
      </c>
      <c r="J70" s="28">
        <f>I70/I$145</f>
        <v>-0.14270015030473213</v>
      </c>
      <c r="K70" s="84">
        <v>2000</v>
      </c>
      <c r="L70" s="28">
        <f>K70/K$145</f>
        <v>-0.14270015030473213</v>
      </c>
      <c r="M70" s="84">
        <v>2000</v>
      </c>
      <c r="N70" s="28">
        <f>M70/M$145</f>
        <v>-0.18638630345849064</v>
      </c>
      <c r="O70" s="84">
        <v>2000</v>
      </c>
      <c r="P70" s="28">
        <f>O70/O$145</f>
        <v>-0.22947879569324628</v>
      </c>
      <c r="Q70" s="84">
        <v>2000</v>
      </c>
      <c r="R70" s="28">
        <f>Q70/Q$145</f>
        <v>-0.14270015030473213</v>
      </c>
      <c r="S70" s="84">
        <v>2000</v>
      </c>
      <c r="T70" s="28">
        <f>S70/S$145</f>
        <v>-0.14270025212146933</v>
      </c>
      <c r="U70" s="84">
        <v>2000</v>
      </c>
      <c r="V70" s="28">
        <f>U70/U$145</f>
        <v>-0.14270015030473213</v>
      </c>
      <c r="W70" s="84">
        <f>24000/12</f>
        <v>2000</v>
      </c>
      <c r="X70" s="28">
        <f>W70/W$145</f>
        <v>-0.14270015030473213</v>
      </c>
      <c r="Y70" s="84">
        <f>24000/12</f>
        <v>2000</v>
      </c>
      <c r="Z70" s="28">
        <f>Y70/Y$145</f>
        <v>2.5490767252832081</v>
      </c>
      <c r="AA70" s="59">
        <f t="shared" si="23"/>
        <v>24000</v>
      </c>
      <c r="AB70" s="60">
        <f t="shared" si="51"/>
        <v>-0.16574606656245547</v>
      </c>
      <c r="AC70" s="67">
        <f t="shared" si="52"/>
        <v>2000</v>
      </c>
      <c r="AD70" s="68">
        <f t="shared" si="53"/>
        <v>-0.16574606656245547</v>
      </c>
      <c r="AE70" s="44"/>
      <c r="AF70" s="21"/>
      <c r="AW70" s="99"/>
      <c r="AX70" s="99"/>
    </row>
    <row r="71" spans="1:50">
      <c r="A71" s="2">
        <v>6132</v>
      </c>
      <c r="B71" s="219" t="s">
        <v>236</v>
      </c>
      <c r="C71" s="158"/>
      <c r="D71" s="28">
        <f>C71/C$145</f>
        <v>0</v>
      </c>
      <c r="E71" s="158"/>
      <c r="F71" s="28">
        <f>E71/E$145</f>
        <v>0</v>
      </c>
      <c r="G71" s="158"/>
      <c r="H71" s="28">
        <f>G71/G$145</f>
        <v>0</v>
      </c>
      <c r="I71" s="158"/>
      <c r="J71" s="28">
        <f>I71/I$145</f>
        <v>0</v>
      </c>
      <c r="K71" s="158"/>
      <c r="L71" s="28">
        <f>K71/K$145</f>
        <v>0</v>
      </c>
      <c r="M71" s="158">
        <v>3285</v>
      </c>
      <c r="N71" s="28">
        <f>M71/M$145</f>
        <v>-0.30613950343057089</v>
      </c>
      <c r="O71" s="158"/>
      <c r="P71" s="28">
        <f>O71/O$145</f>
        <v>0</v>
      </c>
      <c r="Q71" s="158"/>
      <c r="R71" s="28">
        <f>Q71/Q$145</f>
        <v>0</v>
      </c>
      <c r="S71" s="158"/>
      <c r="T71" s="28">
        <f>S71/S$145</f>
        <v>0</v>
      </c>
      <c r="U71" s="158"/>
      <c r="V71" s="28">
        <f>U71/U$145</f>
        <v>0</v>
      </c>
      <c r="W71" s="158"/>
      <c r="X71" s="28">
        <f>W71/W$145</f>
        <v>0</v>
      </c>
      <c r="Y71" s="158"/>
      <c r="Z71" s="28">
        <f>Y71/Y$145</f>
        <v>0</v>
      </c>
      <c r="AA71" s="59">
        <f t="shared" si="23"/>
        <v>3285</v>
      </c>
      <c r="AB71" s="60">
        <f t="shared" si="51"/>
        <v>-2.2686492860736093E-2</v>
      </c>
      <c r="AC71" s="67">
        <f t="shared" si="52"/>
        <v>273.75</v>
      </c>
      <c r="AD71" s="68">
        <f t="shared" si="53"/>
        <v>-2.2686492860736093E-2</v>
      </c>
      <c r="AE71" s="44"/>
      <c r="AF71" s="21"/>
      <c r="AW71" s="99"/>
      <c r="AX71" s="99"/>
    </row>
    <row r="72" spans="1:50">
      <c r="A72" s="2">
        <v>6133</v>
      </c>
      <c r="B72" s="219" t="s">
        <v>237</v>
      </c>
      <c r="C72" s="158">
        <v>0</v>
      </c>
      <c r="D72" s="28">
        <f>C72/C$145</f>
        <v>0</v>
      </c>
      <c r="E72" s="158">
        <v>0</v>
      </c>
      <c r="F72" s="28">
        <f>E72/E$145</f>
        <v>0</v>
      </c>
      <c r="G72" s="158">
        <v>0</v>
      </c>
      <c r="H72" s="28">
        <f>G72/G$145</f>
        <v>0</v>
      </c>
      <c r="I72" s="158">
        <v>0</v>
      </c>
      <c r="J72" s="28">
        <f>I72/I$145</f>
        <v>0</v>
      </c>
      <c r="K72" s="158">
        <v>0</v>
      </c>
      <c r="L72" s="28">
        <f>K72/K$145</f>
        <v>0</v>
      </c>
      <c r="M72" s="158">
        <v>0</v>
      </c>
      <c r="N72" s="28">
        <f>M72/M$145</f>
        <v>0</v>
      </c>
      <c r="O72" s="158">
        <v>0</v>
      </c>
      <c r="P72" s="28">
        <f>O72/O$145</f>
        <v>0</v>
      </c>
      <c r="Q72" s="158">
        <v>0</v>
      </c>
      <c r="R72" s="28">
        <f>Q72/Q$145</f>
        <v>0</v>
      </c>
      <c r="S72" s="158">
        <v>0</v>
      </c>
      <c r="T72" s="28">
        <f>S72/S$145</f>
        <v>0</v>
      </c>
      <c r="U72" s="158">
        <v>0</v>
      </c>
      <c r="V72" s="28">
        <f>U72/U$145</f>
        <v>0</v>
      </c>
      <c r="W72" s="158">
        <v>0</v>
      </c>
      <c r="X72" s="28">
        <f>W72/W$145</f>
        <v>0</v>
      </c>
      <c r="Y72" s="158">
        <v>0</v>
      </c>
      <c r="Z72" s="28">
        <f>Y72/Y$145</f>
        <v>0</v>
      </c>
      <c r="AA72" s="59">
        <f t="shared" si="23"/>
        <v>0</v>
      </c>
      <c r="AB72" s="60">
        <f t="shared" si="51"/>
        <v>0</v>
      </c>
      <c r="AC72" s="67">
        <f t="shared" si="52"/>
        <v>0</v>
      </c>
      <c r="AD72" s="68">
        <f t="shared" si="53"/>
        <v>0</v>
      </c>
      <c r="AE72" s="44"/>
      <c r="AF72" s="21"/>
      <c r="AW72" s="99"/>
      <c r="AX72" s="99"/>
    </row>
    <row r="73" spans="1:50">
      <c r="A73" s="2">
        <v>6134</v>
      </c>
      <c r="B73" s="219" t="s">
        <v>238</v>
      </c>
      <c r="C73" s="158">
        <v>0</v>
      </c>
      <c r="D73" s="28">
        <f>C73/C$145</f>
        <v>0</v>
      </c>
      <c r="E73" s="158"/>
      <c r="F73" s="28">
        <f>E73/E$145</f>
        <v>0</v>
      </c>
      <c r="G73" s="158"/>
      <c r="H73" s="28">
        <f>G73/G$145</f>
        <v>0</v>
      </c>
      <c r="I73" s="158"/>
      <c r="J73" s="28">
        <f>I73/I$145</f>
        <v>0</v>
      </c>
      <c r="K73" s="158"/>
      <c r="L73" s="28">
        <f>K73/K$145</f>
        <v>0</v>
      </c>
      <c r="M73" s="158"/>
      <c r="N73" s="28">
        <f>M73/M$145</f>
        <v>0</v>
      </c>
      <c r="O73" s="158"/>
      <c r="P73" s="28">
        <f>O73/O$145</f>
        <v>0</v>
      </c>
      <c r="Q73" s="158"/>
      <c r="R73" s="28">
        <f>Q73/Q$145</f>
        <v>0</v>
      </c>
      <c r="S73" s="158"/>
      <c r="T73" s="28">
        <f>S73/S$145</f>
        <v>0</v>
      </c>
      <c r="U73" s="158"/>
      <c r="V73" s="28">
        <f>U73/U$145</f>
        <v>0</v>
      </c>
      <c r="W73" s="158"/>
      <c r="X73" s="28">
        <f>W73/W$145</f>
        <v>0</v>
      </c>
      <c r="Y73" s="158"/>
      <c r="Z73" s="28">
        <f>Y73/Y$145</f>
        <v>0</v>
      </c>
      <c r="AA73" s="59">
        <f t="shared" si="23"/>
        <v>0</v>
      </c>
      <c r="AB73" s="60">
        <f t="shared" si="51"/>
        <v>0</v>
      </c>
      <c r="AC73" s="67">
        <f t="shared" si="52"/>
        <v>0</v>
      </c>
      <c r="AD73" s="68">
        <f t="shared" si="53"/>
        <v>0</v>
      </c>
      <c r="AE73" s="44"/>
      <c r="AF73" s="21"/>
      <c r="AW73" s="99"/>
      <c r="AX73" s="99"/>
    </row>
    <row r="74" spans="1:50">
      <c r="A74" s="2">
        <v>6135</v>
      </c>
      <c r="B74" s="219" t="s">
        <v>239</v>
      </c>
      <c r="C74" s="158">
        <v>4500</v>
      </c>
      <c r="D74" s="28"/>
      <c r="E74" s="158">
        <v>4500</v>
      </c>
      <c r="F74" s="28"/>
      <c r="G74" s="158">
        <v>4500</v>
      </c>
      <c r="H74" s="28"/>
      <c r="I74" s="158">
        <v>4500</v>
      </c>
      <c r="J74" s="28"/>
      <c r="K74" s="158">
        <v>4500</v>
      </c>
      <c r="L74" s="28"/>
      <c r="M74" s="158">
        <v>4500</v>
      </c>
      <c r="N74" s="28"/>
      <c r="O74" s="158">
        <v>4500</v>
      </c>
      <c r="P74" s="28"/>
      <c r="Q74" s="158">
        <v>4500</v>
      </c>
      <c r="R74" s="28"/>
      <c r="S74" s="158">
        <v>4500</v>
      </c>
      <c r="T74" s="28"/>
      <c r="U74" s="158">
        <v>4500</v>
      </c>
      <c r="V74" s="28"/>
      <c r="W74" s="158">
        <f>54000/12</f>
        <v>4500</v>
      </c>
      <c r="X74" s="28"/>
      <c r="Y74" s="158">
        <f>54000/12</f>
        <v>4500</v>
      </c>
      <c r="Z74" s="28"/>
      <c r="AA74" s="59">
        <f t="shared" si="23"/>
        <v>54000</v>
      </c>
      <c r="AB74" s="60">
        <f t="shared" si="51"/>
        <v>-0.37292864976552481</v>
      </c>
      <c r="AC74" s="67">
        <f t="shared" si="52"/>
        <v>4500</v>
      </c>
      <c r="AD74" s="68">
        <f t="shared" si="53"/>
        <v>-0.37292864976552481</v>
      </c>
      <c r="AE74" s="44"/>
      <c r="AF74" s="21"/>
      <c r="AW74" s="99"/>
      <c r="AX74" s="99"/>
    </row>
    <row r="75" spans="1:50">
      <c r="A75" s="2">
        <v>6136</v>
      </c>
      <c r="B75" s="219" t="s">
        <v>256</v>
      </c>
      <c r="C75" s="158">
        <v>3000</v>
      </c>
      <c r="D75" s="28">
        <f>C75/C$145</f>
        <v>-0.21405022545709818</v>
      </c>
      <c r="E75" s="158">
        <v>3000</v>
      </c>
      <c r="F75" s="28">
        <f>E75/E$145</f>
        <v>-0.21405022545709818</v>
      </c>
      <c r="G75" s="158">
        <v>3000</v>
      </c>
      <c r="H75" s="28">
        <f>G75/G$145</f>
        <v>-0.21405022545709818</v>
      </c>
      <c r="I75" s="158">
        <v>3000</v>
      </c>
      <c r="J75" s="28">
        <f>I75/I$145</f>
        <v>-0.21405022545709818</v>
      </c>
      <c r="K75" s="158">
        <v>3000</v>
      </c>
      <c r="L75" s="28">
        <f>K75/K$145</f>
        <v>-0.21405022545709818</v>
      </c>
      <c r="M75" s="158">
        <v>3000</v>
      </c>
      <c r="N75" s="28">
        <f>M75/M$145</f>
        <v>-0.27957945518773597</v>
      </c>
      <c r="O75" s="158">
        <v>3000</v>
      </c>
      <c r="P75" s="28">
        <f>O75/O$145</f>
        <v>-0.34421819353986943</v>
      </c>
      <c r="Q75" s="158">
        <v>3000</v>
      </c>
      <c r="R75" s="28">
        <f>Q75/Q$145</f>
        <v>-0.21405022545709818</v>
      </c>
      <c r="S75" s="158">
        <v>3000</v>
      </c>
      <c r="T75" s="28">
        <f>S75/S$145</f>
        <v>-0.21405037818220402</v>
      </c>
      <c r="U75" s="158">
        <f>36000/12</f>
        <v>3000</v>
      </c>
      <c r="V75" s="28">
        <f>U75/U$145</f>
        <v>-0.21405022545709818</v>
      </c>
      <c r="W75" s="158">
        <f>36000/12</f>
        <v>3000</v>
      </c>
      <c r="X75" s="28">
        <f>W75/W$145</f>
        <v>-0.21405022545709818</v>
      </c>
      <c r="Y75" s="158">
        <f>36000/12</f>
        <v>3000</v>
      </c>
      <c r="Z75" s="28">
        <f>Y75/Y$145</f>
        <v>3.8236150879248116</v>
      </c>
      <c r="AA75" s="59">
        <f t="shared" si="23"/>
        <v>36000</v>
      </c>
      <c r="AB75" s="60">
        <f t="shared" si="51"/>
        <v>-0.24861909984368322</v>
      </c>
      <c r="AC75" s="67">
        <f t="shared" si="52"/>
        <v>3000</v>
      </c>
      <c r="AD75" s="68">
        <f t="shared" si="53"/>
        <v>-0.24861909984368319</v>
      </c>
      <c r="AE75" s="44"/>
      <c r="AF75" s="21"/>
      <c r="AW75" s="99"/>
      <c r="AX75" s="99"/>
    </row>
    <row r="76" spans="1:50" ht="15.75" thickBot="1">
      <c r="A76" s="39">
        <v>6199</v>
      </c>
      <c r="B76" s="39" t="s">
        <v>23</v>
      </c>
      <c r="C76" s="31">
        <f>SUM(C42:C75)</f>
        <v>43625</v>
      </c>
      <c r="D76" s="52">
        <f t="shared" ref="D76:D83" si="54">C76/C$145</f>
        <v>-3.1126470285219692</v>
      </c>
      <c r="E76" s="31">
        <f>SUM(E42:E75)</f>
        <v>43625</v>
      </c>
      <c r="F76" s="52">
        <f t="shared" ref="F76:F81" si="55">E76/E$145</f>
        <v>-3.1126470285219692</v>
      </c>
      <c r="G76" s="31">
        <f>SUM(G42:G75)</f>
        <v>43625</v>
      </c>
      <c r="H76" s="52">
        <f t="shared" ref="H76:H81" si="56">G76/G$145</f>
        <v>-3.1126470285219692</v>
      </c>
      <c r="I76" s="31">
        <f>SUM(I42:I75)</f>
        <v>43625</v>
      </c>
      <c r="J76" s="52">
        <f t="shared" ref="J76:J81" si="57">I76/I$145</f>
        <v>-3.1126470285219692</v>
      </c>
      <c r="K76" s="31">
        <f>SUM(K42:K75)</f>
        <v>43625</v>
      </c>
      <c r="L76" s="52">
        <f t="shared" ref="L76:L81" si="58">K76/K$145</f>
        <v>-3.1126470285219692</v>
      </c>
      <c r="M76" s="31">
        <f>SUM(M42:M75)</f>
        <v>46910</v>
      </c>
      <c r="N76" s="52">
        <f t="shared" ref="N76:N81" si="59">M76/M$145</f>
        <v>-4.3716907476188975</v>
      </c>
      <c r="O76" s="31">
        <f>SUM(O42:O75)</f>
        <v>48925</v>
      </c>
      <c r="P76" s="52">
        <f t="shared" ref="P76:P90" si="60">O76/O$145</f>
        <v>-5.6136250396460374</v>
      </c>
      <c r="Q76" s="31">
        <f>SUM(Q42:Q75)</f>
        <v>43625</v>
      </c>
      <c r="R76" s="52">
        <f t="shared" ref="R76:R81" si="61">Q76/Q$145</f>
        <v>-3.1126470285219692</v>
      </c>
      <c r="S76" s="31">
        <f>SUM(S42:S75)</f>
        <v>43625</v>
      </c>
      <c r="T76" s="52">
        <f t="shared" ref="T76:AD82" si="62">S76/S$145</f>
        <v>-3.1126492493995501</v>
      </c>
      <c r="U76" s="31">
        <f>SUM(U42:U75)</f>
        <v>43625</v>
      </c>
      <c r="V76" s="52">
        <f t="shared" ref="V76:V81" si="63">U76/U$145</f>
        <v>-3.1126470285219692</v>
      </c>
      <c r="W76" s="31">
        <f>SUM(W42:W75)</f>
        <v>43625</v>
      </c>
      <c r="X76" s="52">
        <f t="shared" ref="X76:X81" si="64">W76/W$145</f>
        <v>-3.1126470285219692</v>
      </c>
      <c r="Y76" s="31">
        <f>SUM(Y42:Y75)</f>
        <v>58425</v>
      </c>
      <c r="Z76" s="52">
        <f t="shared" ref="Z76:Z82" si="65">Y76/Y$145</f>
        <v>74.464903837335712</v>
      </c>
      <c r="AA76" s="61">
        <f>SUM(AA42:AA75)</f>
        <v>546885</v>
      </c>
      <c r="AB76" s="74">
        <f t="shared" si="62"/>
        <v>-3.7768349005003525</v>
      </c>
      <c r="AC76" s="24">
        <f>SUM(AC42:AC75)</f>
        <v>45573.75</v>
      </c>
      <c r="AD76" s="77">
        <f t="shared" si="62"/>
        <v>-3.7768349005003525</v>
      </c>
      <c r="AE76" s="44">
        <f t="shared" ref="AE76:AE149" si="66">C76+E76+G76+I76+K76+M76+O76+Q76+S76+U76+W76+Y76</f>
        <v>546885</v>
      </c>
      <c r="AF76" s="21">
        <f t="shared" ref="AF76:AF149" si="67">AA76-AE76</f>
        <v>0</v>
      </c>
      <c r="AG76" s="116">
        <v>70000</v>
      </c>
      <c r="AH76" s="83" t="s">
        <v>132</v>
      </c>
      <c r="AW76" s="99"/>
      <c r="AX76" s="99"/>
    </row>
    <row r="77" spans="1:50" ht="15.75" thickTop="1">
      <c r="A77" s="2">
        <v>6201</v>
      </c>
      <c r="B77" s="2" t="s">
        <v>24</v>
      </c>
      <c r="C77" s="16">
        <v>163330.19999999998</v>
      </c>
      <c r="D77" s="28">
        <f t="shared" si="54"/>
        <v>-11.653622044650978</v>
      </c>
      <c r="E77" s="16">
        <v>163330.19999999998</v>
      </c>
      <c r="F77" s="28">
        <f t="shared" si="55"/>
        <v>-11.653622044650978</v>
      </c>
      <c r="G77" s="16">
        <v>163330.19999999998</v>
      </c>
      <c r="H77" s="28">
        <f t="shared" si="56"/>
        <v>-11.653622044650978</v>
      </c>
      <c r="I77" s="16">
        <v>163330.19999999998</v>
      </c>
      <c r="J77" s="28">
        <f t="shared" si="57"/>
        <v>-11.653622044650978</v>
      </c>
      <c r="K77" s="16">
        <v>163330.19999999998</v>
      </c>
      <c r="L77" s="28">
        <f t="shared" si="58"/>
        <v>-11.653622044650978</v>
      </c>
      <c r="M77" s="16">
        <v>163330.19999999998</v>
      </c>
      <c r="N77" s="28">
        <f t="shared" si="59"/>
        <v>-15.221256110567982</v>
      </c>
      <c r="O77" s="16">
        <v>163330.19999999998</v>
      </c>
      <c r="P77" s="28">
        <f t="shared" si="60"/>
        <v>-18.740408798168527</v>
      </c>
      <c r="Q77" s="16">
        <v>163330.19999999998</v>
      </c>
      <c r="R77" s="28">
        <f t="shared" si="61"/>
        <v>-11.653622044650978</v>
      </c>
      <c r="S77" s="16">
        <v>163330.19999999998</v>
      </c>
      <c r="T77" s="28">
        <f t="shared" si="62"/>
        <v>-11.653630359525005</v>
      </c>
      <c r="U77" s="16">
        <v>163330.19999999998</v>
      </c>
      <c r="V77" s="28">
        <f t="shared" si="63"/>
        <v>-11.653622044650978</v>
      </c>
      <c r="W77" s="16">
        <v>163330.19999999998</v>
      </c>
      <c r="X77" s="28">
        <f t="shared" si="64"/>
        <v>-11.653622044650978</v>
      </c>
      <c r="Y77" s="16">
        <v>163330.19999999998</v>
      </c>
      <c r="Z77" s="28">
        <f t="shared" si="65"/>
        <v>208.17060567792566</v>
      </c>
      <c r="AA77" s="59">
        <f t="shared" ref="AA77:AA92" si="68">C77+E77+G77+I77+K77+M77+O77+Q77+S77+U77+W77+Y77</f>
        <v>1959962.3999999997</v>
      </c>
      <c r="AB77" s="60">
        <f t="shared" si="62"/>
        <v>-13.53566910042958</v>
      </c>
      <c r="AC77" s="67">
        <f t="shared" ref="AC77:AC148" si="69">AA77/12</f>
        <v>163330.19999999998</v>
      </c>
      <c r="AD77" s="68">
        <f t="shared" si="62"/>
        <v>-13.53566910042958</v>
      </c>
      <c r="AE77" s="44">
        <f t="shared" si="66"/>
        <v>1959962.3999999997</v>
      </c>
      <c r="AF77" s="21">
        <f t="shared" si="67"/>
        <v>0</v>
      </c>
      <c r="AG77" s="16">
        <v>190355.97</v>
      </c>
      <c r="AJ77" s="44"/>
      <c r="AW77" s="99"/>
      <c r="AX77" s="99"/>
    </row>
    <row r="78" spans="1:50">
      <c r="A78" s="2">
        <v>6202</v>
      </c>
      <c r="B78" s="2" t="s">
        <v>25</v>
      </c>
      <c r="C78" s="16">
        <v>75929.299999999988</v>
      </c>
      <c r="D78" s="28">
        <f t="shared" si="54"/>
        <v>-5.4175612612665471</v>
      </c>
      <c r="E78" s="16">
        <v>75929.299999999988</v>
      </c>
      <c r="F78" s="28">
        <f t="shared" si="55"/>
        <v>-5.4175612612665471</v>
      </c>
      <c r="G78" s="16">
        <v>75929.299999999988</v>
      </c>
      <c r="H78" s="28">
        <f t="shared" si="56"/>
        <v>-5.4175612612665471</v>
      </c>
      <c r="I78" s="16">
        <v>75929.299999999988</v>
      </c>
      <c r="J78" s="28">
        <f t="shared" si="57"/>
        <v>-5.4175612612665471</v>
      </c>
      <c r="K78" s="16">
        <v>75929.299999999988</v>
      </c>
      <c r="L78" s="28">
        <f t="shared" si="58"/>
        <v>-5.4175612612665471</v>
      </c>
      <c r="M78" s="16">
        <v>75929.299999999988</v>
      </c>
      <c r="N78" s="28">
        <f t="shared" si="59"/>
        <v>-7.076090775595385</v>
      </c>
      <c r="O78" s="16">
        <v>75929.299999999988</v>
      </c>
      <c r="P78" s="28">
        <f t="shared" si="60"/>
        <v>-8.7120821609156014</v>
      </c>
      <c r="Q78" s="16">
        <v>75929.299999999988</v>
      </c>
      <c r="R78" s="28">
        <f t="shared" si="61"/>
        <v>-5.4175612612665471</v>
      </c>
      <c r="S78" s="16">
        <v>75929.299999999988</v>
      </c>
      <c r="T78" s="28">
        <f t="shared" si="62"/>
        <v>-5.41756512670334</v>
      </c>
      <c r="U78" s="16">
        <v>75929.299999999988</v>
      </c>
      <c r="V78" s="28">
        <f t="shared" si="63"/>
        <v>-5.4175612612665471</v>
      </c>
      <c r="W78" s="16">
        <v>75929.299999999988</v>
      </c>
      <c r="X78" s="28">
        <f t="shared" si="64"/>
        <v>-5.4175612612665471</v>
      </c>
      <c r="Y78" s="16">
        <v>75929.299999999988</v>
      </c>
      <c r="Z78" s="28">
        <f t="shared" si="65"/>
        <v>96.774805698523124</v>
      </c>
      <c r="AA78" s="59">
        <f t="shared" si="68"/>
        <v>911151.60000000009</v>
      </c>
      <c r="AB78" s="60">
        <f t="shared" si="62"/>
        <v>-6.2924914059203259</v>
      </c>
      <c r="AC78" s="67">
        <f t="shared" si="69"/>
        <v>75929.3</v>
      </c>
      <c r="AD78" s="68">
        <f t="shared" si="62"/>
        <v>-6.292491405920325</v>
      </c>
      <c r="AE78" s="44">
        <f t="shared" si="66"/>
        <v>911151.60000000009</v>
      </c>
      <c r="AF78" s="21">
        <f t="shared" si="67"/>
        <v>0</v>
      </c>
      <c r="AG78" s="16">
        <v>79110.63</v>
      </c>
      <c r="AW78" s="99"/>
      <c r="AX78" s="99"/>
    </row>
    <row r="79" spans="1:50">
      <c r="A79" s="2">
        <v>6203</v>
      </c>
      <c r="B79" s="2" t="s">
        <v>26</v>
      </c>
      <c r="C79" s="16">
        <v>27771.5</v>
      </c>
      <c r="D79" s="28">
        <f t="shared" si="54"/>
        <v>-1.981498612093934</v>
      </c>
      <c r="E79" s="16">
        <v>27771.5</v>
      </c>
      <c r="F79" s="28">
        <f t="shared" si="55"/>
        <v>-1.981498612093934</v>
      </c>
      <c r="G79" s="16">
        <v>27771.5</v>
      </c>
      <c r="H79" s="28">
        <f t="shared" si="56"/>
        <v>-1.981498612093934</v>
      </c>
      <c r="I79" s="16">
        <v>27771.5</v>
      </c>
      <c r="J79" s="28">
        <f t="shared" si="57"/>
        <v>-1.981498612093934</v>
      </c>
      <c r="K79" s="16">
        <v>27771.5</v>
      </c>
      <c r="L79" s="28">
        <f t="shared" si="58"/>
        <v>-1.981498612093934</v>
      </c>
      <c r="M79" s="16">
        <v>27771.5</v>
      </c>
      <c r="N79" s="28">
        <f t="shared" si="59"/>
        <v>-2.5881136132487361</v>
      </c>
      <c r="O79" s="16">
        <v>27771.5</v>
      </c>
      <c r="P79" s="28">
        <f t="shared" si="60"/>
        <v>-3.1864851872974946</v>
      </c>
      <c r="Q79" s="16">
        <v>27771.5</v>
      </c>
      <c r="R79" s="28">
        <f t="shared" si="61"/>
        <v>-1.981498612093934</v>
      </c>
      <c r="S79" s="16">
        <v>27771.5</v>
      </c>
      <c r="T79" s="28">
        <f t="shared" si="62"/>
        <v>-1.981500025895693</v>
      </c>
      <c r="U79" s="16">
        <v>27771.5</v>
      </c>
      <c r="V79" s="28">
        <f t="shared" si="63"/>
        <v>-1.981498612093934</v>
      </c>
      <c r="W79" s="16">
        <v>27771.5</v>
      </c>
      <c r="X79" s="28">
        <f t="shared" si="64"/>
        <v>-1.981498612093934</v>
      </c>
      <c r="Y79" s="16">
        <v>27771.5</v>
      </c>
      <c r="Z79" s="28">
        <f t="shared" si="65"/>
        <v>35.395842138101301</v>
      </c>
      <c r="AA79" s="59">
        <f t="shared" si="68"/>
        <v>333258</v>
      </c>
      <c r="AB79" s="60">
        <f t="shared" si="62"/>
        <v>-2.3015084437696163</v>
      </c>
      <c r="AC79" s="67">
        <f t="shared" si="69"/>
        <v>27771.5</v>
      </c>
      <c r="AD79" s="68">
        <f t="shared" si="62"/>
        <v>-2.3015084437696158</v>
      </c>
      <c r="AE79" s="44">
        <f t="shared" si="66"/>
        <v>333258</v>
      </c>
      <c r="AF79" s="21">
        <f t="shared" si="67"/>
        <v>0</v>
      </c>
      <c r="AG79" s="16">
        <v>27943.99</v>
      </c>
      <c r="AW79" s="99"/>
      <c r="AX79" s="99"/>
    </row>
    <row r="80" spans="1:50">
      <c r="A80" s="2">
        <v>6204</v>
      </c>
      <c r="B80" s="2" t="s">
        <v>27</v>
      </c>
      <c r="C80" s="16">
        <v>425</v>
      </c>
      <c r="D80" s="28">
        <f t="shared" si="54"/>
        <v>-3.0323781939755576E-2</v>
      </c>
      <c r="E80" s="16">
        <v>425</v>
      </c>
      <c r="F80" s="28">
        <f t="shared" si="55"/>
        <v>-3.0323781939755576E-2</v>
      </c>
      <c r="G80" s="16">
        <v>425</v>
      </c>
      <c r="H80" s="28">
        <f t="shared" si="56"/>
        <v>-3.0323781939755576E-2</v>
      </c>
      <c r="I80" s="16">
        <v>425</v>
      </c>
      <c r="J80" s="28">
        <f t="shared" si="57"/>
        <v>-3.0323781939755576E-2</v>
      </c>
      <c r="K80" s="16">
        <v>425</v>
      </c>
      <c r="L80" s="28">
        <f t="shared" si="58"/>
        <v>-3.0323781939755576E-2</v>
      </c>
      <c r="M80" s="16">
        <v>425</v>
      </c>
      <c r="N80" s="28">
        <f t="shared" si="59"/>
        <v>-3.9607089484929262E-2</v>
      </c>
      <c r="O80" s="16">
        <v>425</v>
      </c>
      <c r="P80" s="28">
        <f t="shared" si="60"/>
        <v>-4.8764244084814834E-2</v>
      </c>
      <c r="Q80" s="16">
        <v>425</v>
      </c>
      <c r="R80" s="28">
        <f t="shared" si="61"/>
        <v>-3.0323781939755576E-2</v>
      </c>
      <c r="S80" s="16">
        <v>425</v>
      </c>
      <c r="T80" s="28">
        <f t="shared" si="62"/>
        <v>-3.0323803575812235E-2</v>
      </c>
      <c r="U80" s="16">
        <v>425</v>
      </c>
      <c r="V80" s="28">
        <f t="shared" si="63"/>
        <v>-3.0323781939755576E-2</v>
      </c>
      <c r="W80" s="16">
        <v>425</v>
      </c>
      <c r="X80" s="28">
        <f t="shared" si="64"/>
        <v>-3.0323781939755576E-2</v>
      </c>
      <c r="Y80" s="16">
        <v>425</v>
      </c>
      <c r="Z80" s="28">
        <f t="shared" si="65"/>
        <v>0.54167880412268166</v>
      </c>
      <c r="AA80" s="59">
        <f t="shared" si="68"/>
        <v>5100</v>
      </c>
      <c r="AB80" s="60">
        <f t="shared" si="62"/>
        <v>-3.5221039144521786E-2</v>
      </c>
      <c r="AC80" s="67">
        <f t="shared" si="69"/>
        <v>425</v>
      </c>
      <c r="AD80" s="68">
        <f t="shared" si="62"/>
        <v>-3.5221039144521786E-2</v>
      </c>
      <c r="AE80" s="44">
        <f t="shared" si="66"/>
        <v>5100</v>
      </c>
      <c r="AF80" s="21">
        <f t="shared" si="67"/>
        <v>0</v>
      </c>
      <c r="AG80" s="16">
        <v>1464.15</v>
      </c>
      <c r="AW80" s="99"/>
      <c r="AX80" s="99"/>
    </row>
    <row r="81" spans="1:50">
      <c r="A81" s="82">
        <v>6205</v>
      </c>
      <c r="B81" s="2" t="s">
        <v>28</v>
      </c>
      <c r="C81" s="16"/>
      <c r="D81" s="28">
        <f t="shared" si="54"/>
        <v>0</v>
      </c>
      <c r="E81" s="16"/>
      <c r="F81" s="28">
        <f t="shared" si="55"/>
        <v>0</v>
      </c>
      <c r="G81" s="16"/>
      <c r="H81" s="28">
        <f t="shared" si="56"/>
        <v>0</v>
      </c>
      <c r="I81" s="16"/>
      <c r="J81" s="28">
        <f t="shared" si="57"/>
        <v>0</v>
      </c>
      <c r="K81" s="16"/>
      <c r="L81" s="28">
        <f t="shared" si="58"/>
        <v>0</v>
      </c>
      <c r="M81" s="16"/>
      <c r="N81" s="28">
        <f t="shared" si="59"/>
        <v>0</v>
      </c>
      <c r="O81" s="16"/>
      <c r="P81" s="28">
        <f t="shared" si="60"/>
        <v>0</v>
      </c>
      <c r="Q81" s="16"/>
      <c r="R81" s="28">
        <f t="shared" si="61"/>
        <v>0</v>
      </c>
      <c r="S81" s="16"/>
      <c r="T81" s="28">
        <f t="shared" si="62"/>
        <v>0</v>
      </c>
      <c r="U81" s="16"/>
      <c r="V81" s="28">
        <f t="shared" si="63"/>
        <v>0</v>
      </c>
      <c r="W81" s="16"/>
      <c r="X81" s="28">
        <f t="shared" si="64"/>
        <v>0</v>
      </c>
      <c r="Y81" s="16"/>
      <c r="Z81" s="28">
        <f t="shared" si="65"/>
        <v>0</v>
      </c>
      <c r="AA81" s="59">
        <f t="shared" si="68"/>
        <v>0</v>
      </c>
      <c r="AB81" s="60">
        <f t="shared" si="62"/>
        <v>0</v>
      </c>
      <c r="AC81" s="67">
        <f t="shared" si="69"/>
        <v>0</v>
      </c>
      <c r="AD81" s="68">
        <f t="shared" si="62"/>
        <v>0</v>
      </c>
      <c r="AE81" s="44">
        <f t="shared" si="66"/>
        <v>0</v>
      </c>
      <c r="AF81" s="21">
        <f t="shared" si="67"/>
        <v>0</v>
      </c>
      <c r="AG81" s="16">
        <v>7500</v>
      </c>
      <c r="AW81" s="99"/>
      <c r="AX81" s="99"/>
    </row>
    <row r="82" spans="1:50">
      <c r="A82" s="2">
        <v>6206</v>
      </c>
      <c r="B82" s="2" t="s">
        <v>156</v>
      </c>
      <c r="C82" s="297">
        <v>11894.704166666666</v>
      </c>
      <c r="D82" s="28">
        <f>C82/C$145</f>
        <v>-0.84868803620682831</v>
      </c>
      <c r="E82" s="297">
        <v>11894.704166666666</v>
      </c>
      <c r="F82" s="28">
        <f>E82/E$145</f>
        <v>-0.84868803620682831</v>
      </c>
      <c r="G82" s="297">
        <v>11894.704166666666</v>
      </c>
      <c r="H82" s="28">
        <f>G82/G$145</f>
        <v>-0.84868803620682831</v>
      </c>
      <c r="I82" s="297">
        <v>11894.704166666666</v>
      </c>
      <c r="J82" s="28">
        <f>I82/I$145</f>
        <v>-0.84868803620682831</v>
      </c>
      <c r="K82" s="297">
        <v>11894.704166666666</v>
      </c>
      <c r="L82" s="28">
        <f>K82/K$145</f>
        <v>-0.84868803620682831</v>
      </c>
      <c r="M82" s="297">
        <v>11894.704166666666</v>
      </c>
      <c r="N82" s="28">
        <f>M82/M$145</f>
        <v>-1.1085049701786531</v>
      </c>
      <c r="O82" s="297">
        <v>11894.704166666666</v>
      </c>
      <c r="P82" s="28">
        <f>O82/O$145</f>
        <v>-1.3647911936470527</v>
      </c>
      <c r="Q82" s="297">
        <v>11894.704166666666</v>
      </c>
      <c r="R82" s="28">
        <f>Q82/Q$145</f>
        <v>-0.84868803620682831</v>
      </c>
      <c r="S82" s="297">
        <v>11894.704166666666</v>
      </c>
      <c r="T82" s="28">
        <f t="shared" si="62"/>
        <v>-0.84868864174681258</v>
      </c>
      <c r="U82" s="297">
        <v>11894.704166666666</v>
      </c>
      <c r="V82" s="28">
        <f>U82/U$145</f>
        <v>-0.84868803620682831</v>
      </c>
      <c r="W82" s="297">
        <v>11894.704166666666</v>
      </c>
      <c r="X82" s="28">
        <f>W82/W$145</f>
        <v>-0.84868803620682831</v>
      </c>
      <c r="Y82" s="297">
        <v>11894.704166666666</v>
      </c>
      <c r="Z82" s="28">
        <f t="shared" si="65"/>
        <v>15.160256772689596</v>
      </c>
      <c r="AA82" s="59">
        <f t="shared" ref="AA82" si="70">C82+E82+G82+I82+K82+M82+O82+Q82+S82+U82+W82+Y82</f>
        <v>142736.44999999998</v>
      </c>
      <c r="AB82" s="60">
        <f t="shared" si="62"/>
        <v>-0.98575021427452481</v>
      </c>
      <c r="AC82" s="67">
        <f t="shared" si="69"/>
        <v>11894.704166666665</v>
      </c>
      <c r="AD82" s="68">
        <f t="shared" si="62"/>
        <v>-0.98575021427452469</v>
      </c>
      <c r="AE82" s="44">
        <f t="shared" si="66"/>
        <v>142736.44999999998</v>
      </c>
      <c r="AF82" s="21">
        <f t="shared" si="67"/>
        <v>0</v>
      </c>
      <c r="AG82" s="16">
        <v>1579.47</v>
      </c>
      <c r="AH82" s="1" t="s">
        <v>203</v>
      </c>
      <c r="AW82" s="99"/>
      <c r="AX82" s="99"/>
    </row>
    <row r="83" spans="1:50">
      <c r="A83" s="2">
        <v>6207</v>
      </c>
      <c r="B83" s="2" t="s">
        <v>157</v>
      </c>
      <c r="C83" s="19">
        <v>4690</v>
      </c>
      <c r="D83" s="28">
        <f t="shared" si="54"/>
        <v>-0.33463185246459681</v>
      </c>
      <c r="E83" s="19">
        <v>4690</v>
      </c>
      <c r="F83" s="28">
        <f t="shared" ref="F83" si="71">E83/E$145</f>
        <v>-0.33463185246459681</v>
      </c>
      <c r="G83" s="19">
        <v>4690</v>
      </c>
      <c r="H83" s="28">
        <f t="shared" ref="H83" si="72">G83/G$145</f>
        <v>-0.33463185246459681</v>
      </c>
      <c r="I83" s="19">
        <v>4690</v>
      </c>
      <c r="J83" s="28">
        <f t="shared" ref="J83" si="73">I83/I$145</f>
        <v>-0.33463185246459681</v>
      </c>
      <c r="K83" s="19">
        <v>4690</v>
      </c>
      <c r="L83" s="28">
        <f t="shared" ref="L83" si="74">K83/K$145</f>
        <v>-0.33463185246459681</v>
      </c>
      <c r="M83" s="19">
        <v>4690</v>
      </c>
      <c r="N83" s="28">
        <f t="shared" ref="N83" si="75">M83/M$145</f>
        <v>-0.43707588161016053</v>
      </c>
      <c r="O83" s="19">
        <v>4690</v>
      </c>
      <c r="P83" s="28">
        <f t="shared" si="60"/>
        <v>-0.53812777590066252</v>
      </c>
      <c r="Q83" s="19">
        <v>4690</v>
      </c>
      <c r="R83" s="28">
        <f t="shared" ref="R83" si="76">Q83/Q$145</f>
        <v>-0.33463185246459681</v>
      </c>
      <c r="S83" s="19">
        <v>4690</v>
      </c>
      <c r="T83" s="28">
        <f t="shared" ref="T83" si="77">S83/S$145</f>
        <v>-0.33463209122484561</v>
      </c>
      <c r="U83" s="19">
        <v>4690</v>
      </c>
      <c r="V83" s="28">
        <f t="shared" ref="V83" si="78">U83/U$145</f>
        <v>-0.33463185246459681</v>
      </c>
      <c r="W83" s="19">
        <v>4690</v>
      </c>
      <c r="X83" s="28">
        <f t="shared" ref="X83" si="79">W83/W$145</f>
        <v>-0.33463185246459681</v>
      </c>
      <c r="Y83" s="19">
        <v>4690</v>
      </c>
      <c r="Z83" s="28">
        <f t="shared" ref="Z83" si="80">Y83/Y$145</f>
        <v>5.9775849207891225</v>
      </c>
      <c r="AA83" s="59">
        <f t="shared" si="68"/>
        <v>56280</v>
      </c>
      <c r="AB83" s="60">
        <f t="shared" ref="AB83" si="81">AA83/AA$145</f>
        <v>-0.38867452608895808</v>
      </c>
      <c r="AC83" s="67">
        <f t="shared" si="69"/>
        <v>4690</v>
      </c>
      <c r="AD83" s="68">
        <f t="shared" ref="AD83" si="82">AC83/AC$145</f>
        <v>-0.38867452608895808</v>
      </c>
      <c r="AE83" s="44">
        <f t="shared" si="66"/>
        <v>56280</v>
      </c>
      <c r="AF83" s="21">
        <f t="shared" si="67"/>
        <v>0</v>
      </c>
      <c r="AG83" s="16">
        <v>15391.52</v>
      </c>
      <c r="AW83" s="99"/>
      <c r="AX83" s="99"/>
    </row>
    <row r="84" spans="1:50">
      <c r="A84" s="2">
        <v>6208</v>
      </c>
      <c r="B84" s="2" t="s">
        <v>158</v>
      </c>
      <c r="C84" s="16"/>
      <c r="D84" s="28">
        <f t="shared" ref="D84" si="83">C84/C$145</f>
        <v>0</v>
      </c>
      <c r="E84" s="16"/>
      <c r="F84" s="28">
        <f t="shared" ref="F84" si="84">E84/E$145</f>
        <v>0</v>
      </c>
      <c r="G84" s="16"/>
      <c r="H84" s="28">
        <f t="shared" ref="H84" si="85">G84/G$145</f>
        <v>0</v>
      </c>
      <c r="I84" s="16"/>
      <c r="J84" s="28">
        <f t="shared" ref="J84" si="86">I84/I$145</f>
        <v>0</v>
      </c>
      <c r="K84" s="16"/>
      <c r="L84" s="28">
        <f t="shared" ref="L84" si="87">K84/K$145</f>
        <v>0</v>
      </c>
      <c r="M84" s="16"/>
      <c r="N84" s="28">
        <f t="shared" ref="N84" si="88">M84/M$145</f>
        <v>0</v>
      </c>
      <c r="O84" s="16"/>
      <c r="P84" s="28">
        <f t="shared" si="60"/>
        <v>0</v>
      </c>
      <c r="Q84" s="16"/>
      <c r="R84" s="28">
        <f t="shared" ref="R84" si="89">Q84/Q$145</f>
        <v>0</v>
      </c>
      <c r="S84" s="16"/>
      <c r="T84" s="28">
        <f t="shared" ref="T84" si="90">S84/S$145</f>
        <v>0</v>
      </c>
      <c r="U84" s="16"/>
      <c r="V84" s="28">
        <f t="shared" ref="V84" si="91">U84/U$145</f>
        <v>0</v>
      </c>
      <c r="W84" s="16"/>
      <c r="X84" s="28">
        <f t="shared" ref="X84" si="92">W84/W$145</f>
        <v>0</v>
      </c>
      <c r="Y84" s="16"/>
      <c r="Z84" s="28">
        <f t="shared" ref="Z84" si="93">Y84/Y$145</f>
        <v>0</v>
      </c>
      <c r="AA84" s="59">
        <f t="shared" si="68"/>
        <v>0</v>
      </c>
      <c r="AB84" s="60">
        <f t="shared" ref="AB84" si="94">AA84/AA$145</f>
        <v>0</v>
      </c>
      <c r="AC84" s="67">
        <f t="shared" si="69"/>
        <v>0</v>
      </c>
      <c r="AD84" s="68">
        <f t="shared" ref="AD84" si="95">AC84/AC$145</f>
        <v>0</v>
      </c>
      <c r="AE84" s="44">
        <f t="shared" si="66"/>
        <v>0</v>
      </c>
      <c r="AF84" s="21">
        <f t="shared" si="67"/>
        <v>0</v>
      </c>
      <c r="AG84" s="16"/>
      <c r="AW84" s="99"/>
      <c r="AX84" s="99"/>
    </row>
    <row r="85" spans="1:50">
      <c r="A85" s="2">
        <v>6209</v>
      </c>
      <c r="B85" s="2" t="s">
        <v>29</v>
      </c>
      <c r="C85" s="16">
        <v>17800.5</v>
      </c>
      <c r="D85" s="28">
        <f t="shared" ref="D85:D90" si="96">C85/C$145</f>
        <v>-1.270067012749692</v>
      </c>
      <c r="E85" s="16">
        <v>17800.5</v>
      </c>
      <c r="F85" s="28">
        <f t="shared" ref="F85:F90" si="97">E85/E$145</f>
        <v>-1.270067012749692</v>
      </c>
      <c r="G85" s="16">
        <v>17800.5</v>
      </c>
      <c r="H85" s="28">
        <f t="shared" ref="H85:H90" si="98">G85/G$145</f>
        <v>-1.270067012749692</v>
      </c>
      <c r="I85" s="16">
        <v>17800.5</v>
      </c>
      <c r="J85" s="28">
        <f t="shared" ref="J85:J90" si="99">I85/I$145</f>
        <v>-1.270067012749692</v>
      </c>
      <c r="K85" s="16">
        <v>17800.5</v>
      </c>
      <c r="L85" s="28">
        <f t="shared" ref="L85:L90" si="100">K85/K$145</f>
        <v>-1.270067012749692</v>
      </c>
      <c r="M85" s="16">
        <v>17800.5</v>
      </c>
      <c r="N85" s="28">
        <f t="shared" ref="N85:N90" si="101">M85/M$145</f>
        <v>-1.6588846973564313</v>
      </c>
      <c r="O85" s="16">
        <v>17800.5</v>
      </c>
      <c r="P85" s="28">
        <f t="shared" si="60"/>
        <v>-2.0424186513688154</v>
      </c>
      <c r="Q85" s="16">
        <v>17800.5</v>
      </c>
      <c r="R85" s="28">
        <f t="shared" ref="R85:R90" si="102">Q85/Q$145</f>
        <v>-1.270067012749692</v>
      </c>
      <c r="S85" s="16">
        <v>17800.5</v>
      </c>
      <c r="T85" s="28">
        <f t="shared" ref="T85:AD93" si="103">S85/S$145</f>
        <v>-1.2700679189441075</v>
      </c>
      <c r="U85" s="16">
        <v>17800.5</v>
      </c>
      <c r="V85" s="28">
        <f t="shared" ref="V85:V90" si="104">U85/U$145</f>
        <v>-1.270067012749692</v>
      </c>
      <c r="W85" s="16">
        <v>17800.5</v>
      </c>
      <c r="X85" s="28">
        <f t="shared" ref="X85:X90" si="105">W85/W$145</f>
        <v>-1.270067012749692</v>
      </c>
      <c r="Y85" s="16">
        <v>17800.5</v>
      </c>
      <c r="Z85" s="28">
        <f t="shared" ref="Z85:Z93" si="106">Y85/Y$145</f>
        <v>22.687420124201871</v>
      </c>
      <c r="AA85" s="59">
        <f t="shared" si="68"/>
        <v>213606</v>
      </c>
      <c r="AB85" s="60">
        <f t="shared" si="103"/>
        <v>-1.4751814289224943</v>
      </c>
      <c r="AC85" s="67">
        <f t="shared" si="69"/>
        <v>17800.5</v>
      </c>
      <c r="AD85" s="68">
        <f t="shared" si="103"/>
        <v>-1.4751814289224943</v>
      </c>
      <c r="AE85" s="44">
        <f t="shared" si="66"/>
        <v>213606</v>
      </c>
      <c r="AF85" s="21">
        <f t="shared" si="67"/>
        <v>0</v>
      </c>
      <c r="AG85" s="16">
        <v>31732.21</v>
      </c>
      <c r="AW85" s="99"/>
      <c r="AX85" s="99"/>
    </row>
    <row r="86" spans="1:50">
      <c r="A86" s="2">
        <v>6210</v>
      </c>
      <c r="B86" s="2" t="s">
        <v>30</v>
      </c>
      <c r="C86" s="16">
        <v>9195.710136986303</v>
      </c>
      <c r="D86" s="28">
        <f t="shared" si="96"/>
        <v>-0.65611460935334709</v>
      </c>
      <c r="E86" s="16">
        <v>9195.710136986303</v>
      </c>
      <c r="F86" s="28">
        <f t="shared" si="97"/>
        <v>-0.65611460935334709</v>
      </c>
      <c r="G86" s="16">
        <v>9195.710136986303</v>
      </c>
      <c r="H86" s="28">
        <f t="shared" si="98"/>
        <v>-0.65611460935334709</v>
      </c>
      <c r="I86" s="16">
        <v>9195.710136986303</v>
      </c>
      <c r="J86" s="28">
        <f t="shared" si="99"/>
        <v>-0.65611460935334709</v>
      </c>
      <c r="K86" s="16">
        <v>9195.710136986303</v>
      </c>
      <c r="L86" s="28">
        <f t="shared" si="100"/>
        <v>-0.65611460935334709</v>
      </c>
      <c r="M86" s="16">
        <v>9195.710136986303</v>
      </c>
      <c r="N86" s="28">
        <f t="shared" si="101"/>
        <v>-0.85697721005432381</v>
      </c>
      <c r="O86" s="16">
        <v>9195.710136986303</v>
      </c>
      <c r="P86" s="28">
        <f t="shared" si="60"/>
        <v>-1.0551102438898969</v>
      </c>
      <c r="Q86" s="16">
        <v>9195.710136986303</v>
      </c>
      <c r="R86" s="28">
        <f t="shared" si="102"/>
        <v>-0.65611460935334709</v>
      </c>
      <c r="S86" s="16">
        <v>9195.710136986303</v>
      </c>
      <c r="T86" s="28">
        <f t="shared" si="103"/>
        <v>-0.65611507749194842</v>
      </c>
      <c r="U86" s="16">
        <v>9195.710136986303</v>
      </c>
      <c r="V86" s="28">
        <f t="shared" si="104"/>
        <v>-0.65611460935334709</v>
      </c>
      <c r="W86" s="16">
        <v>9195.710136986303</v>
      </c>
      <c r="X86" s="28">
        <f t="shared" si="105"/>
        <v>-0.65611460935334709</v>
      </c>
      <c r="Y86" s="16">
        <v>9195.710136986303</v>
      </c>
      <c r="Z86" s="28">
        <f t="shared" si="106"/>
        <v>11.720285341321322</v>
      </c>
      <c r="AA86" s="59">
        <f t="shared" si="68"/>
        <v>110348.52164383566</v>
      </c>
      <c r="AB86" s="60">
        <f t="shared" si="103"/>
        <v>-0.76207639222698931</v>
      </c>
      <c r="AC86" s="67">
        <f t="shared" si="69"/>
        <v>9195.7101369863049</v>
      </c>
      <c r="AD86" s="68">
        <f t="shared" si="103"/>
        <v>-0.76207639222698931</v>
      </c>
      <c r="AE86" s="44">
        <f t="shared" si="66"/>
        <v>110348.52164383566</v>
      </c>
      <c r="AF86" s="21">
        <f t="shared" si="67"/>
        <v>0</v>
      </c>
      <c r="AG86" s="16">
        <v>10667.42</v>
      </c>
      <c r="AW86" s="99"/>
      <c r="AX86" s="99"/>
    </row>
    <row r="87" spans="1:50">
      <c r="A87" s="2">
        <v>6211</v>
      </c>
      <c r="B87" s="2" t="s">
        <v>31</v>
      </c>
      <c r="C87" s="16">
        <v>7708.333333333333</v>
      </c>
      <c r="D87" s="28">
        <f t="shared" si="96"/>
        <v>-0.54999016263282163</v>
      </c>
      <c r="E87" s="16">
        <v>7708.333333333333</v>
      </c>
      <c r="F87" s="28">
        <f t="shared" si="97"/>
        <v>-0.54999016263282163</v>
      </c>
      <c r="G87" s="16">
        <v>7708.333333333333</v>
      </c>
      <c r="H87" s="28">
        <f t="shared" si="98"/>
        <v>-0.54999016263282163</v>
      </c>
      <c r="I87" s="16">
        <v>7708.333333333333</v>
      </c>
      <c r="J87" s="28">
        <f t="shared" si="99"/>
        <v>-0.54999016263282163</v>
      </c>
      <c r="K87" s="16">
        <v>7708.333333333333</v>
      </c>
      <c r="L87" s="28">
        <f t="shared" si="100"/>
        <v>-0.54999016263282163</v>
      </c>
      <c r="M87" s="16">
        <v>7708.333333333333</v>
      </c>
      <c r="N87" s="28">
        <f t="shared" si="101"/>
        <v>-0.71836387791293266</v>
      </c>
      <c r="O87" s="16">
        <v>7708.333333333333</v>
      </c>
      <c r="P87" s="28">
        <f t="shared" si="60"/>
        <v>-0.88444952506772001</v>
      </c>
      <c r="Q87" s="16">
        <v>7708.333333333333</v>
      </c>
      <c r="R87" s="28">
        <f t="shared" si="102"/>
        <v>-0.54999016263282163</v>
      </c>
      <c r="S87" s="16">
        <v>7708.333333333333</v>
      </c>
      <c r="T87" s="28">
        <f t="shared" si="103"/>
        <v>-0.54999055505149641</v>
      </c>
      <c r="U87" s="16">
        <v>7708.333333333333</v>
      </c>
      <c r="V87" s="28">
        <f t="shared" si="104"/>
        <v>-0.54999016263282163</v>
      </c>
      <c r="W87" s="16">
        <v>7708.333333333333</v>
      </c>
      <c r="X87" s="28">
        <f t="shared" si="105"/>
        <v>-0.54999016263282163</v>
      </c>
      <c r="Y87" s="16">
        <v>7708.333333333333</v>
      </c>
      <c r="Z87" s="28">
        <f t="shared" si="106"/>
        <v>9.8245665453623641</v>
      </c>
      <c r="AA87" s="59">
        <f t="shared" si="68"/>
        <v>92499.999999999985</v>
      </c>
      <c r="AB87" s="60">
        <f t="shared" si="103"/>
        <v>-0.63881296487613037</v>
      </c>
      <c r="AC87" s="67">
        <f t="shared" si="69"/>
        <v>7708.3333333333321</v>
      </c>
      <c r="AD87" s="68">
        <f t="shared" si="103"/>
        <v>-0.63881296487613037</v>
      </c>
      <c r="AE87" s="44">
        <f t="shared" si="66"/>
        <v>92499.999999999985</v>
      </c>
      <c r="AF87" s="21">
        <f t="shared" si="67"/>
        <v>0</v>
      </c>
      <c r="AG87" s="16">
        <v>17461.91</v>
      </c>
      <c r="AW87" s="99"/>
      <c r="AX87" s="99"/>
    </row>
    <row r="88" spans="1:50">
      <c r="A88" s="2">
        <v>6212</v>
      </c>
      <c r="B88" s="2" t="s">
        <v>32</v>
      </c>
      <c r="C88" s="19"/>
      <c r="D88" s="28">
        <f t="shared" si="96"/>
        <v>0</v>
      </c>
      <c r="E88" s="19"/>
      <c r="F88" s="28">
        <f t="shared" si="97"/>
        <v>0</v>
      </c>
      <c r="G88" s="19"/>
      <c r="H88" s="28">
        <f t="shared" si="98"/>
        <v>0</v>
      </c>
      <c r="I88" s="19"/>
      <c r="J88" s="28">
        <f t="shared" si="99"/>
        <v>0</v>
      </c>
      <c r="K88" s="19"/>
      <c r="L88" s="28">
        <f t="shared" si="100"/>
        <v>0</v>
      </c>
      <c r="M88" s="19"/>
      <c r="N88" s="28">
        <f t="shared" si="101"/>
        <v>0</v>
      </c>
      <c r="O88" s="19"/>
      <c r="P88" s="28">
        <f t="shared" si="60"/>
        <v>0</v>
      </c>
      <c r="Q88" s="19"/>
      <c r="R88" s="28">
        <f t="shared" si="102"/>
        <v>0</v>
      </c>
      <c r="S88" s="19"/>
      <c r="T88" s="28">
        <f t="shared" si="103"/>
        <v>0</v>
      </c>
      <c r="U88" s="19"/>
      <c r="V88" s="28">
        <f t="shared" si="104"/>
        <v>0</v>
      </c>
      <c r="W88" s="19"/>
      <c r="X88" s="28">
        <f t="shared" si="105"/>
        <v>0</v>
      </c>
      <c r="Y88" s="19"/>
      <c r="Z88" s="28">
        <f t="shared" si="106"/>
        <v>0</v>
      </c>
      <c r="AA88" s="59">
        <f t="shared" si="68"/>
        <v>0</v>
      </c>
      <c r="AB88" s="60">
        <f t="shared" si="103"/>
        <v>0</v>
      </c>
      <c r="AC88" s="67">
        <f t="shared" si="69"/>
        <v>0</v>
      </c>
      <c r="AD88" s="68">
        <f t="shared" si="103"/>
        <v>0</v>
      </c>
      <c r="AE88" s="44">
        <f t="shared" si="66"/>
        <v>0</v>
      </c>
      <c r="AF88" s="21">
        <f t="shared" si="67"/>
        <v>0</v>
      </c>
      <c r="AG88" s="19"/>
      <c r="AW88" s="99"/>
      <c r="AX88" s="99"/>
    </row>
    <row r="89" spans="1:50">
      <c r="A89" s="2">
        <v>6213</v>
      </c>
      <c r="B89" s="2" t="s">
        <v>33</v>
      </c>
      <c r="C89" s="19"/>
      <c r="D89" s="28">
        <f t="shared" si="96"/>
        <v>0</v>
      </c>
      <c r="E89" s="19"/>
      <c r="F89" s="28">
        <f t="shared" si="97"/>
        <v>0</v>
      </c>
      <c r="G89" s="19"/>
      <c r="H89" s="28">
        <f t="shared" si="98"/>
        <v>0</v>
      </c>
      <c r="I89" s="19"/>
      <c r="J89" s="28">
        <f t="shared" si="99"/>
        <v>0</v>
      </c>
      <c r="K89" s="19"/>
      <c r="L89" s="28">
        <f t="shared" si="100"/>
        <v>0</v>
      </c>
      <c r="M89" s="19"/>
      <c r="N89" s="28">
        <f t="shared" si="101"/>
        <v>0</v>
      </c>
      <c r="O89" s="19"/>
      <c r="P89" s="28">
        <f t="shared" si="60"/>
        <v>0</v>
      </c>
      <c r="Q89" s="19"/>
      <c r="R89" s="28">
        <f t="shared" si="102"/>
        <v>0</v>
      </c>
      <c r="S89" s="19"/>
      <c r="T89" s="28">
        <f t="shared" si="103"/>
        <v>0</v>
      </c>
      <c r="U89" s="19"/>
      <c r="V89" s="28">
        <f t="shared" si="104"/>
        <v>0</v>
      </c>
      <c r="W89" s="19"/>
      <c r="X89" s="28">
        <f t="shared" si="105"/>
        <v>0</v>
      </c>
      <c r="Y89" s="19"/>
      <c r="Z89" s="28">
        <f t="shared" si="106"/>
        <v>0</v>
      </c>
      <c r="AA89" s="59">
        <f t="shared" si="68"/>
        <v>0</v>
      </c>
      <c r="AB89" s="60">
        <f t="shared" si="103"/>
        <v>0</v>
      </c>
      <c r="AC89" s="67">
        <f t="shared" si="69"/>
        <v>0</v>
      </c>
      <c r="AD89" s="68">
        <f t="shared" si="103"/>
        <v>0</v>
      </c>
      <c r="AE89" s="44">
        <f t="shared" si="66"/>
        <v>0</v>
      </c>
      <c r="AF89" s="21">
        <f t="shared" si="67"/>
        <v>0</v>
      </c>
      <c r="AG89" s="19"/>
      <c r="AW89" s="99"/>
      <c r="AX89" s="99"/>
    </row>
    <row r="90" spans="1:50">
      <c r="A90" s="82">
        <v>6214</v>
      </c>
      <c r="B90" s="2" t="s">
        <v>34</v>
      </c>
      <c r="C90" s="19">
        <v>13653.266666666666</v>
      </c>
      <c r="D90" s="28">
        <f t="shared" si="96"/>
        <v>-0.97416160274196106</v>
      </c>
      <c r="E90" s="19">
        <v>13653.266666666666</v>
      </c>
      <c r="F90" s="28">
        <f t="shared" si="97"/>
        <v>-0.97416160274196106</v>
      </c>
      <c r="G90" s="19">
        <v>13653.266666666666</v>
      </c>
      <c r="H90" s="28">
        <f t="shared" si="98"/>
        <v>-0.97416160274196106</v>
      </c>
      <c r="I90" s="19">
        <v>13653.266666666666</v>
      </c>
      <c r="J90" s="28">
        <f t="shared" si="99"/>
        <v>-0.97416160274196106</v>
      </c>
      <c r="K90" s="19">
        <v>13653.266666666666</v>
      </c>
      <c r="L90" s="28">
        <f t="shared" si="100"/>
        <v>-0.97416160274196106</v>
      </c>
      <c r="M90" s="19">
        <v>13653.266666666666</v>
      </c>
      <c r="N90" s="28">
        <f t="shared" si="101"/>
        <v>-1.2723909520665142</v>
      </c>
      <c r="O90" s="19">
        <v>13653.266666666666</v>
      </c>
      <c r="P90" s="28">
        <f t="shared" si="60"/>
        <v>-1.5665675959727048</v>
      </c>
      <c r="Q90" s="19">
        <v>13653.266666666666</v>
      </c>
      <c r="R90" s="28">
        <f t="shared" si="102"/>
        <v>-0.97416160274196106</v>
      </c>
      <c r="S90" s="19">
        <v>13653.266666666666</v>
      </c>
      <c r="T90" s="28">
        <f t="shared" si="103"/>
        <v>-0.9741622978074933</v>
      </c>
      <c r="U90" s="19">
        <v>13653.266666666666</v>
      </c>
      <c r="V90" s="28">
        <f t="shared" si="104"/>
        <v>-0.97416160274196106</v>
      </c>
      <c r="W90" s="19">
        <v>13653.266666666666</v>
      </c>
      <c r="X90" s="28">
        <f t="shared" si="105"/>
        <v>-0.97416160274196106</v>
      </c>
      <c r="Y90" s="19">
        <v>13653.266666666666</v>
      </c>
      <c r="Z90" s="28">
        <f t="shared" si="106"/>
        <v>17.401612142042524</v>
      </c>
      <c r="AA90" s="59">
        <f t="shared" si="68"/>
        <v>163839.19999999998</v>
      </c>
      <c r="AB90" s="60">
        <f t="shared" si="103"/>
        <v>-1.1314876228641439</v>
      </c>
      <c r="AC90" s="67">
        <f t="shared" si="69"/>
        <v>13653.266666666665</v>
      </c>
      <c r="AD90" s="68">
        <f t="shared" si="103"/>
        <v>-1.1314876228641437</v>
      </c>
      <c r="AE90" s="44">
        <f t="shared" si="66"/>
        <v>163839.19999999998</v>
      </c>
      <c r="AF90" s="21">
        <f t="shared" si="67"/>
        <v>0</v>
      </c>
      <c r="AG90" s="19">
        <v>13000</v>
      </c>
      <c r="AW90" s="99"/>
      <c r="AX90" s="99"/>
    </row>
    <row r="91" spans="1:50">
      <c r="A91" s="2">
        <v>6215</v>
      </c>
      <c r="B91" s="2" t="s">
        <v>35</v>
      </c>
      <c r="C91" s="16">
        <v>2796.9435000000003</v>
      </c>
      <c r="D91" s="28"/>
      <c r="E91" s="16">
        <v>2796.9435000000003</v>
      </c>
      <c r="F91" s="28"/>
      <c r="G91" s="16">
        <v>2796.9435000000003</v>
      </c>
      <c r="H91" s="28"/>
      <c r="I91" s="16">
        <v>2796.9435000000003</v>
      </c>
      <c r="J91" s="28"/>
      <c r="K91" s="16">
        <v>2796.9435000000003</v>
      </c>
      <c r="L91" s="28"/>
      <c r="M91" s="16">
        <v>2796.9435000000003</v>
      </c>
      <c r="N91" s="28"/>
      <c r="O91" s="16">
        <v>2796.9435000000003</v>
      </c>
      <c r="P91" s="28"/>
      <c r="Q91" s="16">
        <v>2796.9435000000003</v>
      </c>
      <c r="R91" s="28"/>
      <c r="S91" s="16">
        <v>2796.9435000000003</v>
      </c>
      <c r="T91" s="28">
        <f t="shared" si="103"/>
        <v>-0.19956227130975246</v>
      </c>
      <c r="U91" s="16">
        <v>2796.9435000000003</v>
      </c>
      <c r="V91" s="28"/>
      <c r="W91" s="16">
        <v>2796.9435000000003</v>
      </c>
      <c r="X91" s="28"/>
      <c r="Y91" s="16">
        <v>2796.9435000000003</v>
      </c>
      <c r="Z91" s="28">
        <f t="shared" si="106"/>
        <v>3.5648117888910775</v>
      </c>
      <c r="AA91" s="59">
        <f t="shared" si="68"/>
        <v>33563.322000000007</v>
      </c>
      <c r="AB91" s="60">
        <f t="shared" si="103"/>
        <v>-0.23179119176121366</v>
      </c>
      <c r="AC91" s="67">
        <f t="shared" si="69"/>
        <v>2796.9435000000008</v>
      </c>
      <c r="AD91" s="68">
        <f t="shared" si="103"/>
        <v>-0.23179119176121366</v>
      </c>
      <c r="AE91" s="44">
        <f t="shared" si="66"/>
        <v>33563.322000000007</v>
      </c>
      <c r="AF91" s="21">
        <f t="shared" si="67"/>
        <v>0</v>
      </c>
      <c r="AG91" s="16">
        <v>0</v>
      </c>
      <c r="AW91" s="99"/>
      <c r="AX91" s="99"/>
    </row>
    <row r="92" spans="1:50">
      <c r="A92" s="2">
        <v>6216</v>
      </c>
      <c r="B92" s="2" t="s">
        <v>91</v>
      </c>
      <c r="C92" s="16"/>
      <c r="D92" s="28">
        <f>C92/C$145</f>
        <v>0</v>
      </c>
      <c r="E92" s="16"/>
      <c r="F92" s="28">
        <f>E92/E$145</f>
        <v>0</v>
      </c>
      <c r="G92" s="16"/>
      <c r="H92" s="28">
        <f>G92/G$145</f>
        <v>0</v>
      </c>
      <c r="I92" s="16"/>
      <c r="J92" s="28">
        <f>I92/I$145</f>
        <v>0</v>
      </c>
      <c r="K92" s="16"/>
      <c r="L92" s="28">
        <f>K92/K$145</f>
        <v>0</v>
      </c>
      <c r="M92" s="1"/>
      <c r="N92" s="28">
        <f>M92/M$145</f>
        <v>0</v>
      </c>
      <c r="O92" s="16"/>
      <c r="P92" s="28">
        <f>O92/O$145</f>
        <v>0</v>
      </c>
      <c r="Q92" s="16"/>
      <c r="R92" s="28">
        <f>Q92/Q$145</f>
        <v>0</v>
      </c>
      <c r="S92" s="16"/>
      <c r="T92" s="28">
        <f t="shared" si="103"/>
        <v>0</v>
      </c>
      <c r="U92" s="16"/>
      <c r="V92" s="28">
        <f>U92/U$145</f>
        <v>0</v>
      </c>
      <c r="W92" s="16"/>
      <c r="X92" s="28">
        <f>W92/W$145</f>
        <v>0</v>
      </c>
      <c r="Y92" s="16"/>
      <c r="Z92" s="28">
        <f t="shared" si="106"/>
        <v>0</v>
      </c>
      <c r="AA92" s="59">
        <f t="shared" si="68"/>
        <v>0</v>
      </c>
      <c r="AB92" s="60">
        <f t="shared" si="103"/>
        <v>0</v>
      </c>
      <c r="AC92" s="67">
        <f t="shared" si="69"/>
        <v>0</v>
      </c>
      <c r="AD92" s="68">
        <f t="shared" si="103"/>
        <v>0</v>
      </c>
      <c r="AE92" s="44">
        <f t="shared" si="66"/>
        <v>0</v>
      </c>
      <c r="AF92" s="21">
        <f t="shared" si="67"/>
        <v>0</v>
      </c>
      <c r="AG92" s="16"/>
      <c r="AW92" s="99"/>
      <c r="AX92" s="99"/>
    </row>
    <row r="93" spans="1:50" ht="15.75" thickBot="1">
      <c r="A93" s="39">
        <v>6299</v>
      </c>
      <c r="B93" s="39" t="s">
        <v>102</v>
      </c>
      <c r="C93" s="31">
        <f>SUM(C77:C92)</f>
        <v>335195.45780365291</v>
      </c>
      <c r="D93" s="52">
        <f>C93/C$145</f>
        <v>-23.91622110502238</v>
      </c>
      <c r="E93" s="31">
        <f>SUM(E77:E92)</f>
        <v>335195.45780365291</v>
      </c>
      <c r="F93" s="52">
        <f>E93/E$145</f>
        <v>-23.91622110502238</v>
      </c>
      <c r="G93" s="31">
        <f>SUM(G77:G92)</f>
        <v>335195.45780365291</v>
      </c>
      <c r="H93" s="52">
        <f>G93/G$145</f>
        <v>-23.91622110502238</v>
      </c>
      <c r="I93" s="31">
        <f>SUM(I77:I92)</f>
        <v>335195.45780365291</v>
      </c>
      <c r="J93" s="52">
        <f>I93/I$145</f>
        <v>-23.91622110502238</v>
      </c>
      <c r="K93" s="31">
        <f>SUM(K77:K92)</f>
        <v>335195.45780365291</v>
      </c>
      <c r="L93" s="52">
        <f>K93/K$145</f>
        <v>-23.91622110502238</v>
      </c>
      <c r="M93" s="31">
        <f>SUM(M77:M92)</f>
        <v>335195.45780365291</v>
      </c>
      <c r="N93" s="52">
        <f>M93/M$145</f>
        <v>-31.237921158049673</v>
      </c>
      <c r="O93" s="31">
        <f>SUM(O77:O92)</f>
        <v>335195.45780365291</v>
      </c>
      <c r="P93" s="52">
        <f>O93/O$145</f>
        <v>-38.460124989314309</v>
      </c>
      <c r="Q93" s="31">
        <f>SUM(Q77:Q92)</f>
        <v>335195.45780365291</v>
      </c>
      <c r="R93" s="52">
        <f>Q93/Q$145</f>
        <v>-23.91622110502238</v>
      </c>
      <c r="S93" s="31">
        <f>SUM(S77:S92)</f>
        <v>335195.45780365291</v>
      </c>
      <c r="T93" s="52">
        <f t="shared" si="103"/>
        <v>-23.916238169276305</v>
      </c>
      <c r="U93" s="31">
        <f>SUM(U77:U92)</f>
        <v>335195.45780365291</v>
      </c>
      <c r="V93" s="52">
        <f>U93/U$145</f>
        <v>-23.91622110502238</v>
      </c>
      <c r="W93" s="31">
        <f>SUM(W77:W92)</f>
        <v>335195.45780365291</v>
      </c>
      <c r="X93" s="52">
        <f>W93/W$145</f>
        <v>-23.91622110502238</v>
      </c>
      <c r="Y93" s="31">
        <f>SUM(Y77:Y92)</f>
        <v>335195.45780365291</v>
      </c>
      <c r="Z93" s="52">
        <f t="shared" si="106"/>
        <v>427.21946995397064</v>
      </c>
      <c r="AA93" s="61">
        <f>SUM(AA77:AA92)</f>
        <v>4022345.4936438361</v>
      </c>
      <c r="AB93" s="74">
        <f t="shared" si="103"/>
        <v>-27.778664330278502</v>
      </c>
      <c r="AC93" s="24">
        <f t="shared" si="69"/>
        <v>335195.45780365303</v>
      </c>
      <c r="AD93" s="77">
        <f t="shared" si="103"/>
        <v>-27.778664330278502</v>
      </c>
      <c r="AE93" s="44">
        <f t="shared" si="66"/>
        <v>4022345.4936438357</v>
      </c>
      <c r="AF93" s="21">
        <f t="shared" si="67"/>
        <v>0</v>
      </c>
      <c r="AG93" s="115">
        <f>SUM(AG77:AG92)</f>
        <v>396207.26999999996</v>
      </c>
      <c r="AH93" s="1" t="s">
        <v>141</v>
      </c>
      <c r="AW93" s="99"/>
      <c r="AX93" s="99"/>
    </row>
    <row r="94" spans="1:50" ht="15.75" thickTop="1">
      <c r="A94" s="2">
        <v>6301</v>
      </c>
      <c r="B94" s="2" t="s">
        <v>36</v>
      </c>
      <c r="C94" s="283"/>
      <c r="D94" s="316" t="e">
        <f>C94/C12</f>
        <v>#DIV/0!</v>
      </c>
      <c r="E94" s="283"/>
      <c r="F94" s="316" t="e">
        <f>E94/E12</f>
        <v>#DIV/0!</v>
      </c>
      <c r="G94" s="283"/>
      <c r="H94" s="316" t="e">
        <f>G94/G12</f>
        <v>#DIV/0!</v>
      </c>
      <c r="I94" s="283"/>
      <c r="J94" s="316" t="e">
        <f>I94/I12</f>
        <v>#DIV/0!</v>
      </c>
      <c r="K94" s="283"/>
      <c r="L94" s="316" t="e">
        <f>K94/K12</f>
        <v>#DIV/0!</v>
      </c>
      <c r="M94" s="283"/>
      <c r="N94" s="316" t="e">
        <f>M94/M12</f>
        <v>#DIV/0!</v>
      </c>
      <c r="O94" s="283"/>
      <c r="P94" s="316" t="e">
        <f>O94/O12</f>
        <v>#DIV/0!</v>
      </c>
      <c r="Q94" s="283"/>
      <c r="R94" s="316" t="e">
        <f>Q94/Q12</f>
        <v>#DIV/0!</v>
      </c>
      <c r="S94" s="283"/>
      <c r="T94" s="318" t="e">
        <f>S94/S12</f>
        <v>#DIV/0!</v>
      </c>
      <c r="U94" s="283"/>
      <c r="V94" s="318" t="e">
        <f>U94/U12</f>
        <v>#DIV/0!</v>
      </c>
      <c r="W94" s="283"/>
      <c r="X94" s="318" t="e">
        <f>W94/W12</f>
        <v>#DIV/0!</v>
      </c>
      <c r="Y94" s="283"/>
      <c r="Z94" s="316" t="e">
        <f>Y94/Y12</f>
        <v>#DIV/0!</v>
      </c>
      <c r="AA94" s="319">
        <f t="shared" ref="AA94:AA114" si="107">C94+E94+G94+I94+K94+M94+O94+Q94+S94+U94+W94+Y94</f>
        <v>0</v>
      </c>
      <c r="AB94" s="316" t="e">
        <f>AA94/AA$12</f>
        <v>#DIV/0!</v>
      </c>
      <c r="AC94" s="317">
        <f t="shared" si="69"/>
        <v>0</v>
      </c>
      <c r="AD94" s="316" t="e">
        <f>AC94/AC$12</f>
        <v>#DIV/0!</v>
      </c>
      <c r="AE94" s="44">
        <f t="shared" si="66"/>
        <v>0</v>
      </c>
      <c r="AF94" s="21">
        <f t="shared" si="67"/>
        <v>0</v>
      </c>
      <c r="AW94" s="99"/>
      <c r="AX94" s="99"/>
    </row>
    <row r="95" spans="1:50">
      <c r="A95" s="2">
        <v>6302</v>
      </c>
      <c r="B95" s="2" t="s">
        <v>37</v>
      </c>
      <c r="C95" s="283"/>
      <c r="D95" s="316" t="e">
        <f>C95/C12</f>
        <v>#DIV/0!</v>
      </c>
      <c r="E95" s="283"/>
      <c r="F95" s="316" t="e">
        <f>E95/E12</f>
        <v>#DIV/0!</v>
      </c>
      <c r="G95" s="283"/>
      <c r="H95" s="316" t="e">
        <f>G95/G12</f>
        <v>#DIV/0!</v>
      </c>
      <c r="I95" s="283"/>
      <c r="J95" s="316" t="e">
        <f>I95/I12</f>
        <v>#DIV/0!</v>
      </c>
      <c r="K95" s="283"/>
      <c r="L95" s="316" t="e">
        <f>K95/K12</f>
        <v>#DIV/0!</v>
      </c>
      <c r="M95" s="283"/>
      <c r="N95" s="316" t="e">
        <f>M95/M12</f>
        <v>#DIV/0!</v>
      </c>
      <c r="O95" s="283"/>
      <c r="P95" s="316" t="e">
        <f>O95/O12</f>
        <v>#DIV/0!</v>
      </c>
      <c r="Q95" s="283"/>
      <c r="R95" s="316" t="e">
        <f>Q95/Q12</f>
        <v>#DIV/0!</v>
      </c>
      <c r="S95" s="283"/>
      <c r="T95" s="316" t="e">
        <f>S95/S12</f>
        <v>#DIV/0!</v>
      </c>
      <c r="U95" s="283"/>
      <c r="V95" s="316" t="e">
        <f>U95/U12</f>
        <v>#DIV/0!</v>
      </c>
      <c r="W95" s="283"/>
      <c r="X95" s="316" t="e">
        <f>W95/W12</f>
        <v>#DIV/0!</v>
      </c>
      <c r="Y95" s="283"/>
      <c r="Z95" s="316" t="e">
        <f>Y95/Y12</f>
        <v>#DIV/0!</v>
      </c>
      <c r="AA95" s="319">
        <f t="shared" si="107"/>
        <v>0</v>
      </c>
      <c r="AB95" s="316" t="e">
        <f t="shared" ref="AB95:AB99" si="108">AA95/AA$12</f>
        <v>#DIV/0!</v>
      </c>
      <c r="AC95" s="317">
        <f t="shared" si="69"/>
        <v>0</v>
      </c>
      <c r="AD95" s="316" t="e">
        <f t="shared" ref="AD95:AD99" si="109">AC95/AC$12</f>
        <v>#DIV/0!</v>
      </c>
      <c r="AE95" s="44">
        <f t="shared" si="66"/>
        <v>0</v>
      </c>
      <c r="AF95" s="21">
        <f t="shared" si="67"/>
        <v>0</v>
      </c>
      <c r="AW95" s="99"/>
      <c r="AX95" s="99"/>
    </row>
    <row r="96" spans="1:50">
      <c r="A96" s="2">
        <v>6303</v>
      </c>
      <c r="B96" s="2" t="s">
        <v>115</v>
      </c>
      <c r="C96" s="283"/>
      <c r="D96" s="316" t="e">
        <f>C96/C12</f>
        <v>#DIV/0!</v>
      </c>
      <c r="E96" s="283"/>
      <c r="F96" s="316" t="e">
        <f>E96/E12</f>
        <v>#DIV/0!</v>
      </c>
      <c r="G96" s="283"/>
      <c r="H96" s="316" t="e">
        <f>G96/G12</f>
        <v>#DIV/0!</v>
      </c>
      <c r="I96" s="283"/>
      <c r="J96" s="316" t="e">
        <f>I96/I12</f>
        <v>#DIV/0!</v>
      </c>
      <c r="K96" s="283">
        <v>0</v>
      </c>
      <c r="L96" s="316" t="e">
        <f>K96/K12</f>
        <v>#DIV/0!</v>
      </c>
      <c r="M96" s="283"/>
      <c r="N96" s="316" t="e">
        <f>M96/M12</f>
        <v>#DIV/0!</v>
      </c>
      <c r="O96" s="283"/>
      <c r="P96" s="316" t="e">
        <f>O96/O12</f>
        <v>#DIV/0!</v>
      </c>
      <c r="Q96" s="283"/>
      <c r="R96" s="316" t="e">
        <f>Q96/Q12</f>
        <v>#DIV/0!</v>
      </c>
      <c r="S96" s="283"/>
      <c r="T96" s="316" t="e">
        <f>S96/S12</f>
        <v>#DIV/0!</v>
      </c>
      <c r="U96" s="283"/>
      <c r="V96" s="316" t="e">
        <f>U96/U12</f>
        <v>#DIV/0!</v>
      </c>
      <c r="W96" s="283"/>
      <c r="X96" s="316" t="e">
        <f>W96/W12</f>
        <v>#DIV/0!</v>
      </c>
      <c r="Y96" s="283"/>
      <c r="Z96" s="316" t="e">
        <f>Y96/Y12</f>
        <v>#DIV/0!</v>
      </c>
      <c r="AA96" s="319">
        <f t="shared" si="107"/>
        <v>0</v>
      </c>
      <c r="AB96" s="316" t="e">
        <f t="shared" si="108"/>
        <v>#DIV/0!</v>
      </c>
      <c r="AC96" s="317">
        <f t="shared" si="69"/>
        <v>0</v>
      </c>
      <c r="AD96" s="316" t="e">
        <f t="shared" si="109"/>
        <v>#DIV/0!</v>
      </c>
      <c r="AE96" s="44">
        <f t="shared" si="66"/>
        <v>0</v>
      </c>
      <c r="AF96" s="21">
        <f t="shared" si="67"/>
        <v>0</v>
      </c>
      <c r="AW96" s="99"/>
      <c r="AX96" s="99"/>
    </row>
    <row r="97" spans="1:50">
      <c r="A97" s="2">
        <v>6304</v>
      </c>
      <c r="B97" s="2" t="s">
        <v>38</v>
      </c>
      <c r="C97" s="283"/>
      <c r="D97" s="316" t="e">
        <f>C97/C12</f>
        <v>#DIV/0!</v>
      </c>
      <c r="E97" s="283"/>
      <c r="F97" s="316" t="e">
        <f>E97/E12</f>
        <v>#DIV/0!</v>
      </c>
      <c r="G97" s="283"/>
      <c r="H97" s="316" t="e">
        <f>G97/G12</f>
        <v>#DIV/0!</v>
      </c>
      <c r="I97" s="283"/>
      <c r="J97" s="316" t="e">
        <f>I97/I12</f>
        <v>#DIV/0!</v>
      </c>
      <c r="K97" s="283"/>
      <c r="L97" s="316" t="e">
        <f>K97/K12</f>
        <v>#DIV/0!</v>
      </c>
      <c r="M97" s="283"/>
      <c r="N97" s="316" t="e">
        <f>M97/M12</f>
        <v>#DIV/0!</v>
      </c>
      <c r="O97" s="283"/>
      <c r="P97" s="316" t="e">
        <f>O97/O12</f>
        <v>#DIV/0!</v>
      </c>
      <c r="Q97" s="283"/>
      <c r="R97" s="316" t="e">
        <f>Q97/Q12</f>
        <v>#DIV/0!</v>
      </c>
      <c r="S97" s="283"/>
      <c r="T97" s="316" t="e">
        <f>S97/S12</f>
        <v>#DIV/0!</v>
      </c>
      <c r="U97" s="283"/>
      <c r="V97" s="316" t="e">
        <f>U97/U12</f>
        <v>#DIV/0!</v>
      </c>
      <c r="W97" s="283"/>
      <c r="X97" s="316" t="e">
        <f>W97/W12</f>
        <v>#DIV/0!</v>
      </c>
      <c r="Y97" s="283"/>
      <c r="Z97" s="316" t="e">
        <f>Y97/Y12</f>
        <v>#DIV/0!</v>
      </c>
      <c r="AA97" s="319">
        <f t="shared" si="107"/>
        <v>0</v>
      </c>
      <c r="AB97" s="316" t="e">
        <f t="shared" si="108"/>
        <v>#DIV/0!</v>
      </c>
      <c r="AC97" s="317">
        <f t="shared" si="69"/>
        <v>0</v>
      </c>
      <c r="AD97" s="316" t="e">
        <f t="shared" si="109"/>
        <v>#DIV/0!</v>
      </c>
      <c r="AE97" s="44">
        <f t="shared" si="66"/>
        <v>0</v>
      </c>
      <c r="AF97" s="21">
        <f t="shared" si="67"/>
        <v>0</v>
      </c>
      <c r="AW97" s="99"/>
      <c r="AX97" s="99"/>
    </row>
    <row r="98" spans="1:50">
      <c r="A98" s="2">
        <v>6305</v>
      </c>
      <c r="B98" s="2" t="s">
        <v>39</v>
      </c>
      <c r="C98" s="283"/>
      <c r="D98" s="316" t="e">
        <f>C98/C12</f>
        <v>#DIV/0!</v>
      </c>
      <c r="E98" s="283"/>
      <c r="F98" s="316" t="e">
        <f>E98/E12</f>
        <v>#DIV/0!</v>
      </c>
      <c r="G98" s="283"/>
      <c r="H98" s="316">
        <v>2.4172858107885053E-3</v>
      </c>
      <c r="I98" s="283"/>
      <c r="J98" s="316">
        <v>2.282921148507532E-3</v>
      </c>
      <c r="K98" s="283"/>
      <c r="L98" s="316">
        <v>1.4480363095715567E-3</v>
      </c>
      <c r="M98" s="283"/>
      <c r="N98" s="316">
        <v>1.4265472348621291E-3</v>
      </c>
      <c r="O98" s="283"/>
      <c r="P98" s="316">
        <v>0</v>
      </c>
      <c r="Q98" s="283"/>
      <c r="R98" s="316">
        <v>0</v>
      </c>
      <c r="S98" s="283"/>
      <c r="T98" s="316" t="e">
        <f>S98/S12</f>
        <v>#DIV/0!</v>
      </c>
      <c r="U98" s="283"/>
      <c r="V98" s="316" t="e">
        <f>U98/U12</f>
        <v>#DIV/0!</v>
      </c>
      <c r="W98" s="283"/>
      <c r="X98" s="316" t="e">
        <f>W98/W12</f>
        <v>#DIV/0!</v>
      </c>
      <c r="Y98" s="283"/>
      <c r="Z98" s="316" t="e">
        <f>Y98/Y12</f>
        <v>#DIV/0!</v>
      </c>
      <c r="AA98" s="319">
        <f t="shared" si="107"/>
        <v>0</v>
      </c>
      <c r="AB98" s="316" t="e">
        <f t="shared" si="108"/>
        <v>#DIV/0!</v>
      </c>
      <c r="AC98" s="317">
        <f t="shared" si="69"/>
        <v>0</v>
      </c>
      <c r="AD98" s="316" t="e">
        <f t="shared" si="109"/>
        <v>#DIV/0!</v>
      </c>
      <c r="AE98" s="44">
        <f t="shared" si="66"/>
        <v>0</v>
      </c>
      <c r="AF98" s="21">
        <f t="shared" si="67"/>
        <v>0</v>
      </c>
      <c r="AW98" s="99"/>
      <c r="AX98" s="99"/>
    </row>
    <row r="99" spans="1:50">
      <c r="A99" s="2">
        <v>6306</v>
      </c>
      <c r="B99" s="2" t="s">
        <v>40</v>
      </c>
      <c r="C99" s="283"/>
      <c r="D99" s="316" t="e">
        <f>C99/C12</f>
        <v>#DIV/0!</v>
      </c>
      <c r="E99" s="283"/>
      <c r="F99" s="316" t="e">
        <f>E99/E12</f>
        <v>#DIV/0!</v>
      </c>
      <c r="G99" s="283"/>
      <c r="H99" s="316" t="e">
        <f>G99/G12</f>
        <v>#DIV/0!</v>
      </c>
      <c r="I99" s="283"/>
      <c r="J99" s="316" t="e">
        <f>I99/I12</f>
        <v>#DIV/0!</v>
      </c>
      <c r="K99" s="283"/>
      <c r="L99" s="316" t="e">
        <f>K99/K12</f>
        <v>#DIV/0!</v>
      </c>
      <c r="M99" s="283"/>
      <c r="N99" s="316" t="e">
        <f>M99/M12</f>
        <v>#DIV/0!</v>
      </c>
      <c r="O99" s="283"/>
      <c r="P99" s="316" t="e">
        <f>O99/O12</f>
        <v>#DIV/0!</v>
      </c>
      <c r="Q99" s="283"/>
      <c r="R99" s="316" t="e">
        <f>Q99/Q12</f>
        <v>#DIV/0!</v>
      </c>
      <c r="S99" s="283"/>
      <c r="T99" s="316" t="e">
        <f>S99/S12</f>
        <v>#DIV/0!</v>
      </c>
      <c r="U99" s="283"/>
      <c r="V99" s="316" t="e">
        <f>U99/U12</f>
        <v>#DIV/0!</v>
      </c>
      <c r="W99" s="283"/>
      <c r="X99" s="316" t="e">
        <f>W99/W12</f>
        <v>#DIV/0!</v>
      </c>
      <c r="Y99" s="283"/>
      <c r="Z99" s="316" t="e">
        <f>Y99/Y12</f>
        <v>#DIV/0!</v>
      </c>
      <c r="AA99" s="319">
        <f t="shared" si="107"/>
        <v>0</v>
      </c>
      <c r="AB99" s="316" t="e">
        <f t="shared" si="108"/>
        <v>#DIV/0!</v>
      </c>
      <c r="AC99" s="317">
        <f t="shared" si="69"/>
        <v>0</v>
      </c>
      <c r="AD99" s="316" t="e">
        <f t="shared" si="109"/>
        <v>#DIV/0!</v>
      </c>
      <c r="AE99" s="44">
        <f t="shared" si="66"/>
        <v>0</v>
      </c>
      <c r="AF99" s="21">
        <f t="shared" si="67"/>
        <v>0</v>
      </c>
      <c r="AW99" s="99"/>
      <c r="AX99" s="99"/>
    </row>
    <row r="100" spans="1:50">
      <c r="A100" s="2">
        <v>6307</v>
      </c>
      <c r="B100" s="2" t="s">
        <v>248</v>
      </c>
      <c r="C100" s="283"/>
      <c r="D100" s="316" t="e">
        <f>C100/C$12</f>
        <v>#DIV/0!</v>
      </c>
      <c r="E100" s="283"/>
      <c r="F100" s="316" t="e">
        <f>E100/E$12</f>
        <v>#DIV/0!</v>
      </c>
      <c r="G100" s="283"/>
      <c r="H100" s="316" t="e">
        <f>G100/G$12</f>
        <v>#DIV/0!</v>
      </c>
      <c r="I100" s="283"/>
      <c r="J100" s="316" t="e">
        <f>I100/I$12</f>
        <v>#DIV/0!</v>
      </c>
      <c r="K100" s="283"/>
      <c r="L100" s="316" t="e">
        <f>K100/K$12</f>
        <v>#DIV/0!</v>
      </c>
      <c r="M100" s="283"/>
      <c r="N100" s="316" t="e">
        <f>M100/M$12</f>
        <v>#DIV/0!</v>
      </c>
      <c r="O100" s="283"/>
      <c r="P100" s="316" t="e">
        <f>O100/O$12</f>
        <v>#DIV/0!</v>
      </c>
      <c r="Q100" s="283"/>
      <c r="R100" s="316" t="e">
        <f>Q100/Q$12</f>
        <v>#DIV/0!</v>
      </c>
      <c r="S100" s="283"/>
      <c r="T100" s="316" t="e">
        <f>S100/S$12</f>
        <v>#DIV/0!</v>
      </c>
      <c r="U100" s="283"/>
      <c r="V100" s="316" t="e">
        <f>U100/U$12</f>
        <v>#DIV/0!</v>
      </c>
      <c r="W100" s="283"/>
      <c r="X100" s="316" t="e">
        <f>W100/W$12</f>
        <v>#DIV/0!</v>
      </c>
      <c r="Y100" s="283"/>
      <c r="Z100" s="316" t="e">
        <f>Y100/Y$12</f>
        <v>#DIV/0!</v>
      </c>
      <c r="AA100" s="319">
        <f t="shared" si="107"/>
        <v>0</v>
      </c>
      <c r="AB100" s="316" t="e">
        <f>AA100/AA$12</f>
        <v>#DIV/0!</v>
      </c>
      <c r="AC100" s="317">
        <f t="shared" si="69"/>
        <v>0</v>
      </c>
      <c r="AD100" s="316" t="e">
        <f>AC100/AC$12</f>
        <v>#DIV/0!</v>
      </c>
      <c r="AE100" s="44"/>
      <c r="AF100" s="21"/>
      <c r="AW100" s="99"/>
      <c r="AX100" s="99"/>
    </row>
    <row r="101" spans="1:50">
      <c r="A101" s="2">
        <v>6308</v>
      </c>
      <c r="B101" s="2" t="s">
        <v>126</v>
      </c>
      <c r="C101" s="283"/>
      <c r="D101" s="316" t="e">
        <f>C101/C$12</f>
        <v>#DIV/0!</v>
      </c>
      <c r="E101" s="283"/>
      <c r="F101" s="316" t="e">
        <f>E101/E$12</f>
        <v>#DIV/0!</v>
      </c>
      <c r="G101" s="283"/>
      <c r="H101" s="316" t="e">
        <f>G101/G$12</f>
        <v>#DIV/0!</v>
      </c>
      <c r="I101" s="283"/>
      <c r="J101" s="316" t="e">
        <f>I101/I$12</f>
        <v>#DIV/0!</v>
      </c>
      <c r="K101" s="283"/>
      <c r="L101" s="316" t="e">
        <f>K101/K$12</f>
        <v>#DIV/0!</v>
      </c>
      <c r="M101" s="283"/>
      <c r="N101" s="316" t="e">
        <f>M101/M$12</f>
        <v>#DIV/0!</v>
      </c>
      <c r="O101" s="283"/>
      <c r="P101" s="316" t="e">
        <f>O101/O$12</f>
        <v>#DIV/0!</v>
      </c>
      <c r="Q101" s="283"/>
      <c r="R101" s="316" t="e">
        <f>Q101/Q$12</f>
        <v>#DIV/0!</v>
      </c>
      <c r="S101" s="283"/>
      <c r="T101" s="316" t="e">
        <f>S101/S$12</f>
        <v>#DIV/0!</v>
      </c>
      <c r="U101" s="283"/>
      <c r="V101" s="316" t="e">
        <f>U101/U$12</f>
        <v>#DIV/0!</v>
      </c>
      <c r="W101" s="283"/>
      <c r="X101" s="316" t="e">
        <f>W101/W$12</f>
        <v>#DIV/0!</v>
      </c>
      <c r="Y101" s="283"/>
      <c r="Z101" s="316" t="e">
        <f>Y101/Y$12</f>
        <v>#DIV/0!</v>
      </c>
      <c r="AA101" s="319">
        <f t="shared" si="107"/>
        <v>0</v>
      </c>
      <c r="AB101" s="316" t="e">
        <f>AA101/AA$12</f>
        <v>#DIV/0!</v>
      </c>
      <c r="AC101" s="317">
        <f t="shared" si="69"/>
        <v>0</v>
      </c>
      <c r="AD101" s="316" t="e">
        <f>AC101/AC$12</f>
        <v>#DIV/0!</v>
      </c>
      <c r="AE101" s="44">
        <f t="shared" si="66"/>
        <v>0</v>
      </c>
      <c r="AF101" s="21">
        <f t="shared" si="67"/>
        <v>0</v>
      </c>
      <c r="AW101" s="99"/>
      <c r="AX101" s="99"/>
    </row>
    <row r="102" spans="1:50">
      <c r="A102" s="2">
        <v>6309</v>
      </c>
      <c r="B102" s="2" t="s">
        <v>127</v>
      </c>
      <c r="C102" s="282"/>
      <c r="D102" s="316" t="e">
        <f>C102/C$12</f>
        <v>#DIV/0!</v>
      </c>
      <c r="E102" s="282"/>
      <c r="F102" s="316" t="e">
        <f>E102/E$12</f>
        <v>#DIV/0!</v>
      </c>
      <c r="G102" s="282"/>
      <c r="H102" s="316" t="e">
        <f>G102/G$12</f>
        <v>#DIV/0!</v>
      </c>
      <c r="I102" s="282"/>
      <c r="J102" s="316" t="e">
        <f>I102/I$12</f>
        <v>#DIV/0!</v>
      </c>
      <c r="K102" s="282"/>
      <c r="L102" s="316" t="e">
        <f>K102/K$12</f>
        <v>#DIV/0!</v>
      </c>
      <c r="M102" s="282"/>
      <c r="N102" s="316" t="e">
        <f>M102/M$12</f>
        <v>#DIV/0!</v>
      </c>
      <c r="O102" s="282"/>
      <c r="P102" s="316" t="e">
        <f>O102/O$12</f>
        <v>#DIV/0!</v>
      </c>
      <c r="Q102" s="282"/>
      <c r="R102" s="316" t="e">
        <f>Q102/Q$12</f>
        <v>#DIV/0!</v>
      </c>
      <c r="S102" s="282"/>
      <c r="T102" s="316" t="e">
        <f>S102/S$12</f>
        <v>#DIV/0!</v>
      </c>
      <c r="U102" s="282"/>
      <c r="V102" s="316" t="e">
        <f>U102/U$12</f>
        <v>#DIV/0!</v>
      </c>
      <c r="W102" s="282"/>
      <c r="X102" s="316" t="e">
        <f>W102/W$12</f>
        <v>#DIV/0!</v>
      </c>
      <c r="Y102" s="282"/>
      <c r="Z102" s="316" t="e">
        <f>Y102/Y$12</f>
        <v>#DIV/0!</v>
      </c>
      <c r="AA102" s="319">
        <f t="shared" si="107"/>
        <v>0</v>
      </c>
      <c r="AB102" s="316" t="e">
        <f>AA102/AA$12</f>
        <v>#DIV/0!</v>
      </c>
      <c r="AC102" s="317">
        <f t="shared" si="69"/>
        <v>0</v>
      </c>
      <c r="AD102" s="316" t="e">
        <f>AC102/AC$12</f>
        <v>#DIV/0!</v>
      </c>
      <c r="AE102" s="44">
        <f t="shared" si="66"/>
        <v>0</v>
      </c>
      <c r="AF102" s="21">
        <f t="shared" si="67"/>
        <v>0</v>
      </c>
      <c r="AW102" s="99"/>
      <c r="AX102" s="99"/>
    </row>
    <row r="103" spans="1:50">
      <c r="A103" s="2">
        <v>6310</v>
      </c>
      <c r="B103" s="2" t="s">
        <v>128</v>
      </c>
      <c r="C103" s="283"/>
      <c r="D103" s="316" t="e">
        <f t="shared" ref="D103:F114" si="110">C103/C$12</f>
        <v>#DIV/0!</v>
      </c>
      <c r="E103" s="283"/>
      <c r="F103" s="316" t="e">
        <f t="shared" si="110"/>
        <v>#DIV/0!</v>
      </c>
      <c r="G103" s="283"/>
      <c r="H103" s="316" t="e">
        <f t="shared" ref="H103:H114" si="111">G103/G$12</f>
        <v>#DIV/0!</v>
      </c>
      <c r="I103" s="283"/>
      <c r="J103" s="316" t="e">
        <f t="shared" ref="J103:J114" si="112">I103/I$12</f>
        <v>#DIV/0!</v>
      </c>
      <c r="K103" s="283"/>
      <c r="L103" s="316" t="e">
        <f t="shared" ref="L103:L114" si="113">K103/K$12</f>
        <v>#DIV/0!</v>
      </c>
      <c r="M103" s="283"/>
      <c r="N103" s="316" t="e">
        <f t="shared" ref="N103:N114" si="114">M103/M$12</f>
        <v>#DIV/0!</v>
      </c>
      <c r="O103" s="283"/>
      <c r="P103" s="326" t="e">
        <f>O103/O$12</f>
        <v>#DIV/0!</v>
      </c>
      <c r="Q103" s="283"/>
      <c r="R103" s="316" t="e">
        <f t="shared" ref="R103:R114" si="115">Q103/Q$12</f>
        <v>#DIV/0!</v>
      </c>
      <c r="S103" s="283"/>
      <c r="T103" s="316" t="e">
        <f t="shared" ref="T103:T114" si="116">S103/S$12</f>
        <v>#DIV/0!</v>
      </c>
      <c r="U103" s="283"/>
      <c r="V103" s="316" t="e">
        <f t="shared" ref="V103:V114" si="117">U103/U$12</f>
        <v>#DIV/0!</v>
      </c>
      <c r="W103" s="283"/>
      <c r="X103" s="316" t="e">
        <f t="shared" ref="X103:X114" si="118">W103/W$12</f>
        <v>#DIV/0!</v>
      </c>
      <c r="Y103" s="283"/>
      <c r="Z103" s="316" t="e">
        <f t="shared" ref="Z103:Z114" si="119">Y103/Y$12</f>
        <v>#DIV/0!</v>
      </c>
      <c r="AA103" s="319">
        <f t="shared" si="107"/>
        <v>0</v>
      </c>
      <c r="AB103" s="316" t="e">
        <f t="shared" ref="AB103:AB114" si="120">AA103/AA$12</f>
        <v>#DIV/0!</v>
      </c>
      <c r="AC103" s="317">
        <f t="shared" si="69"/>
        <v>0</v>
      </c>
      <c r="AD103" s="316" t="e">
        <f t="shared" ref="AD103:AD114" si="121">AC103/AC$12</f>
        <v>#DIV/0!</v>
      </c>
      <c r="AE103" s="44">
        <f t="shared" si="66"/>
        <v>0</v>
      </c>
      <c r="AF103" s="21">
        <f t="shared" si="67"/>
        <v>0</v>
      </c>
      <c r="AW103" s="99"/>
      <c r="AX103" s="99"/>
    </row>
    <row r="104" spans="1:50">
      <c r="A104" s="2">
        <v>6311</v>
      </c>
      <c r="B104" s="2" t="s">
        <v>129</v>
      </c>
      <c r="C104" s="283"/>
      <c r="D104" s="316" t="e">
        <f t="shared" si="110"/>
        <v>#DIV/0!</v>
      </c>
      <c r="E104" s="283"/>
      <c r="F104" s="316" t="e">
        <f t="shared" si="110"/>
        <v>#DIV/0!</v>
      </c>
      <c r="G104" s="283"/>
      <c r="H104" s="316" t="e">
        <f t="shared" si="111"/>
        <v>#DIV/0!</v>
      </c>
      <c r="I104" s="283"/>
      <c r="J104" s="316" t="e">
        <f t="shared" si="112"/>
        <v>#DIV/0!</v>
      </c>
      <c r="K104" s="283"/>
      <c r="L104" s="316" t="e">
        <f t="shared" si="113"/>
        <v>#DIV/0!</v>
      </c>
      <c r="M104" s="283"/>
      <c r="N104" s="316" t="e">
        <f t="shared" si="114"/>
        <v>#DIV/0!</v>
      </c>
      <c r="O104" s="283"/>
      <c r="P104" s="316" t="e">
        <f t="shared" ref="P104:P114" si="122">O104/O$12</f>
        <v>#DIV/0!</v>
      </c>
      <c r="Q104" s="283"/>
      <c r="R104" s="316" t="e">
        <f t="shared" si="115"/>
        <v>#DIV/0!</v>
      </c>
      <c r="S104" s="283"/>
      <c r="T104" s="316" t="e">
        <f t="shared" si="116"/>
        <v>#DIV/0!</v>
      </c>
      <c r="U104" s="283"/>
      <c r="V104" s="316" t="e">
        <f t="shared" si="117"/>
        <v>#DIV/0!</v>
      </c>
      <c r="W104" s="283"/>
      <c r="X104" s="316" t="e">
        <f t="shared" si="118"/>
        <v>#DIV/0!</v>
      </c>
      <c r="Y104" s="283"/>
      <c r="Z104" s="316" t="e">
        <f t="shared" si="119"/>
        <v>#DIV/0!</v>
      </c>
      <c r="AA104" s="319">
        <f t="shared" si="107"/>
        <v>0</v>
      </c>
      <c r="AB104" s="316" t="e">
        <f t="shared" si="120"/>
        <v>#DIV/0!</v>
      </c>
      <c r="AC104" s="317">
        <f t="shared" si="69"/>
        <v>0</v>
      </c>
      <c r="AD104" s="316" t="e">
        <f t="shared" si="121"/>
        <v>#DIV/0!</v>
      </c>
      <c r="AE104" s="44">
        <f t="shared" si="66"/>
        <v>0</v>
      </c>
      <c r="AF104" s="21">
        <f t="shared" si="67"/>
        <v>0</v>
      </c>
      <c r="AW104" s="99"/>
      <c r="AX104" s="99"/>
    </row>
    <row r="105" spans="1:50">
      <c r="A105" s="2">
        <v>6312</v>
      </c>
      <c r="B105" s="2" t="s">
        <v>130</v>
      </c>
      <c r="C105" s="283"/>
      <c r="D105" s="316" t="e">
        <f t="shared" si="110"/>
        <v>#DIV/0!</v>
      </c>
      <c r="E105" s="283"/>
      <c r="F105" s="316" t="e">
        <f t="shared" si="110"/>
        <v>#DIV/0!</v>
      </c>
      <c r="G105" s="283"/>
      <c r="H105" s="316" t="e">
        <f t="shared" si="111"/>
        <v>#DIV/0!</v>
      </c>
      <c r="I105" s="283"/>
      <c r="J105" s="316" t="e">
        <f t="shared" si="112"/>
        <v>#DIV/0!</v>
      </c>
      <c r="K105" s="283"/>
      <c r="L105" s="316" t="e">
        <f t="shared" si="113"/>
        <v>#DIV/0!</v>
      </c>
      <c r="M105" s="283"/>
      <c r="N105" s="316" t="e">
        <f t="shared" si="114"/>
        <v>#DIV/0!</v>
      </c>
      <c r="O105" s="283"/>
      <c r="P105" s="316" t="e">
        <f t="shared" si="122"/>
        <v>#DIV/0!</v>
      </c>
      <c r="Q105" s="283"/>
      <c r="R105" s="316" t="e">
        <f t="shared" si="115"/>
        <v>#DIV/0!</v>
      </c>
      <c r="S105" s="283"/>
      <c r="T105" s="316" t="e">
        <f t="shared" si="116"/>
        <v>#DIV/0!</v>
      </c>
      <c r="U105" s="283"/>
      <c r="V105" s="316" t="e">
        <f t="shared" si="117"/>
        <v>#DIV/0!</v>
      </c>
      <c r="W105" s="283"/>
      <c r="X105" s="316" t="e">
        <f t="shared" si="118"/>
        <v>#DIV/0!</v>
      </c>
      <c r="Y105" s="283"/>
      <c r="Z105" s="316" t="e">
        <f t="shared" si="119"/>
        <v>#DIV/0!</v>
      </c>
      <c r="AA105" s="319">
        <f t="shared" si="107"/>
        <v>0</v>
      </c>
      <c r="AB105" s="316" t="e">
        <f t="shared" si="120"/>
        <v>#DIV/0!</v>
      </c>
      <c r="AC105" s="317">
        <f t="shared" si="69"/>
        <v>0</v>
      </c>
      <c r="AD105" s="316" t="e">
        <f t="shared" si="121"/>
        <v>#DIV/0!</v>
      </c>
      <c r="AE105" s="44">
        <f t="shared" si="66"/>
        <v>0</v>
      </c>
      <c r="AF105" s="21">
        <f t="shared" si="67"/>
        <v>0</v>
      </c>
      <c r="AW105" s="99"/>
      <c r="AX105" s="99"/>
    </row>
    <row r="106" spans="1:50">
      <c r="A106" s="2">
        <v>6313</v>
      </c>
      <c r="B106" s="2" t="s">
        <v>131</v>
      </c>
      <c r="C106" s="283"/>
      <c r="D106" s="316" t="e">
        <f t="shared" si="110"/>
        <v>#DIV/0!</v>
      </c>
      <c r="E106" s="283"/>
      <c r="F106" s="316" t="e">
        <f t="shared" si="110"/>
        <v>#DIV/0!</v>
      </c>
      <c r="G106" s="283"/>
      <c r="H106" s="316" t="e">
        <f t="shared" si="111"/>
        <v>#DIV/0!</v>
      </c>
      <c r="I106" s="283"/>
      <c r="J106" s="316" t="e">
        <f t="shared" si="112"/>
        <v>#DIV/0!</v>
      </c>
      <c r="K106" s="283"/>
      <c r="L106" s="316" t="e">
        <f t="shared" si="113"/>
        <v>#DIV/0!</v>
      </c>
      <c r="M106" s="283"/>
      <c r="N106" s="316" t="e">
        <f t="shared" si="114"/>
        <v>#DIV/0!</v>
      </c>
      <c r="O106" s="283"/>
      <c r="P106" s="316" t="e">
        <f t="shared" si="122"/>
        <v>#DIV/0!</v>
      </c>
      <c r="Q106" s="283"/>
      <c r="R106" s="316" t="e">
        <f t="shared" si="115"/>
        <v>#DIV/0!</v>
      </c>
      <c r="S106" s="283"/>
      <c r="T106" s="316" t="e">
        <f t="shared" si="116"/>
        <v>#DIV/0!</v>
      </c>
      <c r="U106" s="283"/>
      <c r="V106" s="316" t="e">
        <f t="shared" si="117"/>
        <v>#DIV/0!</v>
      </c>
      <c r="W106" s="283"/>
      <c r="X106" s="316" t="e">
        <f t="shared" si="118"/>
        <v>#DIV/0!</v>
      </c>
      <c r="Y106" s="283"/>
      <c r="Z106" s="316" t="e">
        <f t="shared" si="119"/>
        <v>#DIV/0!</v>
      </c>
      <c r="AA106" s="319">
        <f t="shared" si="107"/>
        <v>0</v>
      </c>
      <c r="AB106" s="316" t="e">
        <f t="shared" si="120"/>
        <v>#DIV/0!</v>
      </c>
      <c r="AC106" s="317">
        <f t="shared" si="69"/>
        <v>0</v>
      </c>
      <c r="AD106" s="316" t="e">
        <f t="shared" si="121"/>
        <v>#DIV/0!</v>
      </c>
      <c r="AE106" s="44"/>
      <c r="AF106" s="21"/>
      <c r="AW106" s="99"/>
      <c r="AX106" s="99"/>
    </row>
    <row r="107" spans="1:50">
      <c r="A107" s="2">
        <v>6314</v>
      </c>
      <c r="B107" s="2" t="s">
        <v>210</v>
      </c>
      <c r="C107" s="283"/>
      <c r="D107" s="316" t="e">
        <f t="shared" si="110"/>
        <v>#DIV/0!</v>
      </c>
      <c r="E107" s="283"/>
      <c r="F107" s="316" t="e">
        <f t="shared" si="110"/>
        <v>#DIV/0!</v>
      </c>
      <c r="G107" s="283"/>
      <c r="H107" s="316" t="e">
        <f t="shared" si="111"/>
        <v>#DIV/0!</v>
      </c>
      <c r="I107" s="283"/>
      <c r="J107" s="316" t="e">
        <f t="shared" si="112"/>
        <v>#DIV/0!</v>
      </c>
      <c r="K107" s="283"/>
      <c r="L107" s="316" t="e">
        <f t="shared" si="113"/>
        <v>#DIV/0!</v>
      </c>
      <c r="M107" s="283"/>
      <c r="N107" s="316" t="e">
        <f t="shared" si="114"/>
        <v>#DIV/0!</v>
      </c>
      <c r="O107" s="283"/>
      <c r="P107" s="316" t="e">
        <f t="shared" si="122"/>
        <v>#DIV/0!</v>
      </c>
      <c r="Q107" s="283"/>
      <c r="R107" s="316" t="e">
        <f t="shared" si="115"/>
        <v>#DIV/0!</v>
      </c>
      <c r="S107" s="283"/>
      <c r="T107" s="316" t="e">
        <f t="shared" si="116"/>
        <v>#DIV/0!</v>
      </c>
      <c r="U107" s="283"/>
      <c r="V107" s="316" t="e">
        <f t="shared" si="117"/>
        <v>#DIV/0!</v>
      </c>
      <c r="W107" s="283"/>
      <c r="X107" s="316" t="e">
        <f t="shared" si="118"/>
        <v>#DIV/0!</v>
      </c>
      <c r="Y107" s="283"/>
      <c r="Z107" s="316" t="e">
        <f t="shared" si="119"/>
        <v>#DIV/0!</v>
      </c>
      <c r="AA107" s="319">
        <f t="shared" si="107"/>
        <v>0</v>
      </c>
      <c r="AB107" s="316" t="e">
        <f t="shared" si="120"/>
        <v>#DIV/0!</v>
      </c>
      <c r="AC107" s="317">
        <f t="shared" si="69"/>
        <v>0</v>
      </c>
      <c r="AD107" s="316" t="e">
        <f t="shared" si="121"/>
        <v>#DIV/0!</v>
      </c>
      <c r="AE107" s="44">
        <f t="shared" si="66"/>
        <v>0</v>
      </c>
      <c r="AF107" s="21">
        <f t="shared" si="67"/>
        <v>0</v>
      </c>
      <c r="AW107" s="99"/>
      <c r="AX107" s="99"/>
    </row>
    <row r="108" spans="1:50">
      <c r="A108" s="2">
        <v>6315</v>
      </c>
      <c r="B108" s="2" t="s">
        <v>249</v>
      </c>
      <c r="C108" s="283"/>
      <c r="D108" s="316" t="e">
        <f t="shared" si="110"/>
        <v>#DIV/0!</v>
      </c>
      <c r="E108" s="283"/>
      <c r="F108" s="316" t="e">
        <f t="shared" si="110"/>
        <v>#DIV/0!</v>
      </c>
      <c r="G108" s="283"/>
      <c r="H108" s="316" t="e">
        <f t="shared" si="111"/>
        <v>#DIV/0!</v>
      </c>
      <c r="I108" s="283"/>
      <c r="J108" s="316" t="e">
        <f t="shared" si="112"/>
        <v>#DIV/0!</v>
      </c>
      <c r="K108" s="283"/>
      <c r="L108" s="316" t="e">
        <f t="shared" si="113"/>
        <v>#DIV/0!</v>
      </c>
      <c r="M108" s="283"/>
      <c r="N108" s="316" t="e">
        <f t="shared" si="114"/>
        <v>#DIV/0!</v>
      </c>
      <c r="O108" s="283"/>
      <c r="P108" s="316" t="e">
        <f t="shared" si="122"/>
        <v>#DIV/0!</v>
      </c>
      <c r="Q108" s="283"/>
      <c r="R108" s="316" t="e">
        <f t="shared" si="115"/>
        <v>#DIV/0!</v>
      </c>
      <c r="S108" s="283"/>
      <c r="T108" s="316" t="e">
        <f t="shared" si="116"/>
        <v>#DIV/0!</v>
      </c>
      <c r="U108" s="283"/>
      <c r="V108" s="316" t="e">
        <f t="shared" si="117"/>
        <v>#DIV/0!</v>
      </c>
      <c r="W108" s="283"/>
      <c r="X108" s="316" t="e">
        <f t="shared" si="118"/>
        <v>#DIV/0!</v>
      </c>
      <c r="Y108" s="283"/>
      <c r="Z108" s="316" t="e">
        <f t="shared" si="119"/>
        <v>#DIV/0!</v>
      </c>
      <c r="AA108" s="319">
        <f t="shared" si="107"/>
        <v>0</v>
      </c>
      <c r="AB108" s="316" t="e">
        <f t="shared" si="120"/>
        <v>#DIV/0!</v>
      </c>
      <c r="AC108" s="317">
        <f t="shared" si="69"/>
        <v>0</v>
      </c>
      <c r="AD108" s="316" t="e">
        <f t="shared" si="121"/>
        <v>#DIV/0!</v>
      </c>
      <c r="AE108" s="44"/>
      <c r="AF108" s="21"/>
      <c r="AW108" s="99"/>
      <c r="AX108" s="99"/>
    </row>
    <row r="109" spans="1:50">
      <c r="A109" s="2">
        <v>6316</v>
      </c>
      <c r="B109" s="2" t="s">
        <v>250</v>
      </c>
      <c r="C109" s="283"/>
      <c r="D109" s="316" t="e">
        <f t="shared" si="110"/>
        <v>#DIV/0!</v>
      </c>
      <c r="E109" s="283"/>
      <c r="F109" s="316" t="e">
        <f t="shared" si="110"/>
        <v>#DIV/0!</v>
      </c>
      <c r="G109" s="283"/>
      <c r="H109" s="316" t="e">
        <f t="shared" si="111"/>
        <v>#DIV/0!</v>
      </c>
      <c r="I109" s="283"/>
      <c r="J109" s="316" t="e">
        <f t="shared" si="112"/>
        <v>#DIV/0!</v>
      </c>
      <c r="K109" s="283"/>
      <c r="L109" s="316" t="e">
        <f t="shared" si="113"/>
        <v>#DIV/0!</v>
      </c>
      <c r="M109" s="283"/>
      <c r="N109" s="316" t="e">
        <f t="shared" si="114"/>
        <v>#DIV/0!</v>
      </c>
      <c r="O109" s="283"/>
      <c r="P109" s="316" t="e">
        <f t="shared" si="122"/>
        <v>#DIV/0!</v>
      </c>
      <c r="Q109" s="283"/>
      <c r="R109" s="316" t="e">
        <f t="shared" si="115"/>
        <v>#DIV/0!</v>
      </c>
      <c r="S109" s="283"/>
      <c r="T109" s="316" t="e">
        <f t="shared" si="116"/>
        <v>#DIV/0!</v>
      </c>
      <c r="U109" s="283"/>
      <c r="V109" s="316" t="e">
        <f t="shared" si="117"/>
        <v>#DIV/0!</v>
      </c>
      <c r="W109" s="283"/>
      <c r="X109" s="316" t="e">
        <f t="shared" si="118"/>
        <v>#DIV/0!</v>
      </c>
      <c r="Y109" s="283"/>
      <c r="Z109" s="316" t="e">
        <f t="shared" si="119"/>
        <v>#DIV/0!</v>
      </c>
      <c r="AA109" s="319">
        <f t="shared" si="107"/>
        <v>0</v>
      </c>
      <c r="AB109" s="316" t="e">
        <f t="shared" si="120"/>
        <v>#DIV/0!</v>
      </c>
      <c r="AC109" s="317">
        <f t="shared" si="69"/>
        <v>0</v>
      </c>
      <c r="AD109" s="316" t="e">
        <f t="shared" si="121"/>
        <v>#DIV/0!</v>
      </c>
      <c r="AE109" s="44"/>
      <c r="AF109" s="21"/>
      <c r="AW109" s="99"/>
      <c r="AX109" s="99"/>
    </row>
    <row r="110" spans="1:50">
      <c r="A110" s="2">
        <v>6317</v>
      </c>
      <c r="B110" s="2" t="s">
        <v>251</v>
      </c>
      <c r="C110" s="283"/>
      <c r="D110" s="316" t="e">
        <f t="shared" si="110"/>
        <v>#DIV/0!</v>
      </c>
      <c r="E110" s="283"/>
      <c r="F110" s="316" t="e">
        <f t="shared" si="110"/>
        <v>#DIV/0!</v>
      </c>
      <c r="G110" s="283"/>
      <c r="H110" s="316" t="e">
        <f t="shared" si="111"/>
        <v>#DIV/0!</v>
      </c>
      <c r="I110" s="283"/>
      <c r="J110" s="316" t="e">
        <f t="shared" si="112"/>
        <v>#DIV/0!</v>
      </c>
      <c r="K110" s="283"/>
      <c r="L110" s="316" t="e">
        <f t="shared" si="113"/>
        <v>#DIV/0!</v>
      </c>
      <c r="M110" s="283"/>
      <c r="N110" s="316" t="e">
        <f t="shared" si="114"/>
        <v>#DIV/0!</v>
      </c>
      <c r="O110" s="283"/>
      <c r="P110" s="316" t="e">
        <f t="shared" si="122"/>
        <v>#DIV/0!</v>
      </c>
      <c r="Q110" s="283"/>
      <c r="R110" s="316" t="e">
        <f t="shared" si="115"/>
        <v>#DIV/0!</v>
      </c>
      <c r="S110" s="283"/>
      <c r="T110" s="316" t="e">
        <f t="shared" si="116"/>
        <v>#DIV/0!</v>
      </c>
      <c r="U110" s="283"/>
      <c r="V110" s="316" t="e">
        <f t="shared" si="117"/>
        <v>#DIV/0!</v>
      </c>
      <c r="W110" s="283"/>
      <c r="X110" s="316" t="e">
        <f t="shared" si="118"/>
        <v>#DIV/0!</v>
      </c>
      <c r="Y110" s="283"/>
      <c r="Z110" s="316" t="e">
        <f t="shared" si="119"/>
        <v>#DIV/0!</v>
      </c>
      <c r="AA110" s="319">
        <f t="shared" si="107"/>
        <v>0</v>
      </c>
      <c r="AB110" s="316" t="e">
        <f t="shared" si="120"/>
        <v>#DIV/0!</v>
      </c>
      <c r="AC110" s="317">
        <f t="shared" si="69"/>
        <v>0</v>
      </c>
      <c r="AD110" s="316" t="e">
        <f t="shared" si="121"/>
        <v>#DIV/0!</v>
      </c>
      <c r="AE110" s="44"/>
      <c r="AF110" s="21"/>
      <c r="AW110" s="99"/>
      <c r="AX110" s="99"/>
    </row>
    <row r="111" spans="1:50">
      <c r="A111" s="2">
        <v>6318</v>
      </c>
      <c r="B111" s="2" t="s">
        <v>252</v>
      </c>
      <c r="C111" s="283"/>
      <c r="D111" s="316" t="e">
        <f t="shared" si="110"/>
        <v>#DIV/0!</v>
      </c>
      <c r="E111" s="283"/>
      <c r="F111" s="316" t="e">
        <f t="shared" si="110"/>
        <v>#DIV/0!</v>
      </c>
      <c r="G111" s="283"/>
      <c r="H111" s="316" t="e">
        <f t="shared" si="111"/>
        <v>#DIV/0!</v>
      </c>
      <c r="I111" s="283"/>
      <c r="J111" s="316" t="e">
        <f t="shared" si="112"/>
        <v>#DIV/0!</v>
      </c>
      <c r="K111" s="283"/>
      <c r="L111" s="316" t="e">
        <f t="shared" si="113"/>
        <v>#DIV/0!</v>
      </c>
      <c r="M111" s="283"/>
      <c r="N111" s="316" t="e">
        <f t="shared" si="114"/>
        <v>#DIV/0!</v>
      </c>
      <c r="O111" s="283"/>
      <c r="P111" s="316" t="e">
        <f t="shared" si="122"/>
        <v>#DIV/0!</v>
      </c>
      <c r="Q111" s="283"/>
      <c r="R111" s="316" t="e">
        <f t="shared" si="115"/>
        <v>#DIV/0!</v>
      </c>
      <c r="S111" s="283"/>
      <c r="T111" s="316" t="e">
        <f t="shared" si="116"/>
        <v>#DIV/0!</v>
      </c>
      <c r="U111" s="283"/>
      <c r="V111" s="316" t="e">
        <f t="shared" si="117"/>
        <v>#DIV/0!</v>
      </c>
      <c r="W111" s="283"/>
      <c r="X111" s="316" t="e">
        <f t="shared" si="118"/>
        <v>#DIV/0!</v>
      </c>
      <c r="Y111" s="283"/>
      <c r="Z111" s="316" t="e">
        <f t="shared" si="119"/>
        <v>#DIV/0!</v>
      </c>
      <c r="AA111" s="319">
        <f t="shared" si="107"/>
        <v>0</v>
      </c>
      <c r="AB111" s="316" t="e">
        <f t="shared" si="120"/>
        <v>#DIV/0!</v>
      </c>
      <c r="AC111" s="317">
        <f t="shared" si="69"/>
        <v>0</v>
      </c>
      <c r="AD111" s="316" t="e">
        <f t="shared" si="121"/>
        <v>#DIV/0!</v>
      </c>
      <c r="AE111" s="44"/>
      <c r="AF111" s="21"/>
      <c r="AW111" s="99"/>
      <c r="AX111" s="99"/>
    </row>
    <row r="112" spans="1:50">
      <c r="A112" s="2">
        <v>6319</v>
      </c>
      <c r="B112" s="2" t="s">
        <v>253</v>
      </c>
      <c r="C112" s="283"/>
      <c r="D112" s="316" t="e">
        <f t="shared" si="110"/>
        <v>#DIV/0!</v>
      </c>
      <c r="E112" s="283"/>
      <c r="F112" s="316" t="e">
        <f t="shared" si="110"/>
        <v>#DIV/0!</v>
      </c>
      <c r="G112" s="283"/>
      <c r="H112" s="316" t="e">
        <f t="shared" si="111"/>
        <v>#DIV/0!</v>
      </c>
      <c r="I112" s="283"/>
      <c r="J112" s="316" t="e">
        <f t="shared" si="112"/>
        <v>#DIV/0!</v>
      </c>
      <c r="K112" s="283"/>
      <c r="L112" s="316" t="e">
        <f t="shared" si="113"/>
        <v>#DIV/0!</v>
      </c>
      <c r="M112" s="283"/>
      <c r="N112" s="316" t="e">
        <f t="shared" si="114"/>
        <v>#DIV/0!</v>
      </c>
      <c r="O112" s="283"/>
      <c r="P112" s="316" t="e">
        <f t="shared" si="122"/>
        <v>#DIV/0!</v>
      </c>
      <c r="Q112" s="283"/>
      <c r="R112" s="316" t="e">
        <f t="shared" si="115"/>
        <v>#DIV/0!</v>
      </c>
      <c r="S112" s="283"/>
      <c r="T112" s="316" t="e">
        <f t="shared" si="116"/>
        <v>#DIV/0!</v>
      </c>
      <c r="U112" s="283"/>
      <c r="V112" s="316" t="e">
        <f t="shared" si="117"/>
        <v>#DIV/0!</v>
      </c>
      <c r="W112" s="283"/>
      <c r="X112" s="316" t="e">
        <f t="shared" si="118"/>
        <v>#DIV/0!</v>
      </c>
      <c r="Y112" s="283"/>
      <c r="Z112" s="316" t="e">
        <f t="shared" si="119"/>
        <v>#DIV/0!</v>
      </c>
      <c r="AA112" s="319">
        <f t="shared" si="107"/>
        <v>0</v>
      </c>
      <c r="AB112" s="316" t="e">
        <f t="shared" si="120"/>
        <v>#DIV/0!</v>
      </c>
      <c r="AC112" s="317">
        <f t="shared" si="69"/>
        <v>0</v>
      </c>
      <c r="AD112" s="316" t="e">
        <f t="shared" si="121"/>
        <v>#DIV/0!</v>
      </c>
      <c r="AE112" s="44"/>
      <c r="AF112" s="21"/>
      <c r="AW112" s="99"/>
      <c r="AX112" s="99"/>
    </row>
    <row r="113" spans="1:50">
      <c r="A113" s="2">
        <v>6320</v>
      </c>
      <c r="B113" s="2" t="s">
        <v>254</v>
      </c>
      <c r="C113" s="283"/>
      <c r="D113" s="316" t="e">
        <f t="shared" si="110"/>
        <v>#DIV/0!</v>
      </c>
      <c r="E113" s="283"/>
      <c r="F113" s="316" t="e">
        <f t="shared" si="110"/>
        <v>#DIV/0!</v>
      </c>
      <c r="G113" s="283"/>
      <c r="H113" s="316" t="e">
        <f t="shared" si="111"/>
        <v>#DIV/0!</v>
      </c>
      <c r="I113" s="283"/>
      <c r="J113" s="316" t="e">
        <f t="shared" si="112"/>
        <v>#DIV/0!</v>
      </c>
      <c r="K113" s="283"/>
      <c r="L113" s="316" t="e">
        <f t="shared" si="113"/>
        <v>#DIV/0!</v>
      </c>
      <c r="M113" s="283"/>
      <c r="N113" s="316" t="e">
        <f t="shared" si="114"/>
        <v>#DIV/0!</v>
      </c>
      <c r="O113" s="283"/>
      <c r="P113" s="316" t="e">
        <f t="shared" si="122"/>
        <v>#DIV/0!</v>
      </c>
      <c r="Q113" s="283"/>
      <c r="R113" s="316" t="e">
        <f t="shared" si="115"/>
        <v>#DIV/0!</v>
      </c>
      <c r="S113" s="283"/>
      <c r="T113" s="316" t="e">
        <f t="shared" si="116"/>
        <v>#DIV/0!</v>
      </c>
      <c r="U113" s="283"/>
      <c r="V113" s="316" t="e">
        <f t="shared" si="117"/>
        <v>#DIV/0!</v>
      </c>
      <c r="W113" s="283"/>
      <c r="X113" s="316" t="e">
        <f t="shared" si="118"/>
        <v>#DIV/0!</v>
      </c>
      <c r="Y113" s="283"/>
      <c r="Z113" s="316" t="e">
        <f t="shared" si="119"/>
        <v>#DIV/0!</v>
      </c>
      <c r="AA113" s="319">
        <f t="shared" si="107"/>
        <v>0</v>
      </c>
      <c r="AB113" s="316" t="e">
        <f t="shared" si="120"/>
        <v>#DIV/0!</v>
      </c>
      <c r="AC113" s="317">
        <f t="shared" si="69"/>
        <v>0</v>
      </c>
      <c r="AD113" s="316" t="e">
        <f t="shared" si="121"/>
        <v>#DIV/0!</v>
      </c>
      <c r="AE113" s="44"/>
      <c r="AF113" s="21"/>
      <c r="AW113" s="99"/>
      <c r="AX113" s="99"/>
    </row>
    <row r="114" spans="1:50">
      <c r="A114" s="2">
        <v>6321</v>
      </c>
      <c r="B114" s="2" t="s">
        <v>255</v>
      </c>
      <c r="C114" s="283"/>
      <c r="D114" s="316" t="e">
        <f t="shared" si="110"/>
        <v>#DIV/0!</v>
      </c>
      <c r="E114" s="283"/>
      <c r="F114" s="316" t="e">
        <f t="shared" si="110"/>
        <v>#DIV/0!</v>
      </c>
      <c r="G114" s="283"/>
      <c r="H114" s="316" t="e">
        <f t="shared" si="111"/>
        <v>#DIV/0!</v>
      </c>
      <c r="I114" s="283"/>
      <c r="J114" s="316" t="e">
        <f t="shared" si="112"/>
        <v>#DIV/0!</v>
      </c>
      <c r="K114" s="283"/>
      <c r="L114" s="316" t="e">
        <f t="shared" si="113"/>
        <v>#DIV/0!</v>
      </c>
      <c r="M114" s="283"/>
      <c r="N114" s="316" t="e">
        <f t="shared" si="114"/>
        <v>#DIV/0!</v>
      </c>
      <c r="O114" s="283"/>
      <c r="P114" s="316" t="e">
        <f t="shared" si="122"/>
        <v>#DIV/0!</v>
      </c>
      <c r="Q114" s="283"/>
      <c r="R114" s="316" t="e">
        <f t="shared" si="115"/>
        <v>#DIV/0!</v>
      </c>
      <c r="S114" s="283"/>
      <c r="T114" s="316" t="e">
        <f t="shared" si="116"/>
        <v>#DIV/0!</v>
      </c>
      <c r="U114" s="283"/>
      <c r="V114" s="316" t="e">
        <f t="shared" si="117"/>
        <v>#DIV/0!</v>
      </c>
      <c r="W114" s="283"/>
      <c r="X114" s="316" t="e">
        <f t="shared" si="118"/>
        <v>#DIV/0!</v>
      </c>
      <c r="Y114" s="283"/>
      <c r="Z114" s="316" t="e">
        <f t="shared" si="119"/>
        <v>#DIV/0!</v>
      </c>
      <c r="AA114" s="319">
        <f t="shared" si="107"/>
        <v>0</v>
      </c>
      <c r="AB114" s="316" t="e">
        <f t="shared" si="120"/>
        <v>#DIV/0!</v>
      </c>
      <c r="AC114" s="317">
        <f t="shared" si="69"/>
        <v>0</v>
      </c>
      <c r="AD114" s="316" t="e">
        <f t="shared" si="121"/>
        <v>#DIV/0!</v>
      </c>
      <c r="AE114" s="44"/>
      <c r="AF114" s="21"/>
      <c r="AW114" s="99"/>
      <c r="AX114" s="99"/>
    </row>
    <row r="115" spans="1:50" ht="15.75" thickBot="1">
      <c r="A115" s="4">
        <v>6399</v>
      </c>
      <c r="B115" s="39" t="s">
        <v>103</v>
      </c>
      <c r="C115" s="320">
        <f>SUM(C94:C114)</f>
        <v>0</v>
      </c>
      <c r="D115" s="321" t="e">
        <f>C115/C12</f>
        <v>#DIV/0!</v>
      </c>
      <c r="E115" s="320">
        <f>SUM(E94:E114)</f>
        <v>0</v>
      </c>
      <c r="F115" s="321" t="e">
        <f>E115/E12</f>
        <v>#DIV/0!</v>
      </c>
      <c r="G115" s="320">
        <f>SUM(G94:G114)</f>
        <v>0</v>
      </c>
      <c r="H115" s="321" t="e">
        <f>G115/G12</f>
        <v>#DIV/0!</v>
      </c>
      <c r="I115" s="320">
        <f>SUM(I94:I114)</f>
        <v>0</v>
      </c>
      <c r="J115" s="321" t="e">
        <f>I115/I12</f>
        <v>#DIV/0!</v>
      </c>
      <c r="K115" s="320">
        <f>SUM(K94:K114)</f>
        <v>0</v>
      </c>
      <c r="L115" s="321" t="e">
        <f>K115/K12</f>
        <v>#DIV/0!</v>
      </c>
      <c r="M115" s="320">
        <f>SUM(M94:M114)</f>
        <v>0</v>
      </c>
      <c r="N115" s="321" t="e">
        <f>M115/M12</f>
        <v>#DIV/0!</v>
      </c>
      <c r="O115" s="320">
        <f>SUM(O94:O114)</f>
        <v>0</v>
      </c>
      <c r="P115" s="321" t="e">
        <f>O115/O12</f>
        <v>#DIV/0!</v>
      </c>
      <c r="Q115" s="320">
        <f>SUM(Q94:Q114)</f>
        <v>0</v>
      </c>
      <c r="R115" s="321" t="e">
        <f>Q115/Q12</f>
        <v>#DIV/0!</v>
      </c>
      <c r="S115" s="320">
        <f>SUM(S94:S114)</f>
        <v>0</v>
      </c>
      <c r="T115" s="321" t="e">
        <f>S115/S12</f>
        <v>#DIV/0!</v>
      </c>
      <c r="U115" s="320">
        <f>SUM(U94:U114)</f>
        <v>0</v>
      </c>
      <c r="V115" s="321" t="e">
        <f>U115/U12</f>
        <v>#DIV/0!</v>
      </c>
      <c r="W115" s="320">
        <f>SUM(W94:W114)</f>
        <v>0</v>
      </c>
      <c r="X115" s="321" t="e">
        <f>W115/W12</f>
        <v>#DIV/0!</v>
      </c>
      <c r="Y115" s="320">
        <f>SUM(Y94:Y114)</f>
        <v>0</v>
      </c>
      <c r="Z115" s="321" t="e">
        <f>Y115/Y12</f>
        <v>#DIV/0!</v>
      </c>
      <c r="AA115" s="320">
        <f>SUM(AA94:AA114)</f>
        <v>0</v>
      </c>
      <c r="AB115" s="321" t="e">
        <f>AA115/AA12</f>
        <v>#DIV/0!</v>
      </c>
      <c r="AC115" s="322">
        <f t="shared" si="69"/>
        <v>0</v>
      </c>
      <c r="AD115" s="321" t="e">
        <f>AC115/AC12</f>
        <v>#DIV/0!</v>
      </c>
      <c r="AE115" s="44">
        <f t="shared" si="66"/>
        <v>0</v>
      </c>
      <c r="AF115" s="21">
        <f t="shared" si="67"/>
        <v>0</v>
      </c>
      <c r="AW115" s="99"/>
      <c r="AX115" s="99"/>
    </row>
    <row r="116" spans="1:50" ht="15.75" thickTop="1">
      <c r="A116" s="15">
        <v>6401</v>
      </c>
      <c r="B116" s="15" t="s">
        <v>89</v>
      </c>
      <c r="D116" s="28"/>
      <c r="E116" s="19"/>
      <c r="F116" s="28"/>
      <c r="H116" s="28"/>
      <c r="J116" s="28"/>
      <c r="L116" s="28"/>
      <c r="N116" s="28"/>
      <c r="O116" s="20">
        <v>0</v>
      </c>
      <c r="P116" s="28"/>
      <c r="Q116" s="20">
        <v>0</v>
      </c>
      <c r="R116" s="28"/>
      <c r="T116" s="28"/>
      <c r="V116" s="28"/>
      <c r="X116" s="28"/>
      <c r="Z116" s="28"/>
      <c r="AA116" s="59">
        <f t="shared" ref="AA116:AA128" si="123">C116+E116+G116+I116+K116+M116+O116+Q116+S116+U116+W116+Y116</f>
        <v>0</v>
      </c>
      <c r="AB116" s="60"/>
      <c r="AC116" s="67">
        <f t="shared" si="69"/>
        <v>0</v>
      </c>
      <c r="AD116" s="68"/>
      <c r="AE116" s="44">
        <f t="shared" si="66"/>
        <v>0</v>
      </c>
      <c r="AF116" s="21">
        <f t="shared" si="67"/>
        <v>0</v>
      </c>
      <c r="AW116" s="99"/>
      <c r="AX116" s="99"/>
    </row>
    <row r="117" spans="1:50">
      <c r="A117" s="2">
        <v>6402</v>
      </c>
      <c r="B117" s="2" t="s">
        <v>75</v>
      </c>
      <c r="C117" s="19">
        <v>250</v>
      </c>
      <c r="D117" s="28">
        <f t="shared" ref="D117:D142" si="124">C117/C$145</f>
        <v>-1.7837518788091516E-2</v>
      </c>
      <c r="E117" s="19">
        <v>250</v>
      </c>
      <c r="F117" s="28">
        <f t="shared" ref="F117:F139" si="125">E117/E$145</f>
        <v>-1.7837518788091516E-2</v>
      </c>
      <c r="G117" s="19">
        <v>250</v>
      </c>
      <c r="H117" s="28">
        <f t="shared" ref="H117:H139" si="126">G117/G$145</f>
        <v>-1.7837518788091516E-2</v>
      </c>
      <c r="I117" s="19">
        <v>250</v>
      </c>
      <c r="J117" s="28">
        <f t="shared" ref="J117:J139" si="127">I117/I$145</f>
        <v>-1.7837518788091516E-2</v>
      </c>
      <c r="K117" s="19">
        <v>250</v>
      </c>
      <c r="L117" s="28">
        <f t="shared" ref="L117:L139" si="128">K117/K$145</f>
        <v>-1.7837518788091516E-2</v>
      </c>
      <c r="M117" s="19">
        <v>250</v>
      </c>
      <c r="N117" s="28">
        <f t="shared" ref="N117:N145" si="129">M117/M$145</f>
        <v>-2.329828793231133E-2</v>
      </c>
      <c r="O117" s="19">
        <v>250</v>
      </c>
      <c r="P117" s="28">
        <f t="shared" ref="P117:P139" si="130">O117/O$145</f>
        <v>-2.8684849461655785E-2</v>
      </c>
      <c r="Q117" s="19">
        <v>250</v>
      </c>
      <c r="R117" s="28">
        <f t="shared" ref="R117:R139" si="131">Q117/Q$145</f>
        <v>-1.7837518788091516E-2</v>
      </c>
      <c r="S117" s="19">
        <v>250</v>
      </c>
      <c r="T117" s="28">
        <f t="shared" ref="T117:AD142" si="132">S117/S$145</f>
        <v>-1.7837531515183667E-2</v>
      </c>
      <c r="U117" s="19">
        <v>250</v>
      </c>
      <c r="V117" s="28">
        <f t="shared" ref="V117:V139" si="133">U117/U$145</f>
        <v>-1.7837518788091516E-2</v>
      </c>
      <c r="W117" s="19">
        <v>250</v>
      </c>
      <c r="X117" s="28">
        <f t="shared" ref="X117:X139" si="134">W117/W$145</f>
        <v>-1.7837518788091516E-2</v>
      </c>
      <c r="Y117" s="19">
        <v>250</v>
      </c>
      <c r="Z117" s="28">
        <f t="shared" ref="Z117:Z139" si="135">Y117/Y$145</f>
        <v>0.31863459066040101</v>
      </c>
      <c r="AA117" s="59">
        <f t="shared" si="123"/>
        <v>3000</v>
      </c>
      <c r="AB117" s="60">
        <f t="shared" si="132"/>
        <v>-2.0718258320306934E-2</v>
      </c>
      <c r="AC117" s="67">
        <f t="shared" si="69"/>
        <v>250</v>
      </c>
      <c r="AD117" s="68">
        <f t="shared" si="132"/>
        <v>-2.0718258320306934E-2</v>
      </c>
      <c r="AE117" s="44">
        <f t="shared" si="66"/>
        <v>3000</v>
      </c>
      <c r="AF117" s="21">
        <f t="shared" si="67"/>
        <v>0</v>
      </c>
      <c r="AG117" s="114">
        <v>1000</v>
      </c>
      <c r="AH117" s="1" t="s">
        <v>139</v>
      </c>
      <c r="AW117" s="99"/>
      <c r="AX117" s="99"/>
    </row>
    <row r="118" spans="1:50">
      <c r="A118" s="2">
        <v>6403</v>
      </c>
      <c r="B118" s="2" t="s">
        <v>260</v>
      </c>
      <c r="C118" s="19">
        <v>0</v>
      </c>
      <c r="D118" s="28">
        <f t="shared" si="124"/>
        <v>0</v>
      </c>
      <c r="E118" s="19">
        <v>0</v>
      </c>
      <c r="F118" s="28">
        <f t="shared" si="125"/>
        <v>0</v>
      </c>
      <c r="G118" s="19">
        <v>0</v>
      </c>
      <c r="H118" s="28">
        <f t="shared" si="126"/>
        <v>0</v>
      </c>
      <c r="I118" s="19">
        <v>0</v>
      </c>
      <c r="J118" s="28">
        <f t="shared" si="127"/>
        <v>0</v>
      </c>
      <c r="K118" s="19">
        <v>0</v>
      </c>
      <c r="L118" s="28">
        <f t="shared" si="128"/>
        <v>0</v>
      </c>
      <c r="M118" s="19">
        <v>0</v>
      </c>
      <c r="N118" s="28">
        <f t="shared" si="129"/>
        <v>0</v>
      </c>
      <c r="O118" s="19">
        <v>0</v>
      </c>
      <c r="P118" s="28">
        <f t="shared" si="130"/>
        <v>0</v>
      </c>
      <c r="Q118" s="19">
        <v>0</v>
      </c>
      <c r="R118" s="28">
        <f t="shared" si="131"/>
        <v>0</v>
      </c>
      <c r="S118" s="19">
        <v>0</v>
      </c>
      <c r="T118" s="28">
        <f t="shared" si="132"/>
        <v>0</v>
      </c>
      <c r="U118" s="19">
        <v>0</v>
      </c>
      <c r="V118" s="28">
        <f t="shared" si="133"/>
        <v>0</v>
      </c>
      <c r="W118" s="19">
        <v>0</v>
      </c>
      <c r="X118" s="28">
        <f t="shared" si="134"/>
        <v>0</v>
      </c>
      <c r="Y118" s="19">
        <v>0</v>
      </c>
      <c r="Z118" s="28">
        <f t="shared" si="135"/>
        <v>0</v>
      </c>
      <c r="AA118" s="59"/>
      <c r="AB118" s="60"/>
      <c r="AC118" s="67"/>
      <c r="AD118" s="68"/>
      <c r="AE118" s="44"/>
      <c r="AF118" s="21"/>
      <c r="AG118" s="114"/>
      <c r="AW118" s="99"/>
      <c r="AX118" s="99"/>
    </row>
    <row r="119" spans="1:50">
      <c r="A119" s="2">
        <v>6404</v>
      </c>
      <c r="B119" s="2" t="s">
        <v>92</v>
      </c>
      <c r="C119" s="19"/>
      <c r="D119" s="28">
        <f t="shared" si="124"/>
        <v>0</v>
      </c>
      <c r="E119" s="19"/>
      <c r="F119" s="28">
        <f t="shared" si="125"/>
        <v>0</v>
      </c>
      <c r="G119" s="19"/>
      <c r="H119" s="28">
        <f t="shared" si="126"/>
        <v>0</v>
      </c>
      <c r="I119" s="19"/>
      <c r="J119" s="28">
        <f t="shared" si="127"/>
        <v>0</v>
      </c>
      <c r="K119" s="19"/>
      <c r="L119" s="28">
        <f t="shared" si="128"/>
        <v>0</v>
      </c>
      <c r="M119" s="19"/>
      <c r="N119" s="28">
        <f t="shared" si="129"/>
        <v>0</v>
      </c>
      <c r="O119" s="19"/>
      <c r="P119" s="28">
        <f t="shared" si="130"/>
        <v>0</v>
      </c>
      <c r="Q119" s="19"/>
      <c r="R119" s="28">
        <f t="shared" si="131"/>
        <v>0</v>
      </c>
      <c r="S119" s="19"/>
      <c r="T119" s="28">
        <f t="shared" si="132"/>
        <v>0</v>
      </c>
      <c r="U119" s="19"/>
      <c r="V119" s="28">
        <f t="shared" si="133"/>
        <v>0</v>
      </c>
      <c r="W119" s="19"/>
      <c r="X119" s="28">
        <f t="shared" si="134"/>
        <v>0</v>
      </c>
      <c r="Y119" s="19"/>
      <c r="Z119" s="28">
        <f t="shared" si="135"/>
        <v>0</v>
      </c>
      <c r="AA119" s="59">
        <f t="shared" si="123"/>
        <v>0</v>
      </c>
      <c r="AB119" s="60">
        <f t="shared" si="132"/>
        <v>0</v>
      </c>
      <c r="AC119" s="67">
        <f t="shared" si="69"/>
        <v>0</v>
      </c>
      <c r="AD119" s="68">
        <f t="shared" si="132"/>
        <v>0</v>
      </c>
      <c r="AE119" s="44">
        <f t="shared" si="66"/>
        <v>0</v>
      </c>
      <c r="AF119" s="21">
        <f t="shared" si="67"/>
        <v>0</v>
      </c>
      <c r="AW119" s="99"/>
      <c r="AX119" s="99"/>
    </row>
    <row r="120" spans="1:50">
      <c r="A120" s="2">
        <v>6406</v>
      </c>
      <c r="B120" s="2" t="s">
        <v>72</v>
      </c>
      <c r="C120" s="16"/>
      <c r="D120" s="28">
        <f t="shared" si="124"/>
        <v>0</v>
      </c>
      <c r="E120" s="16"/>
      <c r="F120" s="28">
        <f t="shared" si="125"/>
        <v>0</v>
      </c>
      <c r="G120" s="16"/>
      <c r="H120" s="28">
        <f t="shared" si="126"/>
        <v>0</v>
      </c>
      <c r="I120" s="16"/>
      <c r="J120" s="28">
        <f t="shared" si="127"/>
        <v>0</v>
      </c>
      <c r="K120" s="16"/>
      <c r="L120" s="28">
        <f t="shared" si="128"/>
        <v>0</v>
      </c>
      <c r="M120" s="16"/>
      <c r="N120" s="28">
        <f t="shared" si="129"/>
        <v>0</v>
      </c>
      <c r="O120" s="16"/>
      <c r="P120" s="28">
        <f t="shared" si="130"/>
        <v>0</v>
      </c>
      <c r="Q120" s="16"/>
      <c r="R120" s="28">
        <f t="shared" si="131"/>
        <v>0</v>
      </c>
      <c r="S120" s="16"/>
      <c r="T120" s="28">
        <f t="shared" si="132"/>
        <v>0</v>
      </c>
      <c r="U120" s="16"/>
      <c r="V120" s="28">
        <f t="shared" si="133"/>
        <v>0</v>
      </c>
      <c r="W120" s="16"/>
      <c r="X120" s="28">
        <f t="shared" si="134"/>
        <v>0</v>
      </c>
      <c r="Y120" s="16"/>
      <c r="Z120" s="28">
        <f t="shared" si="135"/>
        <v>0</v>
      </c>
      <c r="AA120" s="59">
        <f t="shared" si="123"/>
        <v>0</v>
      </c>
      <c r="AB120" s="60">
        <f t="shared" si="132"/>
        <v>0</v>
      </c>
      <c r="AC120" s="67">
        <f t="shared" si="69"/>
        <v>0</v>
      </c>
      <c r="AD120" s="68">
        <f t="shared" si="132"/>
        <v>0</v>
      </c>
      <c r="AE120" s="44">
        <f t="shared" si="66"/>
        <v>0</v>
      </c>
      <c r="AF120" s="21">
        <f t="shared" si="67"/>
        <v>0</v>
      </c>
      <c r="AW120" s="99"/>
      <c r="AX120" s="99"/>
    </row>
    <row r="121" spans="1:50">
      <c r="A121" s="2">
        <v>6407</v>
      </c>
      <c r="B121" s="2" t="s">
        <v>73</v>
      </c>
      <c r="C121" s="16"/>
      <c r="D121" s="28">
        <f t="shared" si="124"/>
        <v>0</v>
      </c>
      <c r="E121" s="16"/>
      <c r="F121" s="28">
        <f t="shared" si="125"/>
        <v>0</v>
      </c>
      <c r="G121" s="16"/>
      <c r="H121" s="28">
        <f t="shared" si="126"/>
        <v>0</v>
      </c>
      <c r="I121" s="16"/>
      <c r="J121" s="28">
        <f t="shared" si="127"/>
        <v>0</v>
      </c>
      <c r="K121" s="16"/>
      <c r="L121" s="28">
        <f t="shared" si="128"/>
        <v>0</v>
      </c>
      <c r="M121" s="16"/>
      <c r="N121" s="28">
        <f t="shared" si="129"/>
        <v>0</v>
      </c>
      <c r="O121" s="16"/>
      <c r="P121" s="28">
        <f t="shared" si="130"/>
        <v>0</v>
      </c>
      <c r="Q121" s="16"/>
      <c r="R121" s="28">
        <f t="shared" si="131"/>
        <v>0</v>
      </c>
      <c r="S121" s="16"/>
      <c r="T121" s="28">
        <f t="shared" si="132"/>
        <v>0</v>
      </c>
      <c r="U121" s="16"/>
      <c r="V121" s="28">
        <f t="shared" si="133"/>
        <v>0</v>
      </c>
      <c r="W121" s="16"/>
      <c r="X121" s="28">
        <f t="shared" si="134"/>
        <v>0</v>
      </c>
      <c r="Y121" s="16"/>
      <c r="Z121" s="28">
        <f t="shared" si="135"/>
        <v>0</v>
      </c>
      <c r="AA121" s="59">
        <f t="shared" si="123"/>
        <v>0</v>
      </c>
      <c r="AB121" s="60">
        <f t="shared" si="132"/>
        <v>0</v>
      </c>
      <c r="AC121" s="67">
        <f t="shared" si="69"/>
        <v>0</v>
      </c>
      <c r="AD121" s="68">
        <f t="shared" si="132"/>
        <v>0</v>
      </c>
      <c r="AE121" s="44">
        <f t="shared" si="66"/>
        <v>0</v>
      </c>
      <c r="AF121" s="21">
        <f t="shared" si="67"/>
        <v>0</v>
      </c>
      <c r="AW121" s="99"/>
      <c r="AX121" s="99"/>
    </row>
    <row r="122" spans="1:50">
      <c r="A122" s="2">
        <v>6408</v>
      </c>
      <c r="B122" s="2" t="s">
        <v>42</v>
      </c>
      <c r="C122" s="16">
        <v>0</v>
      </c>
      <c r="D122" s="28">
        <f t="shared" si="124"/>
        <v>0</v>
      </c>
      <c r="E122" s="16"/>
      <c r="F122" s="28">
        <f t="shared" si="125"/>
        <v>0</v>
      </c>
      <c r="G122" s="16">
        <v>0</v>
      </c>
      <c r="H122" s="28">
        <f t="shared" si="126"/>
        <v>0</v>
      </c>
      <c r="I122" s="16">
        <v>0</v>
      </c>
      <c r="J122" s="28">
        <f t="shared" si="127"/>
        <v>0</v>
      </c>
      <c r="K122" s="16">
        <v>0</v>
      </c>
      <c r="L122" s="28">
        <f t="shared" si="128"/>
        <v>0</v>
      </c>
      <c r="M122" s="16">
        <v>0</v>
      </c>
      <c r="N122" s="28">
        <f t="shared" si="129"/>
        <v>0</v>
      </c>
      <c r="O122" s="16">
        <v>0</v>
      </c>
      <c r="P122" s="28">
        <f t="shared" si="130"/>
        <v>0</v>
      </c>
      <c r="Q122" s="16">
        <v>0</v>
      </c>
      <c r="R122" s="28">
        <f t="shared" si="131"/>
        <v>0</v>
      </c>
      <c r="S122" s="16">
        <v>0</v>
      </c>
      <c r="T122" s="28">
        <f t="shared" si="132"/>
        <v>0</v>
      </c>
      <c r="U122" s="16">
        <v>0</v>
      </c>
      <c r="V122" s="28">
        <f t="shared" si="133"/>
        <v>0</v>
      </c>
      <c r="W122" s="16">
        <v>0</v>
      </c>
      <c r="X122" s="28">
        <f t="shared" si="134"/>
        <v>0</v>
      </c>
      <c r="Y122" s="16">
        <v>0</v>
      </c>
      <c r="Z122" s="28">
        <f t="shared" si="135"/>
        <v>0</v>
      </c>
      <c r="AA122" s="59">
        <f t="shared" si="123"/>
        <v>0</v>
      </c>
      <c r="AB122" s="60">
        <f t="shared" si="132"/>
        <v>0</v>
      </c>
      <c r="AC122" s="67">
        <f t="shared" si="69"/>
        <v>0</v>
      </c>
      <c r="AD122" s="68">
        <f t="shared" si="132"/>
        <v>0</v>
      </c>
      <c r="AE122" s="44">
        <f t="shared" si="66"/>
        <v>0</v>
      </c>
      <c r="AF122" s="21">
        <f t="shared" si="67"/>
        <v>0</v>
      </c>
      <c r="AW122" s="99"/>
      <c r="AX122" s="99"/>
    </row>
    <row r="123" spans="1:50">
      <c r="A123" s="2">
        <v>6410</v>
      </c>
      <c r="B123" s="2" t="s">
        <v>106</v>
      </c>
      <c r="C123" s="16">
        <v>17223</v>
      </c>
      <c r="D123" s="28">
        <f t="shared" si="124"/>
        <v>-1.2288623443492006</v>
      </c>
      <c r="E123" s="16">
        <v>17223</v>
      </c>
      <c r="F123" s="28">
        <f t="shared" si="125"/>
        <v>-1.2288623443492006</v>
      </c>
      <c r="G123" s="16">
        <v>17223</v>
      </c>
      <c r="H123" s="28">
        <f t="shared" si="126"/>
        <v>-1.2288623443492006</v>
      </c>
      <c r="I123" s="16">
        <v>17223</v>
      </c>
      <c r="J123" s="28">
        <f t="shared" si="127"/>
        <v>-1.2288623443492006</v>
      </c>
      <c r="K123" s="16">
        <v>17223</v>
      </c>
      <c r="L123" s="28">
        <f t="shared" si="128"/>
        <v>-1.2288623443492006</v>
      </c>
      <c r="M123" s="16">
        <v>17223</v>
      </c>
      <c r="N123" s="28">
        <f t="shared" si="129"/>
        <v>-1.6050656522327922</v>
      </c>
      <c r="O123" s="16">
        <v>17223</v>
      </c>
      <c r="P123" s="28">
        <f t="shared" si="130"/>
        <v>-1.9761566491123905</v>
      </c>
      <c r="Q123" s="16">
        <v>17223</v>
      </c>
      <c r="R123" s="28">
        <f t="shared" si="131"/>
        <v>-1.2288623443492006</v>
      </c>
      <c r="S123" s="16">
        <v>17223</v>
      </c>
      <c r="T123" s="28">
        <f t="shared" si="132"/>
        <v>-1.2288632211440333</v>
      </c>
      <c r="U123" s="16">
        <v>17223</v>
      </c>
      <c r="V123" s="28">
        <f t="shared" si="133"/>
        <v>-1.2288623443492006</v>
      </c>
      <c r="W123" s="16">
        <v>17223</v>
      </c>
      <c r="X123" s="28">
        <f t="shared" si="134"/>
        <v>-1.2288623443492006</v>
      </c>
      <c r="Y123" s="16">
        <v>17223</v>
      </c>
      <c r="Z123" s="28">
        <f t="shared" si="135"/>
        <v>21.951374219776344</v>
      </c>
      <c r="AA123" s="59">
        <f t="shared" si="123"/>
        <v>206676</v>
      </c>
      <c r="AB123" s="60">
        <f t="shared" si="132"/>
        <v>-1.4273222522025852</v>
      </c>
      <c r="AC123" s="67">
        <f t="shared" si="69"/>
        <v>17223</v>
      </c>
      <c r="AD123" s="68">
        <f t="shared" si="132"/>
        <v>-1.4273222522025852</v>
      </c>
      <c r="AE123" s="44">
        <f t="shared" si="66"/>
        <v>206676</v>
      </c>
      <c r="AF123" s="21">
        <f t="shared" si="67"/>
        <v>0</v>
      </c>
      <c r="AG123" s="114">
        <v>15533</v>
      </c>
      <c r="AH123" s="1" t="s">
        <v>140</v>
      </c>
      <c r="AW123" s="99"/>
      <c r="AX123" s="99"/>
    </row>
    <row r="124" spans="1:50">
      <c r="A124" s="2">
        <v>6411</v>
      </c>
      <c r="B124" s="2" t="s">
        <v>107</v>
      </c>
      <c r="C124" s="16">
        <v>15000</v>
      </c>
      <c r="D124" s="28">
        <f t="shared" si="124"/>
        <v>-1.0702511272854909</v>
      </c>
      <c r="E124" s="16">
        <v>15000</v>
      </c>
      <c r="F124" s="28">
        <f t="shared" si="125"/>
        <v>-1.0702511272854909</v>
      </c>
      <c r="G124" s="16">
        <v>15000</v>
      </c>
      <c r="H124" s="28">
        <f t="shared" si="126"/>
        <v>-1.0702511272854909</v>
      </c>
      <c r="I124" s="16">
        <v>15000</v>
      </c>
      <c r="J124" s="28">
        <f t="shared" si="127"/>
        <v>-1.0702511272854909</v>
      </c>
      <c r="K124" s="16">
        <v>15000</v>
      </c>
      <c r="L124" s="28">
        <f t="shared" si="128"/>
        <v>-1.0702511272854909</v>
      </c>
      <c r="M124" s="16">
        <v>15000</v>
      </c>
      <c r="N124" s="28">
        <f t="shared" si="129"/>
        <v>-1.3978972759386799</v>
      </c>
      <c r="O124" s="16">
        <v>15000</v>
      </c>
      <c r="P124" s="28">
        <f t="shared" si="130"/>
        <v>-1.7210909676993471</v>
      </c>
      <c r="Q124" s="16">
        <v>15000</v>
      </c>
      <c r="R124" s="28">
        <f t="shared" si="131"/>
        <v>-1.0702511272854909</v>
      </c>
      <c r="S124" s="16">
        <v>15000</v>
      </c>
      <c r="T124" s="28">
        <f t="shared" si="132"/>
        <v>-1.0702518909110201</v>
      </c>
      <c r="U124" s="16">
        <v>15000</v>
      </c>
      <c r="V124" s="28">
        <f t="shared" si="133"/>
        <v>-1.0702511272854909</v>
      </c>
      <c r="W124" s="16">
        <v>15000</v>
      </c>
      <c r="X124" s="28">
        <f t="shared" si="134"/>
        <v>-1.0702511272854909</v>
      </c>
      <c r="Y124" s="16">
        <v>15000</v>
      </c>
      <c r="Z124" s="28">
        <f t="shared" si="135"/>
        <v>19.118075439624061</v>
      </c>
      <c r="AA124" s="59">
        <f t="shared" si="123"/>
        <v>180000</v>
      </c>
      <c r="AB124" s="60">
        <f t="shared" si="132"/>
        <v>-1.243095499218416</v>
      </c>
      <c r="AC124" s="67">
        <f t="shared" si="69"/>
        <v>15000</v>
      </c>
      <c r="AD124" s="68">
        <f t="shared" si="132"/>
        <v>-1.243095499218416</v>
      </c>
      <c r="AE124" s="44">
        <f t="shared" si="66"/>
        <v>180000</v>
      </c>
      <c r="AF124" s="21">
        <f t="shared" si="67"/>
        <v>0</v>
      </c>
      <c r="AG124" s="114">
        <v>13970</v>
      </c>
      <c r="AH124" s="1" t="s">
        <v>223</v>
      </c>
      <c r="AW124" s="99"/>
      <c r="AX124" s="99"/>
    </row>
    <row r="125" spans="1:50">
      <c r="A125" s="82">
        <v>6412</v>
      </c>
      <c r="B125" s="2" t="s">
        <v>93</v>
      </c>
      <c r="C125" s="16">
        <v>0</v>
      </c>
      <c r="D125" s="28">
        <f t="shared" si="124"/>
        <v>0</v>
      </c>
      <c r="E125" s="16">
        <v>0</v>
      </c>
      <c r="F125" s="28">
        <f t="shared" si="125"/>
        <v>0</v>
      </c>
      <c r="G125" s="16">
        <v>0</v>
      </c>
      <c r="H125" s="28">
        <f t="shared" si="126"/>
        <v>0</v>
      </c>
      <c r="I125" s="16">
        <v>0</v>
      </c>
      <c r="J125" s="28">
        <f t="shared" si="127"/>
        <v>0</v>
      </c>
      <c r="K125" s="16">
        <v>0</v>
      </c>
      <c r="L125" s="28">
        <f t="shared" si="128"/>
        <v>0</v>
      </c>
      <c r="M125" s="16">
        <v>0</v>
      </c>
      <c r="N125" s="28">
        <f t="shared" si="129"/>
        <v>0</v>
      </c>
      <c r="O125" s="16">
        <v>0</v>
      </c>
      <c r="P125" s="28">
        <f t="shared" si="130"/>
        <v>0</v>
      </c>
      <c r="Q125" s="16">
        <v>0</v>
      </c>
      <c r="R125" s="28">
        <f t="shared" si="131"/>
        <v>0</v>
      </c>
      <c r="S125" s="16">
        <v>0</v>
      </c>
      <c r="T125" s="28">
        <f t="shared" si="132"/>
        <v>0</v>
      </c>
      <c r="U125" s="16">
        <v>0</v>
      </c>
      <c r="V125" s="28">
        <f t="shared" si="133"/>
        <v>0</v>
      </c>
      <c r="W125" s="16">
        <v>0</v>
      </c>
      <c r="X125" s="28">
        <f t="shared" si="134"/>
        <v>0</v>
      </c>
      <c r="Y125" s="16">
        <v>0</v>
      </c>
      <c r="Z125" s="28">
        <f t="shared" si="135"/>
        <v>0</v>
      </c>
      <c r="AA125" s="59">
        <f t="shared" si="123"/>
        <v>0</v>
      </c>
      <c r="AB125" s="60">
        <f t="shared" si="132"/>
        <v>0</v>
      </c>
      <c r="AC125" s="67">
        <f t="shared" si="69"/>
        <v>0</v>
      </c>
      <c r="AD125" s="68">
        <f t="shared" si="132"/>
        <v>0</v>
      </c>
      <c r="AE125" s="44">
        <f t="shared" si="66"/>
        <v>0</v>
      </c>
      <c r="AF125" s="21">
        <f t="shared" si="67"/>
        <v>0</v>
      </c>
      <c r="AW125" s="99"/>
      <c r="AX125" s="99"/>
    </row>
    <row r="126" spans="1:50">
      <c r="A126" s="2">
        <v>6413</v>
      </c>
      <c r="B126" s="2" t="s">
        <v>41</v>
      </c>
      <c r="C126" s="16">
        <v>0</v>
      </c>
      <c r="D126" s="28">
        <f t="shared" si="124"/>
        <v>0</v>
      </c>
      <c r="E126" s="16">
        <v>0</v>
      </c>
      <c r="F126" s="28">
        <f t="shared" si="125"/>
        <v>0</v>
      </c>
      <c r="G126" s="16">
        <v>0</v>
      </c>
      <c r="H126" s="28">
        <f t="shared" si="126"/>
        <v>0</v>
      </c>
      <c r="I126" s="16">
        <v>0</v>
      </c>
      <c r="J126" s="28">
        <f t="shared" si="127"/>
        <v>0</v>
      </c>
      <c r="K126" s="16">
        <v>0</v>
      </c>
      <c r="L126" s="28">
        <f t="shared" si="128"/>
        <v>0</v>
      </c>
      <c r="M126" s="16">
        <v>0</v>
      </c>
      <c r="N126" s="28">
        <f t="shared" si="129"/>
        <v>0</v>
      </c>
      <c r="O126" s="16">
        <v>0</v>
      </c>
      <c r="P126" s="28">
        <f t="shared" si="130"/>
        <v>0</v>
      </c>
      <c r="Q126" s="16">
        <v>0</v>
      </c>
      <c r="R126" s="28">
        <f t="shared" si="131"/>
        <v>0</v>
      </c>
      <c r="S126" s="16">
        <v>0</v>
      </c>
      <c r="T126" s="28">
        <f t="shared" si="132"/>
        <v>0</v>
      </c>
      <c r="U126" s="16">
        <v>0</v>
      </c>
      <c r="V126" s="28">
        <f t="shared" si="133"/>
        <v>0</v>
      </c>
      <c r="W126" s="16">
        <v>0</v>
      </c>
      <c r="X126" s="28">
        <f t="shared" si="134"/>
        <v>0</v>
      </c>
      <c r="Y126" s="16">
        <v>0</v>
      </c>
      <c r="Z126" s="28">
        <f t="shared" si="135"/>
        <v>0</v>
      </c>
      <c r="AA126" s="59">
        <f t="shared" si="123"/>
        <v>0</v>
      </c>
      <c r="AB126" s="60">
        <f t="shared" si="132"/>
        <v>0</v>
      </c>
      <c r="AC126" s="67">
        <f t="shared" si="69"/>
        <v>0</v>
      </c>
      <c r="AD126" s="68">
        <f t="shared" si="132"/>
        <v>0</v>
      </c>
      <c r="AE126" s="44">
        <f t="shared" si="66"/>
        <v>0</v>
      </c>
      <c r="AF126" s="21">
        <f t="shared" si="67"/>
        <v>0</v>
      </c>
      <c r="AW126" s="99"/>
      <c r="AX126" s="99"/>
    </row>
    <row r="127" spans="1:50">
      <c r="A127" s="2">
        <v>6414</v>
      </c>
      <c r="B127" s="2" t="s">
        <v>43</v>
      </c>
      <c r="C127" s="16">
        <v>750</v>
      </c>
      <c r="D127" s="28">
        <f t="shared" si="124"/>
        <v>-5.3512556364274544E-2</v>
      </c>
      <c r="E127" s="16">
        <v>750</v>
      </c>
      <c r="F127" s="28">
        <f t="shared" si="125"/>
        <v>-5.3512556364274544E-2</v>
      </c>
      <c r="G127" s="16">
        <v>750</v>
      </c>
      <c r="H127" s="28">
        <f t="shared" si="126"/>
        <v>-5.3512556364274544E-2</v>
      </c>
      <c r="I127" s="16">
        <v>750</v>
      </c>
      <c r="J127" s="28">
        <f t="shared" si="127"/>
        <v>-5.3512556364274544E-2</v>
      </c>
      <c r="K127" s="16">
        <v>750</v>
      </c>
      <c r="L127" s="28">
        <f t="shared" si="128"/>
        <v>-5.3512556364274544E-2</v>
      </c>
      <c r="M127" s="16">
        <v>750</v>
      </c>
      <c r="N127" s="28">
        <f t="shared" si="129"/>
        <v>-6.9894863796933993E-2</v>
      </c>
      <c r="O127" s="16">
        <v>750</v>
      </c>
      <c r="P127" s="28">
        <f t="shared" si="130"/>
        <v>-8.6054548384967358E-2</v>
      </c>
      <c r="Q127" s="16">
        <v>750</v>
      </c>
      <c r="R127" s="28">
        <f t="shared" si="131"/>
        <v>-5.3512556364274544E-2</v>
      </c>
      <c r="S127" s="16">
        <v>750</v>
      </c>
      <c r="T127" s="28">
        <f t="shared" si="132"/>
        <v>-5.3512594545551004E-2</v>
      </c>
      <c r="U127" s="16">
        <v>750</v>
      </c>
      <c r="V127" s="28">
        <f t="shared" si="133"/>
        <v>-5.3512556364274544E-2</v>
      </c>
      <c r="W127" s="16">
        <v>750</v>
      </c>
      <c r="X127" s="28">
        <f t="shared" si="134"/>
        <v>-5.3512556364274544E-2</v>
      </c>
      <c r="Y127" s="16">
        <v>750</v>
      </c>
      <c r="Z127" s="28">
        <f t="shared" si="135"/>
        <v>0.95590377198120291</v>
      </c>
      <c r="AA127" s="59">
        <f t="shared" si="123"/>
        <v>9000</v>
      </c>
      <c r="AB127" s="60">
        <f t="shared" si="132"/>
        <v>-6.2154774960920804E-2</v>
      </c>
      <c r="AC127" s="67">
        <f t="shared" si="69"/>
        <v>750</v>
      </c>
      <c r="AD127" s="68">
        <f t="shared" si="132"/>
        <v>-6.2154774960920797E-2</v>
      </c>
      <c r="AE127" s="44">
        <f t="shared" si="66"/>
        <v>9000</v>
      </c>
      <c r="AF127" s="21">
        <f t="shared" si="67"/>
        <v>0</v>
      </c>
      <c r="AG127" s="113">
        <v>422</v>
      </c>
      <c r="AW127" s="99"/>
      <c r="AX127" s="99"/>
    </row>
    <row r="128" spans="1:50">
      <c r="A128" s="2">
        <v>6415</v>
      </c>
      <c r="B128" s="2" t="s">
        <v>44</v>
      </c>
      <c r="C128" s="16"/>
      <c r="D128" s="28">
        <f t="shared" si="124"/>
        <v>0</v>
      </c>
      <c r="E128" s="16"/>
      <c r="F128" s="28">
        <f t="shared" si="125"/>
        <v>0</v>
      </c>
      <c r="G128" s="16"/>
      <c r="H128" s="28">
        <f t="shared" si="126"/>
        <v>0</v>
      </c>
      <c r="I128" s="16"/>
      <c r="J128" s="28">
        <f t="shared" si="127"/>
        <v>0</v>
      </c>
      <c r="K128" s="16"/>
      <c r="L128" s="28">
        <f t="shared" si="128"/>
        <v>0</v>
      </c>
      <c r="M128" s="1"/>
      <c r="N128" s="28">
        <f t="shared" si="129"/>
        <v>0</v>
      </c>
      <c r="O128" s="16"/>
      <c r="P128" s="28">
        <f t="shared" si="130"/>
        <v>0</v>
      </c>
      <c r="Q128" s="16"/>
      <c r="R128" s="28">
        <f t="shared" si="131"/>
        <v>0</v>
      </c>
      <c r="S128" s="16"/>
      <c r="T128" s="28">
        <f t="shared" si="132"/>
        <v>0</v>
      </c>
      <c r="U128" s="16"/>
      <c r="V128" s="28">
        <f t="shared" si="133"/>
        <v>0</v>
      </c>
      <c r="W128" s="16"/>
      <c r="X128" s="28">
        <f t="shared" si="134"/>
        <v>0</v>
      </c>
      <c r="Y128" s="16"/>
      <c r="Z128" s="28">
        <f t="shared" si="135"/>
        <v>0</v>
      </c>
      <c r="AA128" s="59">
        <f t="shared" si="123"/>
        <v>0</v>
      </c>
      <c r="AB128" s="60">
        <f t="shared" si="132"/>
        <v>0</v>
      </c>
      <c r="AC128" s="67">
        <f t="shared" si="69"/>
        <v>0</v>
      </c>
      <c r="AD128" s="68">
        <f t="shared" si="132"/>
        <v>0</v>
      </c>
      <c r="AE128" s="44">
        <f t="shared" si="66"/>
        <v>0</v>
      </c>
      <c r="AF128" s="21">
        <f t="shared" si="67"/>
        <v>0</v>
      </c>
      <c r="AG128" s="113"/>
      <c r="AW128" s="99"/>
      <c r="AX128" s="99"/>
    </row>
    <row r="129" spans="1:50" ht="15.75" thickBot="1">
      <c r="A129" s="39">
        <v>6499</v>
      </c>
      <c r="B129" s="39" t="s">
        <v>104</v>
      </c>
      <c r="C129" s="31">
        <f>SUM(C116:C128)</f>
        <v>33223</v>
      </c>
      <c r="D129" s="52">
        <f t="shared" si="124"/>
        <v>-2.3704635467870574</v>
      </c>
      <c r="E129" s="31">
        <f>SUM(E116:E128)</f>
        <v>33223</v>
      </c>
      <c r="F129" s="52">
        <f t="shared" si="125"/>
        <v>-2.3704635467870574</v>
      </c>
      <c r="G129" s="31">
        <f>SUM(G116:G128)</f>
        <v>33223</v>
      </c>
      <c r="H129" s="52">
        <f t="shared" si="126"/>
        <v>-2.3704635467870574</v>
      </c>
      <c r="I129" s="31">
        <f>SUM(I116:I128)</f>
        <v>33223</v>
      </c>
      <c r="J129" s="52">
        <f t="shared" si="127"/>
        <v>-2.3704635467870574</v>
      </c>
      <c r="K129" s="31">
        <f>SUM(K116:K128)</f>
        <v>33223</v>
      </c>
      <c r="L129" s="52">
        <f t="shared" si="128"/>
        <v>-2.3704635467870574</v>
      </c>
      <c r="M129" s="31">
        <f>SUM(M116:M128)</f>
        <v>33223</v>
      </c>
      <c r="N129" s="52">
        <f t="shared" si="129"/>
        <v>-3.0961560799007173</v>
      </c>
      <c r="O129" s="31">
        <f>SUM(O116:O128)</f>
        <v>33223</v>
      </c>
      <c r="P129" s="52">
        <f t="shared" si="130"/>
        <v>-3.8119870146583605</v>
      </c>
      <c r="Q129" s="31">
        <f>SUM(Q116:Q128)</f>
        <v>33223</v>
      </c>
      <c r="R129" s="52">
        <f t="shared" si="131"/>
        <v>-2.3704635467870574</v>
      </c>
      <c r="S129" s="31">
        <f>SUM(S116:S128)</f>
        <v>33223</v>
      </c>
      <c r="T129" s="52">
        <f t="shared" si="132"/>
        <v>-2.3704652381157878</v>
      </c>
      <c r="U129" s="31">
        <f>SUM(U116:U128)</f>
        <v>33223</v>
      </c>
      <c r="V129" s="52">
        <f t="shared" si="133"/>
        <v>-2.3704635467870574</v>
      </c>
      <c r="W129" s="31">
        <f>SUM(W116:W128)</f>
        <v>33223</v>
      </c>
      <c r="X129" s="52">
        <f t="shared" si="134"/>
        <v>-2.3704635467870574</v>
      </c>
      <c r="Y129" s="31">
        <f>SUM(Y116:Y128)</f>
        <v>33223</v>
      </c>
      <c r="Z129" s="52">
        <f t="shared" si="135"/>
        <v>42.343988022042005</v>
      </c>
      <c r="AA129" s="61">
        <f>SUM(AA116:AA128)</f>
        <v>398676</v>
      </c>
      <c r="AB129" s="74">
        <f t="shared" si="132"/>
        <v>-2.7532907847022292</v>
      </c>
      <c r="AC129" s="24">
        <f t="shared" si="69"/>
        <v>33223</v>
      </c>
      <c r="AD129" s="77">
        <f t="shared" si="132"/>
        <v>-2.7532907847022292</v>
      </c>
      <c r="AE129" s="44">
        <f t="shared" si="66"/>
        <v>398676</v>
      </c>
      <c r="AF129" s="21">
        <f t="shared" si="67"/>
        <v>0</v>
      </c>
      <c r="AW129" s="99"/>
      <c r="AX129" s="99"/>
    </row>
    <row r="130" spans="1:50" ht="15.75" thickTop="1">
      <c r="A130" s="89"/>
      <c r="B130" s="89"/>
      <c r="D130" s="28"/>
      <c r="F130" s="28"/>
      <c r="H130" s="28"/>
      <c r="J130" s="28"/>
      <c r="L130" s="28"/>
      <c r="N130" s="28"/>
      <c r="P130" s="28"/>
      <c r="R130" s="28"/>
      <c r="T130" s="28"/>
      <c r="V130" s="28"/>
      <c r="X130" s="28"/>
      <c r="Z130" s="28"/>
      <c r="AA130" s="64"/>
      <c r="AB130" s="60"/>
      <c r="AC130" s="96">
        <f t="shared" si="69"/>
        <v>0</v>
      </c>
      <c r="AD130" s="68"/>
      <c r="AE130" s="44">
        <f t="shared" si="66"/>
        <v>0</v>
      </c>
      <c r="AF130" s="21">
        <f t="shared" si="67"/>
        <v>0</v>
      </c>
      <c r="AW130" s="99"/>
      <c r="AX130" s="99"/>
    </row>
    <row r="131" spans="1:50" ht="15.75" thickBot="1">
      <c r="A131" s="39"/>
      <c r="B131" s="39" t="s">
        <v>116</v>
      </c>
      <c r="C131" s="105">
        <f>C37-(C41+C76+C93+C115+C129)</f>
        <v>-448543.45780365291</v>
      </c>
      <c r="D131" s="52">
        <f>C131/C145</f>
        <v>32.003609423392767</v>
      </c>
      <c r="E131" s="105">
        <f>E37-(E41+E76+E93+E115+E129)</f>
        <v>-448543.45780365291</v>
      </c>
      <c r="F131" s="52">
        <f>E131/E145</f>
        <v>32.003609423392767</v>
      </c>
      <c r="G131" s="105">
        <f>G37-(G41+G76+G93+G115+G129)</f>
        <v>-448543.45780365291</v>
      </c>
      <c r="H131" s="52">
        <f>G131/G145</f>
        <v>32.003609423392767</v>
      </c>
      <c r="I131" s="105">
        <f>I37-(I41+I76+I93+I115+I129)</f>
        <v>-448543.45780365291</v>
      </c>
      <c r="J131" s="52">
        <f>I131/I145</f>
        <v>32.003609423392767</v>
      </c>
      <c r="K131" s="105">
        <f>K37-(K41+K76+K93+K115+K129)</f>
        <v>-448543.45780365291</v>
      </c>
      <c r="L131" s="52">
        <f>K131/K145</f>
        <v>32.003609423392767</v>
      </c>
      <c r="M131" s="105">
        <f>M37-(M41+M76+M93+M115+M129)</f>
        <v>-451828.45780365291</v>
      </c>
      <c r="N131" s="52">
        <f>M131/M145</f>
        <v>42.107318023686744</v>
      </c>
      <c r="O131" s="105">
        <f>O37-(O41+O76+O93+O115+O129)</f>
        <v>-453843.45780365291</v>
      </c>
      <c r="P131" s="52">
        <f>O131/O145</f>
        <v>52.073725065020454</v>
      </c>
      <c r="Q131" s="105">
        <f>Q37-(Q41+Q76+Q93+Q115+Q129)</f>
        <v>-448543.45780365291</v>
      </c>
      <c r="R131" s="52">
        <f>Q131/Q145</f>
        <v>32.003609423392767</v>
      </c>
      <c r="S131" s="105">
        <f>S37-(S41+S76+S93+S115+S129)</f>
        <v>-448543.45780365291</v>
      </c>
      <c r="T131" s="52">
        <f>S131/S145</f>
        <v>32.003632258008459</v>
      </c>
      <c r="U131" s="105">
        <f>U37-(U41+U76+U93+U115+U129)</f>
        <v>-448543.45780365291</v>
      </c>
      <c r="V131" s="52">
        <f>U131/U145</f>
        <v>32.003609423392767</v>
      </c>
      <c r="W131" s="105">
        <f>W37-(W41+W76+W93+W115+W129)</f>
        <v>-448543.45780365291</v>
      </c>
      <c r="X131" s="52">
        <f>W131/W145</f>
        <v>32.003609423392767</v>
      </c>
      <c r="Y131" s="105">
        <f>Y37-(Y41+Y76+Y93+Y115+Y129)</f>
        <v>-463343.45780365291</v>
      </c>
      <c r="Z131" s="52">
        <f>Y131/Y145</f>
        <v>-590.54901204976693</v>
      </c>
      <c r="AA131" s="98">
        <f>AA37-(AA41+AA76+AA93+AA115+AA129)</f>
        <v>-5405906.4936438361</v>
      </c>
      <c r="AB131" s="52">
        <f>AA131/AA145</f>
        <v>37.333655730245901</v>
      </c>
      <c r="AC131" s="98">
        <f t="shared" si="69"/>
        <v>-450492.20780365303</v>
      </c>
      <c r="AD131" s="52">
        <f>AC131/AC145</f>
        <v>37.333655730245901</v>
      </c>
      <c r="AE131" s="44">
        <f t="shared" si="66"/>
        <v>-5405906.4936438352</v>
      </c>
      <c r="AF131" s="21">
        <f t="shared" si="67"/>
        <v>0</v>
      </c>
      <c r="AW131" s="99"/>
      <c r="AX131" s="99"/>
    </row>
    <row r="132" spans="1:50" ht="15.75" thickTop="1">
      <c r="A132" s="89"/>
      <c r="B132" s="89"/>
      <c r="D132" s="28"/>
      <c r="F132" s="28"/>
      <c r="H132" s="28"/>
      <c r="J132" s="28"/>
      <c r="L132" s="28"/>
      <c r="N132" s="28"/>
      <c r="P132" s="28"/>
      <c r="R132" s="28"/>
      <c r="T132" s="28"/>
      <c r="V132" s="28"/>
      <c r="X132" s="28"/>
      <c r="Z132" s="28"/>
      <c r="AA132" s="64"/>
      <c r="AB132" s="60"/>
      <c r="AC132" s="96">
        <f t="shared" si="69"/>
        <v>0</v>
      </c>
      <c r="AD132" s="68"/>
      <c r="AE132" s="44">
        <f t="shared" si="66"/>
        <v>0</v>
      </c>
      <c r="AF132" s="21">
        <f t="shared" si="67"/>
        <v>0</v>
      </c>
      <c r="AW132" s="99"/>
      <c r="AX132" s="99"/>
    </row>
    <row r="133" spans="1:50" ht="15.75" thickBot="1">
      <c r="A133" s="121"/>
      <c r="B133" s="4" t="s">
        <v>125</v>
      </c>
      <c r="C133" s="127">
        <v>120000</v>
      </c>
      <c r="D133" s="128">
        <f t="shared" ref="D133" si="136">C133/C$145</f>
        <v>-8.562009018283927</v>
      </c>
      <c r="E133" s="127">
        <v>120000</v>
      </c>
      <c r="F133" s="128">
        <f t="shared" ref="F133" si="137">E133/E$145</f>
        <v>-8.562009018283927</v>
      </c>
      <c r="G133" s="127">
        <v>120000</v>
      </c>
      <c r="H133" s="108">
        <f t="shared" ref="H133" si="138">G133/G$145</f>
        <v>-8.562009018283927</v>
      </c>
      <c r="I133" s="127">
        <v>120000</v>
      </c>
      <c r="J133" s="108">
        <f t="shared" ref="J133" si="139">I133/I$145</f>
        <v>-8.562009018283927</v>
      </c>
      <c r="K133" s="127">
        <v>120000</v>
      </c>
      <c r="L133" s="108">
        <f t="shared" ref="L133" si="140">K133/K$145</f>
        <v>-8.562009018283927</v>
      </c>
      <c r="M133" s="127">
        <v>120000</v>
      </c>
      <c r="N133" s="108">
        <f t="shared" ref="N133" si="141">M133/M$145</f>
        <v>-11.183178207509439</v>
      </c>
      <c r="O133" s="127">
        <v>120000</v>
      </c>
      <c r="P133" s="108">
        <f t="shared" ref="P133" si="142">O133/O$145</f>
        <v>-13.768727741594777</v>
      </c>
      <c r="Q133" s="127">
        <v>120000</v>
      </c>
      <c r="R133" s="108">
        <f t="shared" ref="R133" si="143">Q133/Q$145</f>
        <v>-8.562009018283927</v>
      </c>
      <c r="S133" s="127">
        <v>120000</v>
      </c>
      <c r="T133" s="108">
        <f t="shared" ref="T133" si="144">S133/S$145</f>
        <v>-8.5620151272881611</v>
      </c>
      <c r="U133" s="127">
        <v>120000</v>
      </c>
      <c r="V133" s="108">
        <f t="shared" ref="V133" si="145">U133/U$145</f>
        <v>-8.562009018283927</v>
      </c>
      <c r="W133" s="127">
        <v>120000</v>
      </c>
      <c r="X133" s="108">
        <f t="shared" ref="X133" si="146">W133/W$145</f>
        <v>-8.562009018283927</v>
      </c>
      <c r="Y133" s="127">
        <v>120000</v>
      </c>
      <c r="Z133" s="108">
        <f t="shared" ref="Z133" si="147">Y133/Y$145</f>
        <v>152.94460351699249</v>
      </c>
      <c r="AA133" s="109">
        <f t="shared" ref="AA133" si="148">C133+E133+G133+I133+K133+M133+O133+Q133+S133+U133+W133+Y133</f>
        <v>1440000</v>
      </c>
      <c r="AB133" s="108">
        <f t="shared" ref="AB133" si="149">AA133/AA$145</f>
        <v>-9.944763993747328</v>
      </c>
      <c r="AC133" s="109">
        <f t="shared" si="69"/>
        <v>120000</v>
      </c>
      <c r="AD133" s="108">
        <f t="shared" ref="AD133" si="150">AC133/AC$145</f>
        <v>-9.944763993747328</v>
      </c>
      <c r="AE133" s="44">
        <f t="shared" si="66"/>
        <v>1440000</v>
      </c>
      <c r="AF133" s="21">
        <f t="shared" si="67"/>
        <v>0</v>
      </c>
      <c r="AG133" s="21">
        <v>238000</v>
      </c>
      <c r="AH133" s="1" t="s">
        <v>142</v>
      </c>
      <c r="AW133" s="99"/>
      <c r="AX133" s="99"/>
    </row>
    <row r="134" spans="1:50" ht="15.75" thickTop="1">
      <c r="A134" s="89"/>
      <c r="B134" s="89"/>
      <c r="D134" s="28"/>
      <c r="F134" s="28"/>
      <c r="H134" s="28"/>
      <c r="J134" s="28"/>
      <c r="L134" s="28"/>
      <c r="N134" s="28"/>
      <c r="P134" s="28"/>
      <c r="R134" s="28"/>
      <c r="T134" s="28"/>
      <c r="V134" s="28"/>
      <c r="X134" s="28"/>
      <c r="Z134" s="28"/>
      <c r="AA134" s="64"/>
      <c r="AB134" s="60"/>
      <c r="AC134" s="96">
        <f t="shared" si="69"/>
        <v>0</v>
      </c>
      <c r="AD134" s="68"/>
      <c r="AE134" s="44">
        <f t="shared" si="66"/>
        <v>0</v>
      </c>
      <c r="AF134" s="21">
        <f t="shared" si="67"/>
        <v>0</v>
      </c>
      <c r="AW134" s="99"/>
      <c r="AX134" s="99"/>
    </row>
    <row r="135" spans="1:50" ht="15.75" thickBot="1">
      <c r="A135" s="39"/>
      <c r="B135" s="4" t="s">
        <v>122</v>
      </c>
      <c r="C135" s="23">
        <f>C131-C133</f>
        <v>-568543.45780365285</v>
      </c>
      <c r="D135" s="52">
        <f>C135/C145</f>
        <v>40.565618441676691</v>
      </c>
      <c r="E135" s="23">
        <f>E131-E133</f>
        <v>-568543.45780365285</v>
      </c>
      <c r="F135" s="52">
        <f>E135/E145</f>
        <v>40.565618441676691</v>
      </c>
      <c r="G135" s="23">
        <f>G131-G133</f>
        <v>-568543.45780365285</v>
      </c>
      <c r="H135" s="52">
        <f>G135/G145</f>
        <v>40.565618441676691</v>
      </c>
      <c r="I135" s="23">
        <f>I131-I133</f>
        <v>-568543.45780365285</v>
      </c>
      <c r="J135" s="52">
        <f>I135/I145</f>
        <v>40.565618441676691</v>
      </c>
      <c r="K135" s="23">
        <f>K131-K133</f>
        <v>-568543.45780365285</v>
      </c>
      <c r="L135" s="52">
        <f>K135/K145</f>
        <v>40.565618441676691</v>
      </c>
      <c r="M135" s="23">
        <f>M131-M133</f>
        <v>-571828.45780365285</v>
      </c>
      <c r="N135" s="52">
        <f>M135/M145</f>
        <v>53.290496231196173</v>
      </c>
      <c r="O135" s="23">
        <f>O131-O133</f>
        <v>-573843.45780365285</v>
      </c>
      <c r="P135" s="52">
        <f>O135/O145</f>
        <v>65.842452806615228</v>
      </c>
      <c r="Q135" s="23">
        <f>Q131-Q133</f>
        <v>-568543.45780365285</v>
      </c>
      <c r="R135" s="52">
        <f>Q135/Q145</f>
        <v>40.565618441676691</v>
      </c>
      <c r="S135" s="23">
        <f>S131-S133</f>
        <v>-568543.45780365285</v>
      </c>
      <c r="T135" s="52">
        <f>S135/S145</f>
        <v>40.565647385296614</v>
      </c>
      <c r="U135" s="23">
        <f>U131-U133</f>
        <v>-568543.45780365285</v>
      </c>
      <c r="V135" s="52">
        <f>U135/U145</f>
        <v>40.565618441676691</v>
      </c>
      <c r="W135" s="23">
        <f>W131-W133</f>
        <v>-568543.45780365285</v>
      </c>
      <c r="X135" s="52">
        <f>W135/W145</f>
        <v>40.565618441676691</v>
      </c>
      <c r="Y135" s="23">
        <f>Y131-Y133</f>
        <v>-583343.45780365285</v>
      </c>
      <c r="Z135" s="52">
        <f>Y135/Y145</f>
        <v>-743.49361556675933</v>
      </c>
      <c r="AA135" s="23">
        <f>AA131-AA133</f>
        <v>-6845906.4936438361</v>
      </c>
      <c r="AB135" s="52">
        <f>AA135/AA145</f>
        <v>47.278419723993224</v>
      </c>
      <c r="AC135" s="23">
        <f t="shared" si="69"/>
        <v>-570492.20780365297</v>
      </c>
      <c r="AD135" s="52">
        <f>AC135/AC145</f>
        <v>47.278419723993224</v>
      </c>
      <c r="AE135" s="44">
        <f t="shared" si="66"/>
        <v>-6845906.4936438324</v>
      </c>
      <c r="AF135" s="21">
        <f t="shared" si="67"/>
        <v>0</v>
      </c>
      <c r="AW135" s="99"/>
      <c r="AX135" s="99"/>
    </row>
    <row r="136" spans="1:50" ht="15.75" thickTop="1">
      <c r="A136" s="15">
        <v>6501</v>
      </c>
      <c r="B136" s="92" t="s">
        <v>124</v>
      </c>
      <c r="D136" s="28">
        <f t="shared" si="124"/>
        <v>0</v>
      </c>
      <c r="F136" s="28">
        <f t="shared" si="125"/>
        <v>0</v>
      </c>
      <c r="H136" s="28">
        <f t="shared" si="126"/>
        <v>0</v>
      </c>
      <c r="J136" s="28">
        <f t="shared" si="127"/>
        <v>0</v>
      </c>
      <c r="L136" s="28">
        <f t="shared" si="128"/>
        <v>0</v>
      </c>
      <c r="N136" s="28">
        <f t="shared" si="129"/>
        <v>0</v>
      </c>
      <c r="P136" s="28">
        <f t="shared" si="130"/>
        <v>0</v>
      </c>
      <c r="R136" s="28">
        <f t="shared" si="131"/>
        <v>0</v>
      </c>
      <c r="T136" s="28">
        <f t="shared" si="132"/>
        <v>0</v>
      </c>
      <c r="V136" s="28">
        <f t="shared" si="133"/>
        <v>0</v>
      </c>
      <c r="X136" s="28">
        <f t="shared" si="134"/>
        <v>0</v>
      </c>
      <c r="Z136" s="28">
        <f t="shared" si="135"/>
        <v>0</v>
      </c>
      <c r="AA136" s="59">
        <f t="shared" ref="AA136:AA143" si="151">C136+E136+G136+I136+K136+M136+O136+Q136+S136+U136+W136+Y136</f>
        <v>0</v>
      </c>
      <c r="AB136" s="60">
        <f t="shared" si="132"/>
        <v>0</v>
      </c>
      <c r="AC136" s="67">
        <f t="shared" si="69"/>
        <v>0</v>
      </c>
      <c r="AD136" s="68">
        <f t="shared" si="132"/>
        <v>0</v>
      </c>
      <c r="AE136" s="44">
        <f t="shared" si="66"/>
        <v>0</v>
      </c>
      <c r="AF136" s="21">
        <f t="shared" si="67"/>
        <v>0</v>
      </c>
      <c r="AW136" s="99"/>
      <c r="AX136" s="99"/>
    </row>
    <row r="137" spans="1:50">
      <c r="A137" s="2">
        <v>6502</v>
      </c>
      <c r="B137" s="92" t="s">
        <v>118</v>
      </c>
      <c r="C137" s="21">
        <v>1514.91</v>
      </c>
      <c r="D137" s="28">
        <f t="shared" si="124"/>
        <v>-0.10808894234907088</v>
      </c>
      <c r="E137" s="21">
        <v>1514.91</v>
      </c>
      <c r="F137" s="28">
        <f t="shared" si="125"/>
        <v>-0.10808894234907088</v>
      </c>
      <c r="G137" s="21">
        <v>1514.91</v>
      </c>
      <c r="H137" s="28">
        <f t="shared" si="126"/>
        <v>-0.10808894234907088</v>
      </c>
      <c r="I137" s="21">
        <v>1514.91</v>
      </c>
      <c r="J137" s="28">
        <f t="shared" si="127"/>
        <v>-0.10808894234907088</v>
      </c>
      <c r="K137" s="21">
        <v>1514.91</v>
      </c>
      <c r="L137" s="28">
        <f t="shared" si="128"/>
        <v>-0.10808894234907088</v>
      </c>
      <c r="M137" s="124">
        <v>1514.91</v>
      </c>
      <c r="N137" s="28">
        <f t="shared" si="129"/>
        <v>-0.14117923748615102</v>
      </c>
      <c r="O137" s="21">
        <v>1514.91</v>
      </c>
      <c r="P137" s="28">
        <f t="shared" si="130"/>
        <v>-0.17381986119182788</v>
      </c>
      <c r="Q137" s="21">
        <v>1514.91</v>
      </c>
      <c r="R137" s="28">
        <f t="shared" si="131"/>
        <v>-0.10808894234907088</v>
      </c>
      <c r="S137" s="21">
        <v>1514.92</v>
      </c>
      <c r="T137" s="28">
        <f t="shared" si="132"/>
        <v>-0.10808973297192817</v>
      </c>
      <c r="U137" s="21">
        <v>1514.91</v>
      </c>
      <c r="V137" s="28">
        <f t="shared" si="133"/>
        <v>-0.10808894234907088</v>
      </c>
      <c r="W137" s="21">
        <v>1514.91</v>
      </c>
      <c r="X137" s="28">
        <f t="shared" si="134"/>
        <v>-0.10808894234907088</v>
      </c>
      <c r="Y137" s="21">
        <v>1514.91</v>
      </c>
      <c r="Z137" s="28">
        <f t="shared" si="135"/>
        <v>1.9308109109493923</v>
      </c>
      <c r="AA137" s="59">
        <f t="shared" si="151"/>
        <v>18178.93</v>
      </c>
      <c r="AB137" s="60">
        <f t="shared" si="132"/>
        <v>-0.12554525590892579</v>
      </c>
      <c r="AC137" s="67">
        <f t="shared" si="69"/>
        <v>1514.9108333333334</v>
      </c>
      <c r="AD137" s="68">
        <f t="shared" si="132"/>
        <v>-0.12554525590892576</v>
      </c>
      <c r="AE137" s="44">
        <f t="shared" si="66"/>
        <v>18178.93</v>
      </c>
      <c r="AF137" s="21">
        <f t="shared" si="67"/>
        <v>0</v>
      </c>
      <c r="AG137" s="113">
        <v>62.5</v>
      </c>
      <c r="AH137" s="1" t="s">
        <v>143</v>
      </c>
      <c r="AW137" s="99"/>
      <c r="AX137" s="99"/>
    </row>
    <row r="138" spans="1:50">
      <c r="A138" s="82">
        <v>6503</v>
      </c>
      <c r="B138" s="92" t="s">
        <v>121</v>
      </c>
      <c r="C138" s="21">
        <f>13093.23+7000</f>
        <v>20093.23</v>
      </c>
      <c r="D138" s="28">
        <f t="shared" si="124"/>
        <v>-1.4336534705537762</v>
      </c>
      <c r="E138" s="21">
        <f>13093.23+7000</f>
        <v>20093.23</v>
      </c>
      <c r="F138" s="28">
        <f t="shared" si="125"/>
        <v>-1.4336534705537762</v>
      </c>
      <c r="G138" s="21">
        <f>13093.23+7000</f>
        <v>20093.23</v>
      </c>
      <c r="H138" s="28">
        <f t="shared" si="126"/>
        <v>-1.4336534705537762</v>
      </c>
      <c r="I138" s="21">
        <f>13093.23+7000</f>
        <v>20093.23</v>
      </c>
      <c r="J138" s="28">
        <f t="shared" si="127"/>
        <v>-1.4336534705537762</v>
      </c>
      <c r="K138" s="21">
        <f>13093.23+7000</f>
        <v>20093.23</v>
      </c>
      <c r="L138" s="28">
        <f t="shared" si="128"/>
        <v>-1.4336534705537762</v>
      </c>
      <c r="M138" s="21">
        <f>13093.23+7000</f>
        <v>20093.23</v>
      </c>
      <c r="N138" s="28">
        <f t="shared" si="129"/>
        <v>-1.8725514321206238</v>
      </c>
      <c r="O138" s="21">
        <f>13093.23+7000</f>
        <v>20093.23</v>
      </c>
      <c r="P138" s="28">
        <f t="shared" si="130"/>
        <v>-2.3054851109937036</v>
      </c>
      <c r="Q138" s="21">
        <f>13093.23+7000</f>
        <v>20093.23</v>
      </c>
      <c r="R138" s="28">
        <f t="shared" si="131"/>
        <v>-1.4336534705537762</v>
      </c>
      <c r="S138" s="21">
        <f>13093.23+7000</f>
        <v>20093.23</v>
      </c>
      <c r="T138" s="28">
        <f t="shared" si="132"/>
        <v>-1.4336544934673356</v>
      </c>
      <c r="U138" s="21">
        <f>13093.23+7000</f>
        <v>20093.23</v>
      </c>
      <c r="V138" s="28">
        <f t="shared" si="133"/>
        <v>-1.4336534705537762</v>
      </c>
      <c r="W138" s="21">
        <f>13093.23+7000</f>
        <v>20093.23</v>
      </c>
      <c r="X138" s="28">
        <f t="shared" si="134"/>
        <v>-1.4336534705537762</v>
      </c>
      <c r="Y138" s="21">
        <f>13093.23+7000</f>
        <v>20093.23</v>
      </c>
      <c r="Z138" s="28">
        <f t="shared" si="135"/>
        <v>25.609592464381155</v>
      </c>
      <c r="AA138" s="59">
        <f t="shared" si="151"/>
        <v>241118.76000000004</v>
      </c>
      <c r="AB138" s="60">
        <f t="shared" si="132"/>
        <v>-1.665186918517364</v>
      </c>
      <c r="AC138" s="67">
        <f t="shared" si="69"/>
        <v>20093.230000000003</v>
      </c>
      <c r="AD138" s="68">
        <f t="shared" si="132"/>
        <v>-1.6651869185173638</v>
      </c>
      <c r="AE138" s="44">
        <f t="shared" si="66"/>
        <v>241118.76000000004</v>
      </c>
      <c r="AF138" s="21">
        <f t="shared" si="67"/>
        <v>0</v>
      </c>
      <c r="AG138" s="113">
        <v>12934</v>
      </c>
      <c r="AH138" s="1" t="s">
        <v>233</v>
      </c>
      <c r="AI138" s="1" t="s">
        <v>261</v>
      </c>
      <c r="AW138" s="99"/>
      <c r="AX138" s="99"/>
    </row>
    <row r="139" spans="1:50">
      <c r="A139" s="2">
        <v>6504</v>
      </c>
      <c r="B139" s="92" t="s">
        <v>119</v>
      </c>
      <c r="C139" s="21"/>
      <c r="D139" s="28">
        <f t="shared" si="124"/>
        <v>0</v>
      </c>
      <c r="E139" s="21"/>
      <c r="F139" s="28">
        <f t="shared" si="125"/>
        <v>0</v>
      </c>
      <c r="G139" s="21"/>
      <c r="H139" s="28">
        <f t="shared" si="126"/>
        <v>0</v>
      </c>
      <c r="I139" s="21"/>
      <c r="J139" s="28">
        <f t="shared" si="127"/>
        <v>0</v>
      </c>
      <c r="K139" s="21"/>
      <c r="L139" s="28">
        <f t="shared" si="128"/>
        <v>0</v>
      </c>
      <c r="M139" s="21"/>
      <c r="N139" s="28">
        <f t="shared" si="129"/>
        <v>0</v>
      </c>
      <c r="O139" s="21"/>
      <c r="P139" s="28">
        <f t="shared" si="130"/>
        <v>0</v>
      </c>
      <c r="Q139" s="16"/>
      <c r="R139" s="28">
        <f t="shared" si="131"/>
        <v>0</v>
      </c>
      <c r="S139" s="21"/>
      <c r="T139" s="28">
        <f t="shared" si="132"/>
        <v>0</v>
      </c>
      <c r="U139" s="21"/>
      <c r="V139" s="28">
        <f t="shared" si="133"/>
        <v>0</v>
      </c>
      <c r="W139" s="21"/>
      <c r="X139" s="28">
        <f t="shared" si="134"/>
        <v>0</v>
      </c>
      <c r="Y139" s="21"/>
      <c r="Z139" s="28">
        <f t="shared" si="135"/>
        <v>0</v>
      </c>
      <c r="AA139" s="59">
        <f t="shared" si="151"/>
        <v>0</v>
      </c>
      <c r="AB139" s="60">
        <f t="shared" si="132"/>
        <v>0</v>
      </c>
      <c r="AC139" s="67">
        <f t="shared" si="69"/>
        <v>0</v>
      </c>
      <c r="AD139" s="68">
        <f t="shared" si="132"/>
        <v>0</v>
      </c>
      <c r="AE139" s="44">
        <f t="shared" si="66"/>
        <v>0</v>
      </c>
      <c r="AF139" s="21">
        <f t="shared" si="67"/>
        <v>0</v>
      </c>
      <c r="AH139" s="110"/>
      <c r="AW139" s="99"/>
      <c r="AX139" s="99"/>
    </row>
    <row r="140" spans="1:50">
      <c r="A140" s="2">
        <v>6505</v>
      </c>
      <c r="B140" s="2" t="s">
        <v>120</v>
      </c>
      <c r="C140" s="21"/>
      <c r="D140" s="28"/>
      <c r="E140" s="21"/>
      <c r="F140" s="28"/>
      <c r="G140" s="21"/>
      <c r="H140" s="28"/>
      <c r="I140" s="21"/>
      <c r="J140" s="28"/>
      <c r="K140" s="21"/>
      <c r="L140" s="28"/>
      <c r="M140" s="21"/>
      <c r="N140" s="28"/>
      <c r="O140" s="21"/>
      <c r="P140" s="28"/>
      <c r="Q140" s="16"/>
      <c r="R140" s="28"/>
      <c r="S140" s="21"/>
      <c r="T140" s="28"/>
      <c r="U140" s="21"/>
      <c r="V140" s="28"/>
      <c r="W140" s="21"/>
      <c r="X140" s="28"/>
      <c r="Y140" s="21"/>
      <c r="Z140" s="28"/>
      <c r="AA140" s="59">
        <f t="shared" si="151"/>
        <v>0</v>
      </c>
      <c r="AB140" s="60">
        <f t="shared" si="132"/>
        <v>0</v>
      </c>
      <c r="AC140" s="67">
        <f t="shared" si="69"/>
        <v>0</v>
      </c>
      <c r="AD140" s="68"/>
      <c r="AE140" s="44">
        <f t="shared" si="66"/>
        <v>0</v>
      </c>
      <c r="AF140" s="21">
        <f t="shared" si="67"/>
        <v>0</v>
      </c>
      <c r="AH140" s="110"/>
      <c r="AW140" s="99"/>
      <c r="AX140" s="99"/>
    </row>
    <row r="141" spans="1:50">
      <c r="A141" s="2">
        <v>6506</v>
      </c>
      <c r="B141" s="2" t="s">
        <v>160</v>
      </c>
      <c r="C141" s="21"/>
      <c r="D141" s="28"/>
      <c r="E141" s="21"/>
      <c r="F141" s="28"/>
      <c r="G141" s="21"/>
      <c r="H141" s="28"/>
      <c r="I141" s="21"/>
      <c r="J141" s="28"/>
      <c r="K141" s="21"/>
      <c r="L141" s="28"/>
      <c r="M141" s="21"/>
      <c r="N141" s="28"/>
      <c r="O141" s="21"/>
      <c r="P141" s="28"/>
      <c r="Q141" s="21"/>
      <c r="R141" s="28"/>
      <c r="S141" s="21"/>
      <c r="T141" s="28"/>
      <c r="U141" s="21"/>
      <c r="V141" s="28"/>
      <c r="W141" s="21"/>
      <c r="X141" s="28"/>
      <c r="Y141" s="21"/>
      <c r="Z141" s="28"/>
      <c r="AA141" s="59">
        <f t="shared" si="151"/>
        <v>0</v>
      </c>
      <c r="AB141" s="60">
        <f t="shared" si="132"/>
        <v>0</v>
      </c>
      <c r="AC141" s="67">
        <f t="shared" si="69"/>
        <v>0</v>
      </c>
      <c r="AD141" s="68"/>
      <c r="AE141" s="44">
        <f t="shared" si="66"/>
        <v>0</v>
      </c>
      <c r="AF141" s="21">
        <f t="shared" si="67"/>
        <v>0</v>
      </c>
      <c r="AW141" s="99"/>
      <c r="AX141" s="99"/>
    </row>
    <row r="142" spans="1:50">
      <c r="A142" s="2">
        <v>6607</v>
      </c>
      <c r="B142" s="2" t="s">
        <v>180</v>
      </c>
      <c r="C142" s="16">
        <v>-604167</v>
      </c>
      <c r="D142" s="28">
        <f t="shared" si="124"/>
        <v>43.107360854579547</v>
      </c>
      <c r="E142" s="16">
        <v>-604167</v>
      </c>
      <c r="F142" s="28">
        <f t="shared" ref="F142" si="152">E142/E$145</f>
        <v>43.107360854579547</v>
      </c>
      <c r="G142" s="16">
        <v>-604167</v>
      </c>
      <c r="H142" s="28">
        <f t="shared" ref="H142" si="153">G142/G$145</f>
        <v>43.107360854579547</v>
      </c>
      <c r="I142" s="16">
        <v>-604167</v>
      </c>
      <c r="J142" s="28">
        <f t="shared" ref="J142" si="154">I142/I$145</f>
        <v>43.107360854579547</v>
      </c>
      <c r="K142" s="16">
        <v>-604167</v>
      </c>
      <c r="L142" s="28">
        <f t="shared" ref="L142" si="155">K142/K$145</f>
        <v>43.107360854579547</v>
      </c>
      <c r="M142" s="16">
        <v>-604167</v>
      </c>
      <c r="N142" s="28">
        <f t="shared" ref="N142:P142" si="156">M142/M$145</f>
        <v>56.304226900802959</v>
      </c>
      <c r="O142" s="16">
        <v>-604167</v>
      </c>
      <c r="P142" s="28">
        <f t="shared" si="156"/>
        <v>69.321757778800759</v>
      </c>
      <c r="Q142" s="16">
        <v>-604167</v>
      </c>
      <c r="R142" s="28">
        <f t="shared" ref="R142" si="157">Q142/Q$145</f>
        <v>43.107360854579547</v>
      </c>
      <c r="S142" s="16">
        <v>-604167</v>
      </c>
      <c r="T142" s="28">
        <f t="shared" ref="T142" si="158">S142/S$145</f>
        <v>43.107391611735885</v>
      </c>
      <c r="U142" s="16">
        <v>-604167</v>
      </c>
      <c r="V142" s="28">
        <f t="shared" ref="V142" si="159">U142/U$145</f>
        <v>43.107360854579547</v>
      </c>
      <c r="W142" s="16">
        <v>-604167</v>
      </c>
      <c r="X142" s="28">
        <f t="shared" ref="X142" si="160">W142/W$145</f>
        <v>43.107360854579547</v>
      </c>
      <c r="Y142" s="16">
        <v>-604167</v>
      </c>
      <c r="Z142" s="28">
        <f t="shared" ref="Z142" si="161">Y142/Y$145</f>
        <v>-770.03401894208992</v>
      </c>
      <c r="AA142" s="59">
        <f t="shared" si="151"/>
        <v>-7250004</v>
      </c>
      <c r="AB142" s="60">
        <f t="shared" si="132"/>
        <v>50.06915189841952</v>
      </c>
      <c r="AC142" s="67">
        <f t="shared" si="69"/>
        <v>-604167</v>
      </c>
      <c r="AD142" s="68">
        <f t="shared" si="132"/>
        <v>50.06915189841952</v>
      </c>
      <c r="AE142" s="44">
        <f t="shared" si="66"/>
        <v>-7250004</v>
      </c>
      <c r="AF142" s="21">
        <f t="shared" si="67"/>
        <v>0</v>
      </c>
      <c r="AW142" s="99"/>
      <c r="AX142" s="99"/>
    </row>
    <row r="143" spans="1:50">
      <c r="A143" s="2"/>
      <c r="B143" s="2"/>
      <c r="C143" s="16"/>
      <c r="D143" s="28">
        <f t="shared" ref="D143:D145" si="162">C143/C$145</f>
        <v>0</v>
      </c>
      <c r="E143" s="16"/>
      <c r="F143" s="28">
        <f t="shared" ref="F143:F145" si="163">E143/E$145</f>
        <v>0</v>
      </c>
      <c r="G143" s="16"/>
      <c r="H143" s="28">
        <f t="shared" ref="H143:H145" si="164">G143/G$145</f>
        <v>0</v>
      </c>
      <c r="I143" s="16"/>
      <c r="J143" s="28">
        <f t="shared" ref="J143:J145" si="165">I143/I$145</f>
        <v>0</v>
      </c>
      <c r="K143" s="16"/>
      <c r="L143" s="28">
        <f t="shared" ref="L143:L145" si="166">K143/K$145</f>
        <v>0</v>
      </c>
      <c r="M143" s="16"/>
      <c r="N143" s="28">
        <f t="shared" si="129"/>
        <v>0</v>
      </c>
      <c r="O143" s="16"/>
      <c r="P143" s="28">
        <f t="shared" ref="P143:P145" si="167">O143/O$145</f>
        <v>0</v>
      </c>
      <c r="Q143" s="16"/>
      <c r="R143" s="28">
        <f t="shared" ref="R143:R145" si="168">Q143/Q$145</f>
        <v>0</v>
      </c>
      <c r="S143" s="16"/>
      <c r="T143" s="28">
        <f t="shared" ref="T143:AD145" si="169">S143/S$145</f>
        <v>0</v>
      </c>
      <c r="U143" s="16"/>
      <c r="V143" s="28">
        <f t="shared" ref="V143:V145" si="170">U143/U$145</f>
        <v>0</v>
      </c>
      <c r="W143" s="16"/>
      <c r="X143" s="28">
        <f t="shared" ref="X143:X145" si="171">W143/W$145</f>
        <v>0</v>
      </c>
      <c r="Y143" s="16"/>
      <c r="Z143" s="28">
        <f t="shared" ref="Z143:Z145" si="172">Y143/Y$145</f>
        <v>0</v>
      </c>
      <c r="AA143" s="59">
        <f t="shared" si="151"/>
        <v>0</v>
      </c>
      <c r="AB143" s="60">
        <f t="shared" si="169"/>
        <v>0</v>
      </c>
      <c r="AC143" s="67">
        <f t="shared" si="69"/>
        <v>0</v>
      </c>
      <c r="AD143" s="68">
        <f t="shared" si="169"/>
        <v>0</v>
      </c>
      <c r="AE143" s="44">
        <f t="shared" si="66"/>
        <v>0</v>
      </c>
      <c r="AF143" s="21">
        <f t="shared" si="67"/>
        <v>0</v>
      </c>
      <c r="AW143" s="99"/>
      <c r="AX143" s="99"/>
    </row>
    <row r="144" spans="1:50">
      <c r="A144" s="40">
        <v>6798</v>
      </c>
      <c r="B144" s="26" t="s">
        <v>147</v>
      </c>
      <c r="C144" s="32">
        <f>SUM(C136:C143)</f>
        <v>-582558.86</v>
      </c>
      <c r="D144" s="106"/>
      <c r="E144" s="32">
        <f>SUM(E136:E143)</f>
        <v>-582558.86</v>
      </c>
      <c r="F144" s="106"/>
      <c r="G144" s="32">
        <f>SUM(G136:G143)</f>
        <v>-582558.86</v>
      </c>
      <c r="H144" s="53">
        <f t="shared" si="164"/>
        <v>41.565618441676698</v>
      </c>
      <c r="I144" s="32">
        <f>SUM(I136:I143)</f>
        <v>-582558.86</v>
      </c>
      <c r="J144" s="106"/>
      <c r="K144" s="32">
        <f>SUM(K136:K143)</f>
        <v>-582558.86</v>
      </c>
      <c r="L144" s="53">
        <f t="shared" si="166"/>
        <v>41.565618441676698</v>
      </c>
      <c r="M144" s="32">
        <f>SUM(M136:M143)</f>
        <v>-582558.86</v>
      </c>
      <c r="N144" s="53">
        <f t="shared" si="129"/>
        <v>54.29049623119618</v>
      </c>
      <c r="O144" s="32">
        <f>SUM(O136:O143)</f>
        <v>-582558.86</v>
      </c>
      <c r="P144" s="53">
        <f t="shared" si="167"/>
        <v>66.842452806615228</v>
      </c>
      <c r="Q144" s="32">
        <f>SUM(Q136:Q143)</f>
        <v>-582558.86</v>
      </c>
      <c r="R144" s="53">
        <f t="shared" si="168"/>
        <v>41.565618441676698</v>
      </c>
      <c r="S144" s="32">
        <f>SUM(S136:S143)</f>
        <v>-582558.85</v>
      </c>
      <c r="T144" s="53"/>
      <c r="U144" s="32">
        <f>SUM(U136:U143)</f>
        <v>-582558.86</v>
      </c>
      <c r="V144" s="53">
        <f t="shared" si="170"/>
        <v>41.565618441676698</v>
      </c>
      <c r="W144" s="32">
        <f>SUM(W136:W143)</f>
        <v>-582558.86</v>
      </c>
      <c r="X144" s="53">
        <f t="shared" si="171"/>
        <v>41.565618441676698</v>
      </c>
      <c r="Y144" s="32">
        <f>SUM(Y136:Y143)</f>
        <v>-582558.86</v>
      </c>
      <c r="Z144" s="53">
        <f t="shared" si="172"/>
        <v>-742.49361556675933</v>
      </c>
      <c r="AA144" s="63">
        <f>SUM(AA136:AA143)</f>
        <v>-6990706.3099999996</v>
      </c>
      <c r="AB144" s="107"/>
      <c r="AC144" s="70">
        <f t="shared" si="69"/>
        <v>-582558.85916666663</v>
      </c>
      <c r="AD144" s="78">
        <f t="shared" si="169"/>
        <v>48.278419723993224</v>
      </c>
      <c r="AE144" s="44">
        <f t="shared" si="66"/>
        <v>-6990706.3100000005</v>
      </c>
      <c r="AF144" s="21">
        <f t="shared" si="67"/>
        <v>0</v>
      </c>
      <c r="AW144" s="99"/>
      <c r="AX144" s="99"/>
    </row>
    <row r="145" spans="1:50" ht="15.75" thickBot="1">
      <c r="A145" s="39">
        <v>6799</v>
      </c>
      <c r="B145" s="26" t="s">
        <v>117</v>
      </c>
      <c r="C145" s="31">
        <f>C144+C133+C129+C115+C93+C76+C41</f>
        <v>-14015.402196347073</v>
      </c>
      <c r="D145" s="51">
        <f t="shared" si="162"/>
        <v>1</v>
      </c>
      <c r="E145" s="31">
        <f>E41+E76+E93+E115+E129+E144+E133</f>
        <v>-14015.402196347073</v>
      </c>
      <c r="F145" s="51">
        <f t="shared" si="163"/>
        <v>1</v>
      </c>
      <c r="G145" s="31">
        <f>G41+G76+G93+G115+G129+G144+G133</f>
        <v>-14015.402196347073</v>
      </c>
      <c r="H145" s="51">
        <f t="shared" si="164"/>
        <v>1</v>
      </c>
      <c r="I145" s="31">
        <f>I41+I76+I93+I115+I129+I144+I133</f>
        <v>-14015.402196347073</v>
      </c>
      <c r="J145" s="51">
        <f t="shared" si="165"/>
        <v>1</v>
      </c>
      <c r="K145" s="31">
        <f>K41+K76+K93+K115+K129+K144+K133</f>
        <v>-14015.402196347073</v>
      </c>
      <c r="L145" s="51">
        <f t="shared" si="166"/>
        <v>1</v>
      </c>
      <c r="M145" s="31">
        <f>M41+M76+M93+M115+M129+M144+M133</f>
        <v>-10730.402196347073</v>
      </c>
      <c r="N145" s="51">
        <f t="shared" si="129"/>
        <v>1</v>
      </c>
      <c r="O145" s="31">
        <f>O41+O76+O93+O115+O129+O144+O133</f>
        <v>-8715.4021963470732</v>
      </c>
      <c r="P145" s="51">
        <f t="shared" si="167"/>
        <v>1</v>
      </c>
      <c r="Q145" s="31">
        <f>Q41+Q76+Q93+Q115+Q129+Q144+Q133</f>
        <v>-14015.402196347073</v>
      </c>
      <c r="R145" s="51">
        <f t="shared" si="168"/>
        <v>1</v>
      </c>
      <c r="S145" s="31">
        <f>S41+S76+S93+S115+S129+S144+S133</f>
        <v>-14015.392196347064</v>
      </c>
      <c r="T145" s="51">
        <f t="shared" si="169"/>
        <v>1</v>
      </c>
      <c r="U145" s="31">
        <f>U41+U76+U93+U115+U129+U144+U133</f>
        <v>-14015.402196347073</v>
      </c>
      <c r="V145" s="51">
        <f t="shared" si="170"/>
        <v>1</v>
      </c>
      <c r="W145" s="31">
        <f>W41+W76+W93+W115+W129+W144+W133</f>
        <v>-14015.402196347073</v>
      </c>
      <c r="X145" s="51">
        <f t="shared" si="171"/>
        <v>1</v>
      </c>
      <c r="Y145" s="31">
        <f>Y41+Y76+Y93+Y115+Y129+Y144+Y133</f>
        <v>784.59780365292681</v>
      </c>
      <c r="Z145" s="51">
        <f t="shared" si="172"/>
        <v>1</v>
      </c>
      <c r="AA145" s="71">
        <f>AA41+AA76+AA93+AA115+AA129+AA144+AA133</f>
        <v>-144799.81635616347</v>
      </c>
      <c r="AB145" s="81">
        <f t="shared" si="169"/>
        <v>1</v>
      </c>
      <c r="AC145" s="24">
        <f t="shared" si="69"/>
        <v>-12066.651363013623</v>
      </c>
      <c r="AD145" s="79">
        <f t="shared" si="169"/>
        <v>1</v>
      </c>
      <c r="AE145" s="44">
        <f t="shared" si="66"/>
        <v>-144799.81635616487</v>
      </c>
      <c r="AF145" s="21">
        <f t="shared" si="67"/>
        <v>1.3969838619232178E-9</v>
      </c>
      <c r="AL145" s="309"/>
      <c r="AW145" s="99"/>
      <c r="AX145" s="99"/>
    </row>
    <row r="146" spans="1:50" ht="16.5" thickTop="1" thickBot="1">
      <c r="A146" s="1"/>
      <c r="B146" s="8" t="s">
        <v>123</v>
      </c>
      <c r="C146" s="42">
        <f>C37-C145</f>
        <v>14015.402196347073</v>
      </c>
      <c r="D146" s="42">
        <f>D14-D145</f>
        <v>-1</v>
      </c>
      <c r="E146" s="42">
        <f>E37-E145</f>
        <v>14015.402196347073</v>
      </c>
      <c r="F146" s="42">
        <f>F14-F145</f>
        <v>-1</v>
      </c>
      <c r="G146" s="42">
        <f>G37-G145</f>
        <v>14015.402196347073</v>
      </c>
      <c r="H146" s="42">
        <f>H14-H145</f>
        <v>-1</v>
      </c>
      <c r="I146" s="42">
        <f>I37-I145</f>
        <v>14015.402196347073</v>
      </c>
      <c r="J146" s="42">
        <f>J14-J145</f>
        <v>-1</v>
      </c>
      <c r="K146" s="42">
        <f>K37-K145</f>
        <v>14015.402196347073</v>
      </c>
      <c r="L146" s="42">
        <f>L14-L145</f>
        <v>-1</v>
      </c>
      <c r="M146" s="42">
        <f>M37-M145</f>
        <v>10730.402196347073</v>
      </c>
      <c r="N146" s="42">
        <f>N14-N145</f>
        <v>-1</v>
      </c>
      <c r="O146" s="42">
        <f>O37-O145</f>
        <v>8715.4021963470732</v>
      </c>
      <c r="P146" s="42">
        <f>P14-P145</f>
        <v>-1</v>
      </c>
      <c r="Q146" s="42">
        <f>Q37-Q145</f>
        <v>14015.402196347073</v>
      </c>
      <c r="R146" s="42">
        <f>R14-R145</f>
        <v>-1</v>
      </c>
      <c r="S146" s="42">
        <f>S37-S145</f>
        <v>14015.392196347064</v>
      </c>
      <c r="T146" s="42">
        <f>T14-T145</f>
        <v>-1</v>
      </c>
      <c r="U146" s="42">
        <f>U37-U145</f>
        <v>14015.402196347073</v>
      </c>
      <c r="V146" s="42">
        <f>V14-V145</f>
        <v>-1</v>
      </c>
      <c r="W146" s="42">
        <f>W37-W145</f>
        <v>14015.402196347073</v>
      </c>
      <c r="X146" s="42">
        <f>X14-X145</f>
        <v>-1</v>
      </c>
      <c r="Y146" s="42">
        <f>Y37-Y145</f>
        <v>-784.59780365292681</v>
      </c>
      <c r="Z146" s="42">
        <f>Z37-Z145</f>
        <v>-1</v>
      </c>
      <c r="AA146" s="42">
        <f>AA37-AA145</f>
        <v>144799.81635616347</v>
      </c>
      <c r="AB146" s="120">
        <f>AB14-AB145</f>
        <v>-1</v>
      </c>
      <c r="AC146" s="42">
        <f t="shared" si="69"/>
        <v>12066.651363013623</v>
      </c>
      <c r="AD146" s="120">
        <f>AD14-AD145</f>
        <v>-1</v>
      </c>
      <c r="AE146" s="44">
        <f t="shared" si="66"/>
        <v>144799.81635616487</v>
      </c>
      <c r="AF146" s="21">
        <f t="shared" si="67"/>
        <v>-1.3969838619232178E-9</v>
      </c>
      <c r="AW146" s="99"/>
      <c r="AX146" s="99"/>
    </row>
    <row r="147" spans="1:50" ht="15.75" thickTop="1">
      <c r="A147" s="1"/>
      <c r="B147" s="1"/>
      <c r="C147" s="21"/>
      <c r="D147" s="50"/>
      <c r="E147" s="21"/>
      <c r="F147" s="50"/>
      <c r="G147" s="21"/>
      <c r="H147" s="50"/>
      <c r="I147" s="21"/>
      <c r="J147" s="50"/>
      <c r="K147" s="21"/>
      <c r="L147" s="50"/>
      <c r="M147" s="21"/>
      <c r="N147" s="50"/>
      <c r="O147" s="21"/>
      <c r="P147" s="50"/>
      <c r="Q147" s="21"/>
      <c r="R147" s="50"/>
      <c r="S147" s="21"/>
      <c r="T147" s="50"/>
      <c r="U147" s="21"/>
      <c r="V147" s="50"/>
      <c r="W147" s="21"/>
      <c r="X147" s="50"/>
      <c r="Y147" s="21"/>
      <c r="Z147" s="50"/>
      <c r="AA147" s="58"/>
      <c r="AB147" s="72"/>
      <c r="AC147" s="66">
        <f t="shared" si="69"/>
        <v>0</v>
      </c>
      <c r="AD147" s="76"/>
      <c r="AE147" s="44">
        <f t="shared" si="66"/>
        <v>0</v>
      </c>
      <c r="AF147" s="21">
        <f t="shared" si="67"/>
        <v>0</v>
      </c>
      <c r="AW147" s="99"/>
      <c r="AX147" s="99"/>
    </row>
    <row r="148" spans="1:50" ht="15.75" thickBot="1">
      <c r="A148" s="90"/>
      <c r="B148" s="8" t="s">
        <v>146</v>
      </c>
      <c r="C148" s="97">
        <v>10000</v>
      </c>
      <c r="D148" s="95">
        <f>C148/C145</f>
        <v>-0.71350075152366055</v>
      </c>
      <c r="E148" s="97">
        <v>10000</v>
      </c>
      <c r="F148" s="95">
        <f t="shared" ref="F148" si="173">E148/E145</f>
        <v>-0.71350075152366055</v>
      </c>
      <c r="G148" s="97">
        <v>10000</v>
      </c>
      <c r="H148" s="95">
        <f t="shared" ref="H148" si="174">G148/G145</f>
        <v>-0.71350075152366055</v>
      </c>
      <c r="I148" s="97">
        <v>10000</v>
      </c>
      <c r="J148" s="95">
        <f t="shared" ref="J148" si="175">I148/I145</f>
        <v>-0.71350075152366055</v>
      </c>
      <c r="K148" s="97">
        <v>10000</v>
      </c>
      <c r="L148" s="95">
        <f t="shared" ref="L148" si="176">K148/K145</f>
        <v>-0.71350075152366055</v>
      </c>
      <c r="M148" s="97">
        <v>10000</v>
      </c>
      <c r="N148" s="95">
        <f t="shared" ref="N148" si="177">M148/M145</f>
        <v>-0.93193151729245316</v>
      </c>
      <c r="O148" s="97">
        <v>10000</v>
      </c>
      <c r="P148" s="95">
        <f t="shared" ref="P148" si="178">O148/O145</f>
        <v>-1.1473939784662315</v>
      </c>
      <c r="Q148" s="97">
        <v>10000</v>
      </c>
      <c r="R148" s="95">
        <f t="shared" ref="R148" si="179">Q148/Q145</f>
        <v>-0.71350075152366055</v>
      </c>
      <c r="S148" s="97">
        <v>10000</v>
      </c>
      <c r="T148" s="95">
        <f t="shared" ref="T148" si="180">S148/S145</f>
        <v>-0.71350126060734675</v>
      </c>
      <c r="U148" s="97">
        <v>10000</v>
      </c>
      <c r="V148" s="95">
        <f t="shared" ref="V148" si="181">U148/U145</f>
        <v>-0.71350075152366055</v>
      </c>
      <c r="W148" s="97">
        <v>10000</v>
      </c>
      <c r="X148" s="95">
        <f t="shared" ref="X148" si="182">W148/W145</f>
        <v>-0.71350075152366055</v>
      </c>
      <c r="Y148" s="97">
        <v>10000</v>
      </c>
      <c r="Z148" s="95">
        <f t="shared" ref="Z148:AD148" si="183">Y148/Y145</f>
        <v>12.745383626416039</v>
      </c>
      <c r="AA148" s="101">
        <f t="shared" ref="AA148:AA150" si="184">C148+E148+G148+I148+K148+M148+O148+Q148+S148+U148+W148+Y148</f>
        <v>120000</v>
      </c>
      <c r="AB148" s="95">
        <f t="shared" si="183"/>
        <v>-0.82873033281227737</v>
      </c>
      <c r="AC148" s="117">
        <f t="shared" si="69"/>
        <v>10000</v>
      </c>
      <c r="AD148" s="95">
        <f t="shared" si="183"/>
        <v>-0.82873033281227737</v>
      </c>
      <c r="AE148" s="44">
        <f t="shared" si="66"/>
        <v>120000</v>
      </c>
      <c r="AF148" s="21">
        <f t="shared" si="67"/>
        <v>0</v>
      </c>
      <c r="AW148" s="99"/>
      <c r="AX148" s="99"/>
    </row>
    <row r="149" spans="1:50" ht="15.75" thickTop="1">
      <c r="A149" s="1"/>
      <c r="B149" s="46"/>
      <c r="C149" s="21"/>
      <c r="D149" s="50"/>
      <c r="E149" s="21"/>
      <c r="F149" s="50"/>
      <c r="G149" s="21"/>
      <c r="H149" s="50"/>
      <c r="I149" s="21"/>
      <c r="J149" s="50"/>
      <c r="K149" s="21"/>
      <c r="L149" s="50"/>
      <c r="M149" s="21"/>
      <c r="N149" s="50"/>
      <c r="O149" s="21"/>
      <c r="P149" s="50"/>
      <c r="Q149" s="21"/>
      <c r="R149" s="50"/>
      <c r="S149" s="21"/>
      <c r="T149" s="50"/>
      <c r="U149" s="21"/>
      <c r="V149" s="50"/>
      <c r="W149" s="21"/>
      <c r="X149" s="50"/>
      <c r="Y149" s="21"/>
      <c r="Z149" s="50"/>
      <c r="AA149" s="58"/>
      <c r="AB149" s="72"/>
      <c r="AC149" s="66">
        <f t="shared" ref="AC149:AC152" si="185">AA149/12</f>
        <v>0</v>
      </c>
      <c r="AD149" s="76"/>
      <c r="AE149" s="44">
        <f t="shared" si="66"/>
        <v>0</v>
      </c>
      <c r="AF149" s="21">
        <f t="shared" si="67"/>
        <v>0</v>
      </c>
      <c r="AW149" s="99"/>
      <c r="AX149" s="99"/>
    </row>
    <row r="150" spans="1:50" ht="15.75" thickBot="1">
      <c r="A150" s="130"/>
      <c r="B150" s="129" t="s">
        <v>161</v>
      </c>
      <c r="C150" s="18"/>
      <c r="D150" s="131"/>
      <c r="E150" s="18"/>
      <c r="F150" s="131"/>
      <c r="G150" s="18"/>
      <c r="H150" s="131"/>
      <c r="I150" s="18"/>
      <c r="J150" s="131"/>
      <c r="K150" s="18"/>
      <c r="L150" s="131"/>
      <c r="M150" s="18"/>
      <c r="N150" s="131"/>
      <c r="O150" s="18"/>
      <c r="P150" s="131"/>
      <c r="Q150" s="18"/>
      <c r="R150" s="131"/>
      <c r="S150" s="18"/>
      <c r="T150" s="131"/>
      <c r="U150" s="18"/>
      <c r="V150" s="131"/>
      <c r="W150" s="18"/>
      <c r="X150" s="131"/>
      <c r="Y150" s="18"/>
      <c r="Z150" s="131"/>
      <c r="AA150" s="101">
        <f t="shared" si="184"/>
        <v>0</v>
      </c>
      <c r="AB150" s="131"/>
      <c r="AC150" s="117">
        <f t="shared" si="185"/>
        <v>0</v>
      </c>
      <c r="AD150" s="131"/>
      <c r="AE150" s="44">
        <f t="shared" ref="AE150:AE152" si="186">C150+E150+G150+I150+K150+M150+O150+Q150+S150+U150+W150+Y150</f>
        <v>0</v>
      </c>
      <c r="AF150" s="21">
        <f t="shared" ref="AF150:AF152" si="187">AA150-AE150</f>
        <v>0</v>
      </c>
      <c r="AW150" s="99"/>
      <c r="AX150" s="99"/>
    </row>
    <row r="151" spans="1:50" ht="15.75" thickTop="1">
      <c r="A151" s="1"/>
      <c r="B151" s="46"/>
      <c r="C151" s="21"/>
      <c r="D151" s="50"/>
      <c r="E151" s="21"/>
      <c r="F151" s="50"/>
      <c r="G151" s="21"/>
      <c r="H151" s="50"/>
      <c r="I151" s="21"/>
      <c r="J151" s="50"/>
      <c r="K151" s="21"/>
      <c r="L151" s="50"/>
      <c r="M151" s="21"/>
      <c r="N151" s="50"/>
      <c r="O151" s="21"/>
      <c r="P151" s="50"/>
      <c r="Q151" s="21"/>
      <c r="R151" s="50"/>
      <c r="S151" s="21"/>
      <c r="T151" s="50"/>
      <c r="U151" s="21"/>
      <c r="V151" s="50"/>
      <c r="W151" s="21"/>
      <c r="X151" s="50"/>
      <c r="Y151" s="21"/>
      <c r="Z151" s="50"/>
      <c r="AA151" s="58"/>
      <c r="AB151" s="72"/>
      <c r="AC151" s="66">
        <f t="shared" si="185"/>
        <v>0</v>
      </c>
      <c r="AD151" s="76"/>
      <c r="AE151" s="44">
        <f t="shared" si="186"/>
        <v>0</v>
      </c>
      <c r="AF151" s="21">
        <f t="shared" si="187"/>
        <v>0</v>
      </c>
      <c r="AW151" s="99"/>
      <c r="AX151" s="99"/>
    </row>
    <row r="152" spans="1:50" ht="15.75" thickBot="1">
      <c r="A152" s="90"/>
      <c r="B152" s="93" t="s">
        <v>148</v>
      </c>
      <c r="C152" s="94">
        <f>C146-C148-C150</f>
        <v>4015.4021963470732</v>
      </c>
      <c r="D152" s="95">
        <f>C152/C145</f>
        <v>-0.2864992484763394</v>
      </c>
      <c r="E152" s="94">
        <f>E146-E148-E150</f>
        <v>4015.4021963470732</v>
      </c>
      <c r="F152" s="95">
        <f t="shared" ref="F152" si="188">E152/E145</f>
        <v>-0.2864992484763394</v>
      </c>
      <c r="G152" s="94">
        <f>G146-G148-G150</f>
        <v>4015.4021963470732</v>
      </c>
      <c r="H152" s="95">
        <f t="shared" ref="H152" si="189">G152/G145</f>
        <v>-0.2864992484763394</v>
      </c>
      <c r="I152" s="94">
        <f>I146-I148-I150</f>
        <v>4015.4021963470732</v>
      </c>
      <c r="J152" s="95">
        <f t="shared" ref="J152" si="190">I152/I145</f>
        <v>-0.2864992484763394</v>
      </c>
      <c r="K152" s="94">
        <f>K146-K148-K150</f>
        <v>4015.4021963470732</v>
      </c>
      <c r="L152" s="95">
        <f t="shared" ref="L152" si="191">K152/K145</f>
        <v>-0.2864992484763394</v>
      </c>
      <c r="M152" s="94">
        <f>M146-M148-M150</f>
        <v>730.40219634707319</v>
      </c>
      <c r="N152" s="95">
        <f t="shared" ref="N152" si="192">M152/M145</f>
        <v>-6.8068482707546826E-2</v>
      </c>
      <c r="O152" s="94">
        <f>O146-O148-O150</f>
        <v>-1284.5978036529268</v>
      </c>
      <c r="P152" s="95">
        <f t="shared" ref="P152" si="193">O152/O145</f>
        <v>0.14739397846623145</v>
      </c>
      <c r="Q152" s="94">
        <f>Q146-Q148-Q150</f>
        <v>4015.4021963470732</v>
      </c>
      <c r="R152" s="95">
        <f t="shared" ref="R152" si="194">Q152/Q145</f>
        <v>-0.2864992484763394</v>
      </c>
      <c r="S152" s="94">
        <f>S146-S148-S150</f>
        <v>4015.3921963470639</v>
      </c>
      <c r="T152" s="95">
        <f t="shared" ref="T152" si="195">S152/S145</f>
        <v>-0.2864987393926533</v>
      </c>
      <c r="U152" s="94">
        <f>U146-U148-U150</f>
        <v>4015.4021963470732</v>
      </c>
      <c r="V152" s="95">
        <f t="shared" ref="V152" si="196">U152/U145</f>
        <v>-0.2864992484763394</v>
      </c>
      <c r="W152" s="94">
        <f>W146-W148-W150</f>
        <v>4015.4021963470732</v>
      </c>
      <c r="X152" s="95">
        <f t="shared" ref="X152" si="197">W152/W145</f>
        <v>-0.2864992484763394</v>
      </c>
      <c r="Y152" s="94">
        <f>Y146-Y148-Y150</f>
        <v>-10784.597803652927</v>
      </c>
      <c r="Z152" s="95">
        <f t="shared" ref="Z152:AD152" si="198">Y152/Y145</f>
        <v>-13.745383626416039</v>
      </c>
      <c r="AA152" s="101">
        <f t="shared" ref="AA152" si="199">C152+E152+G152+I152+K152+M152+O152+Q152+S152+U152+W152+Y152</f>
        <v>24799.816356164869</v>
      </c>
      <c r="AB152" s="95">
        <f t="shared" si="198"/>
        <v>-0.17126966718773226</v>
      </c>
      <c r="AC152" s="117">
        <f t="shared" si="185"/>
        <v>2066.6513630137392</v>
      </c>
      <c r="AD152" s="95">
        <f t="shared" si="198"/>
        <v>-0.17126966718773226</v>
      </c>
      <c r="AE152" s="44">
        <f t="shared" si="186"/>
        <v>24799.816356164869</v>
      </c>
      <c r="AF152" s="21">
        <f t="shared" si="187"/>
        <v>0</v>
      </c>
      <c r="AW152" s="99"/>
      <c r="AX152" s="99"/>
    </row>
    <row r="153" spans="1:50" ht="15.75" thickTop="1">
      <c r="A153" s="15"/>
      <c r="B153" s="15"/>
      <c r="C153" s="20">
        <f>C152</f>
        <v>4015.4021963470732</v>
      </c>
      <c r="D153" s="91"/>
      <c r="E153" s="20">
        <f>C153+E152</f>
        <v>8030.8043926941464</v>
      </c>
      <c r="F153" s="91"/>
      <c r="G153" s="20">
        <f>G152+E153</f>
        <v>12046.20658904122</v>
      </c>
      <c r="H153" s="91"/>
      <c r="I153" s="20">
        <f>I152+G153</f>
        <v>16061.608785388293</v>
      </c>
      <c r="J153" s="91"/>
      <c r="K153" s="20">
        <f>K152+I153</f>
        <v>20077.010981735366</v>
      </c>
      <c r="L153" s="91"/>
      <c r="M153" s="20">
        <f>M152+K153</f>
        <v>20807.413178082439</v>
      </c>
      <c r="N153" s="91"/>
      <c r="O153" s="20">
        <f>O152+M153</f>
        <v>19522.815374429512</v>
      </c>
      <c r="P153" s="91"/>
      <c r="Q153" s="20">
        <f>Q152+O153</f>
        <v>23538.217570776585</v>
      </c>
      <c r="R153" s="91"/>
      <c r="S153" s="20">
        <f>S152+Q153</f>
        <v>27553.609767123649</v>
      </c>
      <c r="T153" s="91"/>
      <c r="U153" s="20">
        <f>U152+S153</f>
        <v>31569.011963470723</v>
      </c>
      <c r="V153" s="91"/>
      <c r="W153" s="20">
        <f>W152+U153</f>
        <v>35584.414159817796</v>
      </c>
      <c r="X153" s="91"/>
      <c r="Y153" s="20">
        <f>Y152+W153</f>
        <v>24799.816356164869</v>
      </c>
      <c r="Z153" s="91"/>
      <c r="AA153" s="85"/>
      <c r="AB153" s="91"/>
      <c r="AC153" s="85"/>
      <c r="AD153" s="91"/>
      <c r="AE153" s="1"/>
      <c r="AF153" s="21"/>
    </row>
    <row r="154" spans="1:50">
      <c r="A154" s="15"/>
      <c r="B154" s="15"/>
      <c r="D154" s="91"/>
      <c r="F154" s="91"/>
      <c r="H154" s="91"/>
      <c r="J154" s="91"/>
      <c r="L154" s="91"/>
      <c r="N154" s="91"/>
      <c r="P154" s="91"/>
      <c r="R154" s="91"/>
      <c r="T154" s="91"/>
      <c r="V154" s="91"/>
      <c r="X154" s="91"/>
      <c r="Z154" s="91"/>
      <c r="AA154" s="85">
        <f>AA41+AA76+AA93+AA129+AA133+AA137+AA138+AA148</f>
        <v>7225204.1836438356</v>
      </c>
      <c r="AB154" s="91"/>
      <c r="AC154" s="85"/>
      <c r="AD154" s="91"/>
      <c r="AE154" s="1"/>
      <c r="AF154" s="21"/>
    </row>
    <row r="155" spans="1:50">
      <c r="A155" s="15"/>
      <c r="B155" s="15"/>
      <c r="D155" s="91"/>
      <c r="F155" s="91"/>
      <c r="H155" s="91"/>
      <c r="J155" s="91"/>
      <c r="L155" s="91"/>
      <c r="N155" s="91"/>
      <c r="P155" s="91"/>
      <c r="R155" s="91"/>
      <c r="T155" s="91"/>
      <c r="V155" s="91"/>
      <c r="X155" s="91"/>
      <c r="Z155" s="91"/>
      <c r="AA155" s="267">
        <f>AA152+AA142</f>
        <v>-7225204.1836438347</v>
      </c>
      <c r="AB155" s="91"/>
      <c r="AC155" s="85">
        <f>AA155/12</f>
        <v>-602100.34863698622</v>
      </c>
      <c r="AD155" s="91"/>
      <c r="AE155" s="1"/>
      <c r="AF155" s="21"/>
    </row>
    <row r="156" spans="1:50">
      <c r="A156" s="15"/>
      <c r="B156" s="15"/>
      <c r="D156" s="91"/>
      <c r="F156" s="91"/>
      <c r="H156" s="91"/>
      <c r="J156" s="91"/>
      <c r="L156" s="91"/>
      <c r="N156" s="91"/>
      <c r="P156" s="91"/>
      <c r="R156" s="91"/>
      <c r="T156" s="91"/>
      <c r="V156" s="91"/>
      <c r="X156" s="91"/>
      <c r="Z156" s="91"/>
      <c r="AA156" s="267"/>
      <c r="AB156" s="91"/>
      <c r="AC156" s="85"/>
      <c r="AD156" s="91"/>
      <c r="AE156" s="1"/>
      <c r="AF156" s="21"/>
    </row>
    <row r="157" spans="1:50">
      <c r="AA157" s="264">
        <f>SUM(AA41,AA76,AA93,AA115,AA129,AA137:AA138,AA148)</f>
        <v>5785204.1836438356</v>
      </c>
    </row>
    <row r="158" spans="1:50" hidden="1">
      <c r="Y158" s="340"/>
      <c r="Z158" s="340"/>
      <c r="AA158" s="340"/>
      <c r="AB158" s="340"/>
      <c r="AC158" s="340"/>
    </row>
    <row r="159" spans="1:50" hidden="1">
      <c r="AA159" s="1"/>
    </row>
    <row r="160" spans="1:50" hidden="1">
      <c r="AA160" s="21"/>
      <c r="AC160" s="100"/>
    </row>
    <row r="161" spans="15:29" hidden="1">
      <c r="AA161" s="21"/>
      <c r="AC161" s="100"/>
    </row>
    <row r="162" spans="15:29" hidden="1">
      <c r="AA162" s="21"/>
      <c r="AC162" s="100"/>
    </row>
    <row r="163" spans="15:29" hidden="1">
      <c r="AA163" s="123"/>
      <c r="AC163" s="291"/>
    </row>
    <row r="164" spans="15:29" hidden="1">
      <c r="AA164" s="45"/>
      <c r="AC164" s="268"/>
    </row>
    <row r="165" spans="15:29">
      <c r="O165" s="310"/>
      <c r="X165" s="88" t="s">
        <v>258</v>
      </c>
      <c r="Y165" s="20">
        <v>17</v>
      </c>
      <c r="AA165" s="100">
        <f>AA157/17</f>
        <v>340306.12844963738</v>
      </c>
      <c r="AC165" s="100">
        <f>AA154/12</f>
        <v>602100.34863698634</v>
      </c>
    </row>
    <row r="166" spans="15:29">
      <c r="X166" s="88" t="s">
        <v>259</v>
      </c>
      <c r="Y166" s="20">
        <v>12</v>
      </c>
      <c r="AA166" s="315">
        <f>AA165/Y166</f>
        <v>28358.844037469782</v>
      </c>
    </row>
    <row r="167" spans="15:29">
      <c r="AA167" s="100">
        <f>-AA155/12</f>
        <v>602100.34863698622</v>
      </c>
    </row>
    <row r="169" spans="15:29">
      <c r="AA169" s="331">
        <v>650000</v>
      </c>
    </row>
    <row r="170" spans="15:29">
      <c r="AA170" s="100">
        <f>AA169/Y165</f>
        <v>38235.294117647056</v>
      </c>
    </row>
  </sheetData>
  <customSheetViews>
    <customSheetView guid="{E19D3675-E478-4A54-8E7A-94A199F67811}" fitToPage="1" hiddenRows="1">
      <pane xSplit="2" ySplit="3" topLeftCell="C118" activePane="bottomRight" state="frozen"/>
      <selection pane="bottomRight" activeCell="E130" sqref="E130"/>
      <pageMargins left="0.7" right="0.7" top="0.75" bottom="0.75" header="0.3" footer="0.3"/>
      <printOptions horizontalCentered="1" gridLines="1"/>
      <pageSetup paperSize="8" scale="26" orientation="landscape" r:id="rId1"/>
    </customSheetView>
    <customSheetView guid="{BFB0E08A-7D07-48F2-93C4-BE631A8642F6}" fitToPage="1" hiddenRows="1">
      <pane xSplit="2" ySplit="3" topLeftCell="C4" activePane="bottomRight" state="frozen"/>
      <selection pane="bottomRight" activeCell="B6" sqref="B6"/>
      <pageMargins left="0.7" right="0.7" top="0.75" bottom="0.75" header="0.3" footer="0.3"/>
      <printOptions horizontalCentered="1" gridLines="1"/>
      <pageSetup paperSize="8" scale="26" orientation="landscape" r:id="rId2"/>
    </customSheetView>
    <customSheetView guid="{D65E0E17-9A53-4B36-ADDE-FDFBD878E6A1}" hiddenColumns="1">
      <selection activeCell="M10" sqref="M10"/>
      <pageMargins left="0.7" right="0.7" top="0.75" bottom="0.75" header="0.3" footer="0.3"/>
    </customSheetView>
    <customSheetView guid="{F3E5B7E7-D3C6-4CDC-BAA7-D62F15A870E4}" hiddenColumns="1">
      <selection activeCell="M10" sqref="M10"/>
      <pageMargins left="0.7" right="0.7" top="0.75" bottom="0.75" header="0.3" footer="0.3"/>
    </customSheetView>
    <customSheetView guid="{879F34B1-DA85-44D2-99EE-74A633FB2C72}" fitToPage="1" hiddenRows="1">
      <pane xSplit="2" ySplit="3" topLeftCell="Q94" activePane="bottomRight" state="frozen"/>
      <selection pane="bottomRight" activeCell="AC132" sqref="AC132"/>
      <pageMargins left="0.7" right="0.7" top="0.75" bottom="0.75" header="0.3" footer="0.3"/>
      <printOptions horizontalCentered="1" gridLines="1"/>
      <pageSetup paperSize="8" scale="26" orientation="landscape" r:id="rId3"/>
    </customSheetView>
    <customSheetView guid="{02AA01BD-C75B-4B6E-A8E6-EEB6E90D29E4}" fitToPage="1" hiddenRows="1">
      <pane xSplit="2" ySplit="3" topLeftCell="F121" activePane="bottomRight" state="frozen"/>
      <selection pane="bottomRight" activeCell="K126" sqref="K126"/>
      <pageMargins left="0.7" right="0.7" top="0.75" bottom="0.75" header="0.3" footer="0.3"/>
      <printOptions horizontalCentered="1" gridLines="1"/>
      <pageSetup paperSize="8" scale="39" orientation="landscape" r:id="rId4"/>
    </customSheetView>
    <customSheetView guid="{209662B1-09B2-4060-A837-250CED7848ED}" fitToPage="1" hiddenRows="1">
      <pane xSplit="2" ySplit="3" topLeftCell="L37" activePane="bottomRight" state="frozen"/>
      <selection pane="bottomRight" activeCell="A67" sqref="A67"/>
      <pageMargins left="0.7" right="0.7" top="0.75" bottom="0.75" header="0.3" footer="0.3"/>
      <printOptions horizontalCentered="1" gridLines="1"/>
      <pageSetup paperSize="8" scale="26" orientation="landscape" r:id="rId5"/>
    </customSheetView>
    <customSheetView guid="{B2BB7590-1CD2-4457-858D-F8835B99F338}" fitToPage="1" hiddenRows="1">
      <pane xSplit="2" ySplit="3" topLeftCell="C31" activePane="bottomRight" state="frozen"/>
      <selection pane="bottomRight" activeCell="I38" sqref="I38"/>
      <pageMargins left="0.7" right="0.7" top="0.75" bottom="0.75" header="0.3" footer="0.3"/>
      <printOptions horizontalCentered="1" gridLines="1"/>
      <pageSetup paperSize="8" scale="39" orientation="landscape" r:id="rId6"/>
    </customSheetView>
    <customSheetView guid="{A879B074-133C-4DA1-A94D-0D1575EAAFB0}" topLeftCell="B109">
      <selection activeCell="C125" sqref="C125"/>
      <pageMargins left="0.7" right="0.7" top="0.75" bottom="0.75" header="0.3" footer="0.3"/>
      <pageSetup orientation="portrait" verticalDpi="0" r:id="rId7"/>
    </customSheetView>
    <customSheetView guid="{C4C974E7-2FCF-4C3A-A063-03001047949F}">
      <pane ySplit="3" topLeftCell="A107" activePane="bottomLeft" state="frozen"/>
      <selection pane="bottomLeft" activeCell="D122" sqref="D122"/>
      <pageMargins left="0.7" right="0.7" top="0.75" bottom="0.75" header="0.3" footer="0.3"/>
      <pageSetup paperSize="9" orientation="portrait" r:id="rId8"/>
    </customSheetView>
    <customSheetView guid="{A8167CC1-C909-4D11-B8D5-4313083C8125}" fitToPage="1" hiddenRows="1" hiddenColumns="1">
      <pane xSplit="2" ySplit="3" topLeftCell="C123" activePane="bottomRight" state="frozen"/>
      <selection pane="bottomRight" activeCell="I153" sqref="I153"/>
      <pageMargins left="0.7" right="0.7" top="0.46" bottom="0.51" header="0.3" footer="0.3"/>
      <printOptions horizontalCentered="1" gridLines="1"/>
      <pageSetup paperSize="8" scale="26" orientation="landscape" r:id="rId9"/>
    </customSheetView>
    <customSheetView guid="{AA4262F8-9AB3-4147-94E2-8DEF81F7E83C}" fitToPage="1" hiddenRows="1">
      <pane xSplit="2" ySplit="3" topLeftCell="C103" activePane="bottomRight" state="frozen"/>
      <selection pane="bottomRight" activeCell="G147" sqref="G147"/>
      <pageMargins left="0.7" right="0.7" top="0.75" bottom="0.75" header="0.3" footer="0.3"/>
      <printOptions horizontalCentered="1" gridLines="1"/>
      <pageSetup paperSize="8" scale="26" orientation="landscape" r:id="rId10"/>
    </customSheetView>
  </customSheetViews>
  <mergeCells count="15">
    <mergeCell ref="Y158:AC158"/>
    <mergeCell ref="AA2:AB2"/>
    <mergeCell ref="AC2:AD2"/>
    <mergeCell ref="Q2:R2"/>
    <mergeCell ref="S2:T2"/>
    <mergeCell ref="C2:D2"/>
    <mergeCell ref="E2:F2"/>
    <mergeCell ref="G2:H2"/>
    <mergeCell ref="I2:J2"/>
    <mergeCell ref="K2:L2"/>
    <mergeCell ref="M2:N2"/>
    <mergeCell ref="O2:P2"/>
    <mergeCell ref="U2:V2"/>
    <mergeCell ref="W2:X2"/>
    <mergeCell ref="Y2:Z2"/>
  </mergeCells>
  <printOptions horizontalCentered="1" gridLines="1"/>
  <pageMargins left="0" right="0" top="0.56000000000000005" bottom="0.42" header="0.3" footer="0.3"/>
  <pageSetup paperSize="8" scale="50" fitToHeight="2" orientation="landscape" r:id="rId11"/>
  <ignoredErrors>
    <ignoredError sqref="AA39 AA45:AA76 AA100:AA114 AA117:AA128 AA136:AA143 AA77:AA93 AA41:AA42 AA22:AA34 AA13:AA14 AA148 AA152 AA133" formula="1"/>
  </ignoredErrors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65"/>
  <sheetViews>
    <sheetView tabSelected="1" topLeftCell="N38" workbookViewId="0">
      <selection activeCell="AA152" sqref="AA152"/>
    </sheetView>
  </sheetViews>
  <sheetFormatPr defaultColWidth="9.140625" defaultRowHeight="15"/>
  <cols>
    <col min="1" max="1" width="6.42578125" style="84" customWidth="1"/>
    <col min="2" max="2" width="34.42578125" style="84" bestFit="1" customWidth="1"/>
    <col min="3" max="3" width="12.28515625" style="20" bestFit="1" customWidth="1"/>
    <col min="4" max="4" width="10.85546875" style="88" bestFit="1" customWidth="1"/>
    <col min="5" max="5" width="12.28515625" style="20" bestFit="1" customWidth="1"/>
    <col min="6" max="6" width="11.28515625" style="88" bestFit="1" customWidth="1"/>
    <col min="7" max="7" width="12.28515625" style="20" bestFit="1" customWidth="1"/>
    <col min="8" max="8" width="12.5703125" style="88" customWidth="1"/>
    <col min="9" max="9" width="12.28515625" style="20" bestFit="1" customWidth="1"/>
    <col min="10" max="10" width="12.85546875" style="88" bestFit="1" customWidth="1"/>
    <col min="11" max="11" width="12.28515625" style="20" bestFit="1" customWidth="1"/>
    <col min="12" max="12" width="10.85546875" style="88" bestFit="1" customWidth="1"/>
    <col min="13" max="13" width="12.28515625" style="20" bestFit="1" customWidth="1"/>
    <col min="14" max="14" width="9.85546875" style="88" bestFit="1" customWidth="1"/>
    <col min="15" max="15" width="12.28515625" style="20" bestFit="1" customWidth="1"/>
    <col min="16" max="16" width="9.85546875" style="88" bestFit="1" customWidth="1"/>
    <col min="17" max="17" width="12.28515625" style="20" bestFit="1" customWidth="1"/>
    <col min="18" max="18" width="9.85546875" style="88" bestFit="1" customWidth="1"/>
    <col min="19" max="19" width="12.28515625" style="20" bestFit="1" customWidth="1"/>
    <col min="20" max="20" width="9.85546875" style="88" bestFit="1" customWidth="1"/>
    <col min="21" max="21" width="12.28515625" style="20" bestFit="1" customWidth="1"/>
    <col min="22" max="22" width="9.85546875" style="88" bestFit="1" customWidth="1"/>
    <col min="23" max="23" width="12.28515625" style="20" bestFit="1" customWidth="1"/>
    <col min="24" max="24" width="9.85546875" style="88" bestFit="1" customWidth="1"/>
    <col min="25" max="25" width="12.28515625" style="20" bestFit="1" customWidth="1"/>
    <col min="26" max="26" width="4.85546875" style="88" customWidth="1"/>
    <col min="27" max="27" width="14" style="84" bestFit="1" customWidth="1"/>
    <col min="28" max="28" width="9.85546875" style="88" bestFit="1" customWidth="1"/>
    <col min="29" max="29" width="11.28515625" style="84" bestFit="1" customWidth="1"/>
    <col min="30" max="30" width="9.85546875" style="88" bestFit="1" customWidth="1"/>
    <col min="31" max="31" width="14" style="86" hidden="1" customWidth="1"/>
    <col min="32" max="32" width="15.28515625" style="87" hidden="1" customWidth="1"/>
    <col min="33" max="33" width="11.42578125" style="111" hidden="1" customWidth="1"/>
    <col min="34" max="34" width="46.28515625" style="1" hidden="1" customWidth="1"/>
    <col min="35" max="35" width="9.5703125" style="1" customWidth="1"/>
    <col min="36" max="36" width="5.140625" style="1" bestFit="1" customWidth="1"/>
    <col min="37" max="37" width="6.42578125" style="1" customWidth="1"/>
    <col min="38" max="48" width="9.140625" style="86" customWidth="1"/>
    <col min="49" max="49" width="15" style="86" customWidth="1"/>
    <col min="50" max="50" width="15" style="86" bestFit="1" customWidth="1"/>
    <col min="51" max="16384" width="9.140625" style="1"/>
  </cols>
  <sheetData>
    <row r="1" spans="1:50">
      <c r="A1" s="323" t="s">
        <v>240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1"/>
      <c r="AF1" s="21"/>
      <c r="AG1" s="265"/>
      <c r="AH1" s="265"/>
      <c r="AI1" s="305"/>
      <c r="AJ1" s="305"/>
      <c r="AK1" s="305"/>
      <c r="AL1" s="305"/>
      <c r="AM1" s="305"/>
      <c r="AN1" s="305"/>
      <c r="AO1" s="305"/>
    </row>
    <row r="2" spans="1:50" s="86" customFormat="1">
      <c r="A2" s="22"/>
      <c r="B2" s="22"/>
      <c r="C2" s="334" t="s">
        <v>64</v>
      </c>
      <c r="D2" s="336"/>
      <c r="E2" s="337" t="s">
        <v>65</v>
      </c>
      <c r="F2" s="337"/>
      <c r="G2" s="334" t="s">
        <v>81</v>
      </c>
      <c r="H2" s="336"/>
      <c r="I2" s="334" t="s">
        <v>82</v>
      </c>
      <c r="J2" s="336"/>
      <c r="K2" s="334" t="s">
        <v>83</v>
      </c>
      <c r="L2" s="336"/>
      <c r="M2" s="334" t="s">
        <v>84</v>
      </c>
      <c r="N2" s="335"/>
      <c r="O2" s="334" t="s">
        <v>85</v>
      </c>
      <c r="P2" s="336"/>
      <c r="Q2" s="334" t="s">
        <v>86</v>
      </c>
      <c r="R2" s="336"/>
      <c r="S2" s="337" t="s">
        <v>87</v>
      </c>
      <c r="T2" s="337"/>
      <c r="U2" s="334" t="s">
        <v>112</v>
      </c>
      <c r="V2" s="336"/>
      <c r="W2" s="334" t="s">
        <v>113</v>
      </c>
      <c r="X2" s="336"/>
      <c r="Y2" s="337" t="s">
        <v>114</v>
      </c>
      <c r="Z2" s="337"/>
      <c r="AA2" s="338" t="s">
        <v>109</v>
      </c>
      <c r="AB2" s="338"/>
      <c r="AC2" s="339" t="s">
        <v>110</v>
      </c>
      <c r="AD2" s="339"/>
      <c r="AE2" s="262"/>
      <c r="AF2" s="263"/>
      <c r="AG2" s="111"/>
      <c r="AH2" s="1"/>
    </row>
    <row r="3" spans="1:50" s="86" customFormat="1" ht="15.75" thickBot="1">
      <c r="A3" s="27"/>
      <c r="B3" s="9" t="s">
        <v>69</v>
      </c>
      <c r="C3" s="29" t="s">
        <v>94</v>
      </c>
      <c r="D3" s="48" t="s">
        <v>80</v>
      </c>
      <c r="E3" s="29" t="s">
        <v>94</v>
      </c>
      <c r="F3" s="48" t="s">
        <v>80</v>
      </c>
      <c r="G3" s="29" t="s">
        <v>94</v>
      </c>
      <c r="H3" s="48" t="s">
        <v>80</v>
      </c>
      <c r="I3" s="29" t="s">
        <v>94</v>
      </c>
      <c r="J3" s="48" t="s">
        <v>80</v>
      </c>
      <c r="K3" s="29" t="s">
        <v>94</v>
      </c>
      <c r="L3" s="48" t="s">
        <v>80</v>
      </c>
      <c r="M3" s="29" t="s">
        <v>94</v>
      </c>
      <c r="N3" s="48" t="s">
        <v>80</v>
      </c>
      <c r="O3" s="29" t="s">
        <v>94</v>
      </c>
      <c r="P3" s="48" t="s">
        <v>80</v>
      </c>
      <c r="Q3" s="29" t="s">
        <v>94</v>
      </c>
      <c r="R3" s="48" t="s">
        <v>80</v>
      </c>
      <c r="S3" s="29" t="s">
        <v>94</v>
      </c>
      <c r="T3" s="48" t="s">
        <v>80</v>
      </c>
      <c r="U3" s="29" t="s">
        <v>94</v>
      </c>
      <c r="V3" s="48" t="s">
        <v>80</v>
      </c>
      <c r="W3" s="29" t="s">
        <v>94</v>
      </c>
      <c r="X3" s="48" t="s">
        <v>80</v>
      </c>
      <c r="Y3" s="29" t="s">
        <v>94</v>
      </c>
      <c r="Z3" s="48" t="s">
        <v>80</v>
      </c>
      <c r="AA3" s="57" t="s">
        <v>95</v>
      </c>
      <c r="AB3" s="80" t="s">
        <v>80</v>
      </c>
      <c r="AC3" s="65" t="s">
        <v>95</v>
      </c>
      <c r="AD3" s="75" t="s">
        <v>80</v>
      </c>
      <c r="AE3" s="1"/>
      <c r="AF3" s="21"/>
      <c r="AG3" s="119" t="s">
        <v>218</v>
      </c>
      <c r="AH3" s="118" t="s">
        <v>145</v>
      </c>
    </row>
    <row r="4" spans="1:50">
      <c r="A4" s="1"/>
      <c r="B4" s="1"/>
      <c r="C4" s="16"/>
      <c r="D4" s="49"/>
      <c r="E4" s="16"/>
      <c r="F4" s="49"/>
      <c r="G4" s="16"/>
      <c r="H4" s="49"/>
      <c r="I4" s="16"/>
      <c r="J4" s="49"/>
      <c r="K4" s="16"/>
      <c r="L4" s="49"/>
      <c r="M4" s="16"/>
      <c r="N4" s="49"/>
      <c r="O4" s="16"/>
      <c r="P4" s="49"/>
      <c r="Q4" s="16"/>
      <c r="R4" s="49"/>
      <c r="S4" s="16"/>
      <c r="T4" s="49"/>
      <c r="U4" s="16"/>
      <c r="V4" s="49"/>
      <c r="W4" s="16"/>
      <c r="X4" s="49"/>
      <c r="Y4" s="16"/>
      <c r="Z4" s="49"/>
      <c r="AA4" s="58"/>
      <c r="AB4" s="72"/>
      <c r="AC4" s="66"/>
      <c r="AD4" s="76"/>
      <c r="AE4" s="1"/>
      <c r="AF4" s="21"/>
      <c r="AW4" s="99"/>
      <c r="AX4" s="99"/>
    </row>
    <row r="5" spans="1:50">
      <c r="A5" s="6">
        <v>5004</v>
      </c>
      <c r="B5" s="13" t="s">
        <v>71</v>
      </c>
      <c r="C5" s="19"/>
      <c r="D5" s="28"/>
      <c r="E5" s="19"/>
      <c r="F5" s="28"/>
      <c r="G5" s="17"/>
      <c r="H5" s="28"/>
      <c r="I5" s="17"/>
      <c r="J5" s="28"/>
      <c r="K5" s="19"/>
      <c r="L5" s="28"/>
      <c r="M5" s="19"/>
      <c r="N5" s="28"/>
      <c r="O5" s="19"/>
      <c r="P5" s="28"/>
      <c r="Q5" s="19"/>
      <c r="R5" s="28"/>
      <c r="S5" s="19"/>
      <c r="T5" s="28"/>
      <c r="U5" s="19"/>
      <c r="V5" s="28"/>
      <c r="W5" s="19"/>
      <c r="X5" s="28"/>
      <c r="Y5" s="19"/>
      <c r="Z5" s="28"/>
      <c r="AA5" s="59">
        <f>C5+E5+G5+I5+K5+M5+O5+Q5+S5+U5+W5+Y5</f>
        <v>0</v>
      </c>
      <c r="AB5" s="60"/>
      <c r="AC5" s="67">
        <f>AA5/12</f>
        <v>0</v>
      </c>
      <c r="AD5" s="68"/>
      <c r="AE5" s="44">
        <f>C5+E5+G5+I5+K5+M5+O5+Q5+S5+U5+W5+Y5</f>
        <v>0</v>
      </c>
      <c r="AF5" s="21">
        <f>AA5-AE5</f>
        <v>0</v>
      </c>
      <c r="AG5" s="112"/>
      <c r="AW5" s="99"/>
      <c r="AX5" s="99"/>
    </row>
    <row r="6" spans="1:50">
      <c r="A6" s="1">
        <v>5005</v>
      </c>
      <c r="B6" s="1" t="s">
        <v>67</v>
      </c>
      <c r="C6" s="19"/>
      <c r="D6" s="28"/>
      <c r="E6" s="16"/>
      <c r="F6" s="28"/>
      <c r="G6" s="16"/>
      <c r="H6" s="28"/>
      <c r="I6" s="16"/>
      <c r="J6" s="49"/>
      <c r="K6" s="16"/>
      <c r="L6" s="49"/>
      <c r="M6" s="16"/>
      <c r="N6" s="49"/>
      <c r="O6" s="19"/>
      <c r="P6" s="28"/>
      <c r="Q6" s="19"/>
      <c r="R6" s="28"/>
      <c r="S6" s="16"/>
      <c r="T6" s="28"/>
      <c r="U6" s="19"/>
      <c r="V6" s="28"/>
      <c r="W6" s="19"/>
      <c r="X6" s="28"/>
      <c r="Y6" s="16"/>
      <c r="Z6" s="28"/>
      <c r="AA6" s="59">
        <f t="shared" ref="AA6:AA11" si="0">C6+E6+G6+I6+K6+M6+O6+Q6+S6+U6+W6+Y6</f>
        <v>0</v>
      </c>
      <c r="AB6" s="60"/>
      <c r="AC6" s="67">
        <f t="shared" ref="AC6:AC69" si="1">AA6/12</f>
        <v>0</v>
      </c>
      <c r="AD6" s="68"/>
      <c r="AE6" s="44">
        <f t="shared" ref="AE6:AE69" si="2">C6+E6+G6+I6+K6+M6+O6+Q6+S6+U6+W6+Y6</f>
        <v>0</v>
      </c>
      <c r="AF6" s="21">
        <f t="shared" ref="AF6:AF69" si="3">AA6-AE6</f>
        <v>0</v>
      </c>
      <c r="AW6" s="99"/>
      <c r="AX6" s="99"/>
    </row>
    <row r="7" spans="1:50">
      <c r="A7" s="11">
        <v>5051</v>
      </c>
      <c r="B7" s="12" t="s">
        <v>74</v>
      </c>
      <c r="C7" s="19"/>
      <c r="D7" s="28"/>
      <c r="E7" s="19"/>
      <c r="F7" s="28"/>
      <c r="G7" s="17"/>
      <c r="H7" s="28"/>
      <c r="I7" s="17"/>
      <c r="J7" s="28"/>
      <c r="K7" s="19"/>
      <c r="L7" s="28"/>
      <c r="M7" s="17"/>
      <c r="N7" s="28"/>
      <c r="O7" s="19"/>
      <c r="P7" s="28"/>
      <c r="Q7" s="19"/>
      <c r="R7" s="28"/>
      <c r="S7" s="19"/>
      <c r="T7" s="28"/>
      <c r="U7" s="19"/>
      <c r="V7" s="28"/>
      <c r="W7" s="19"/>
      <c r="X7" s="28"/>
      <c r="Y7" s="19"/>
      <c r="Z7" s="28"/>
      <c r="AA7" s="59">
        <f t="shared" si="0"/>
        <v>0</v>
      </c>
      <c r="AB7" s="60"/>
      <c r="AC7" s="67">
        <f t="shared" si="1"/>
        <v>0</v>
      </c>
      <c r="AD7" s="68"/>
      <c r="AE7" s="44">
        <f t="shared" si="2"/>
        <v>0</v>
      </c>
      <c r="AF7" s="21">
        <f t="shared" si="3"/>
        <v>0</v>
      </c>
      <c r="AW7" s="99"/>
      <c r="AX7" s="99"/>
    </row>
    <row r="8" spans="1:50">
      <c r="A8" s="1">
        <v>5052</v>
      </c>
      <c r="B8" s="1" t="s">
        <v>90</v>
      </c>
      <c r="C8" s="19"/>
      <c r="D8" s="28"/>
      <c r="E8" s="16"/>
      <c r="F8" s="28"/>
      <c r="G8" s="16"/>
      <c r="H8" s="28"/>
      <c r="I8" s="16"/>
      <c r="J8" s="28"/>
      <c r="K8" s="16"/>
      <c r="L8" s="28"/>
      <c r="M8" s="16"/>
      <c r="N8" s="28"/>
      <c r="O8" s="16"/>
      <c r="P8" s="28"/>
      <c r="Q8" s="16"/>
      <c r="R8" s="28"/>
      <c r="S8" s="16"/>
      <c r="T8" s="28"/>
      <c r="U8" s="16"/>
      <c r="V8" s="28"/>
      <c r="W8" s="16"/>
      <c r="X8" s="28"/>
      <c r="Y8" s="16"/>
      <c r="Z8" s="28"/>
      <c r="AA8" s="59">
        <f t="shared" si="0"/>
        <v>0</v>
      </c>
      <c r="AB8" s="60"/>
      <c r="AC8" s="67">
        <f t="shared" si="1"/>
        <v>0</v>
      </c>
      <c r="AD8" s="68"/>
      <c r="AE8" s="44">
        <f t="shared" si="2"/>
        <v>0</v>
      </c>
      <c r="AF8" s="21">
        <f t="shared" si="3"/>
        <v>0</v>
      </c>
      <c r="AW8" s="99"/>
      <c r="AX8" s="99"/>
    </row>
    <row r="9" spans="1:50">
      <c r="A9" s="1">
        <v>5101</v>
      </c>
      <c r="B9" s="1" t="s">
        <v>46</v>
      </c>
      <c r="C9" s="19"/>
      <c r="D9" s="28"/>
      <c r="E9" s="16"/>
      <c r="F9" s="28"/>
      <c r="G9" s="16"/>
      <c r="H9" s="28"/>
      <c r="I9" s="16"/>
      <c r="J9" s="28"/>
      <c r="K9" s="16"/>
      <c r="L9" s="28"/>
      <c r="M9" s="16"/>
      <c r="N9" s="28"/>
      <c r="O9" s="16"/>
      <c r="P9" s="28"/>
      <c r="Q9" s="16"/>
      <c r="R9" s="28"/>
      <c r="S9" s="16"/>
      <c r="T9" s="28"/>
      <c r="U9" s="16"/>
      <c r="V9" s="28"/>
      <c r="W9" s="16"/>
      <c r="X9" s="28"/>
      <c r="Y9" s="16"/>
      <c r="Z9" s="28"/>
      <c r="AA9" s="59">
        <f t="shared" si="0"/>
        <v>0</v>
      </c>
      <c r="AB9" s="60"/>
      <c r="AC9" s="67">
        <f t="shared" si="1"/>
        <v>0</v>
      </c>
      <c r="AD9" s="68"/>
      <c r="AE9" s="44">
        <f t="shared" si="2"/>
        <v>0</v>
      </c>
      <c r="AF9" s="21">
        <f t="shared" si="3"/>
        <v>0</v>
      </c>
      <c r="AW9" s="99"/>
      <c r="AX9" s="99"/>
    </row>
    <row r="10" spans="1:50">
      <c r="A10" s="1">
        <v>5102</v>
      </c>
      <c r="B10" s="1" t="s">
        <v>159</v>
      </c>
      <c r="C10" s="19"/>
      <c r="D10" s="28"/>
      <c r="E10" s="16"/>
      <c r="F10" s="28"/>
      <c r="G10" s="16"/>
      <c r="H10" s="28"/>
      <c r="I10" s="16"/>
      <c r="J10" s="28"/>
      <c r="K10" s="16"/>
      <c r="L10" s="28"/>
      <c r="M10" s="16"/>
      <c r="N10" s="28"/>
      <c r="O10" s="16"/>
      <c r="P10" s="28"/>
      <c r="Q10" s="16"/>
      <c r="R10" s="28"/>
      <c r="S10" s="16"/>
      <c r="T10" s="28"/>
      <c r="U10" s="16"/>
      <c r="V10" s="28"/>
      <c r="W10" s="16"/>
      <c r="X10" s="28"/>
      <c r="Y10" s="16"/>
      <c r="Z10" s="28"/>
      <c r="AA10" s="59">
        <f t="shared" si="0"/>
        <v>0</v>
      </c>
      <c r="AB10" s="60"/>
      <c r="AC10" s="67">
        <f t="shared" si="1"/>
        <v>0</v>
      </c>
      <c r="AD10" s="68"/>
      <c r="AE10" s="44">
        <f t="shared" si="2"/>
        <v>0</v>
      </c>
      <c r="AF10" s="21">
        <f t="shared" si="3"/>
        <v>0</v>
      </c>
      <c r="AW10" s="99"/>
      <c r="AX10" s="99"/>
    </row>
    <row r="11" spans="1:50">
      <c r="A11" s="1">
        <v>5103</v>
      </c>
      <c r="B11" s="1" t="s">
        <v>63</v>
      </c>
      <c r="C11" s="16"/>
      <c r="D11" s="28"/>
      <c r="E11" s="17"/>
      <c r="F11" s="28"/>
      <c r="G11" s="16"/>
      <c r="H11" s="28"/>
      <c r="I11" s="16"/>
      <c r="J11" s="28"/>
      <c r="K11" s="16"/>
      <c r="L11" s="28"/>
      <c r="M11" s="16"/>
      <c r="N11" s="28"/>
      <c r="O11" s="16"/>
      <c r="P11" s="28"/>
      <c r="Q11" s="16"/>
      <c r="R11" s="28"/>
      <c r="S11" s="16"/>
      <c r="T11" s="28"/>
      <c r="U11" s="16"/>
      <c r="V11" s="28"/>
      <c r="W11" s="16"/>
      <c r="X11" s="28"/>
      <c r="Y11" s="16"/>
      <c r="Z11" s="28"/>
      <c r="AA11" s="59">
        <f t="shared" si="0"/>
        <v>0</v>
      </c>
      <c r="AB11" s="60"/>
      <c r="AC11" s="67">
        <f t="shared" si="1"/>
        <v>0</v>
      </c>
      <c r="AD11" s="68"/>
      <c r="AE11" s="44">
        <f t="shared" si="2"/>
        <v>0</v>
      </c>
      <c r="AF11" s="21">
        <f t="shared" si="3"/>
        <v>0</v>
      </c>
      <c r="AW11" s="99"/>
      <c r="AX11" s="99"/>
    </row>
    <row r="12" spans="1:50" ht="15.75" thickBot="1">
      <c r="A12" s="30">
        <v>5149</v>
      </c>
      <c r="B12" s="30" t="s">
        <v>66</v>
      </c>
      <c r="C12" s="31">
        <f>C5+C6-C7-C8-C9+C11</f>
        <v>0</v>
      </c>
      <c r="D12" s="52">
        <f>C12/C$145</f>
        <v>0</v>
      </c>
      <c r="E12" s="31">
        <f>E5+E6-E7-E8-E9+E11</f>
        <v>0</v>
      </c>
      <c r="F12" s="52">
        <f>E12/E$145</f>
        <v>0</v>
      </c>
      <c r="G12" s="31">
        <f>G5+G6-G7-G8-G9+G11</f>
        <v>0</v>
      </c>
      <c r="H12" s="52">
        <f>G12/G$145</f>
        <v>0</v>
      </c>
      <c r="I12" s="31">
        <f>I5+I6-I7-I8-I9+I11</f>
        <v>0</v>
      </c>
      <c r="J12" s="52">
        <f>I12/I$145</f>
        <v>0</v>
      </c>
      <c r="K12" s="31">
        <f>K5+K6-K7-K8-K9+K11</f>
        <v>0</v>
      </c>
      <c r="L12" s="52">
        <f>K12/K$145</f>
        <v>0</v>
      </c>
      <c r="M12" s="31">
        <f>M5+M6-M7-M8-M9+M11</f>
        <v>0</v>
      </c>
      <c r="N12" s="52">
        <f>M12/M$145</f>
        <v>0</v>
      </c>
      <c r="O12" s="31">
        <f>O5+O6-O7-O8-O9+O11</f>
        <v>0</v>
      </c>
      <c r="P12" s="52">
        <f>O12/O$145</f>
        <v>0</v>
      </c>
      <c r="Q12" s="31">
        <f>Q5+Q6-Q7-Q8-Q9+Q11</f>
        <v>0</v>
      </c>
      <c r="R12" s="52">
        <f>Q12/Q$145</f>
        <v>0</v>
      </c>
      <c r="S12" s="31">
        <f>S5+S6-S7-S8-S9+S11</f>
        <v>0</v>
      </c>
      <c r="T12" s="52">
        <f>S12/S$145</f>
        <v>0</v>
      </c>
      <c r="U12" s="31">
        <f>U5+U6-U7-U8-U9+U11</f>
        <v>0</v>
      </c>
      <c r="V12" s="52">
        <f>U12/U$145</f>
        <v>0</v>
      </c>
      <c r="W12" s="31">
        <f>W5+W6-W7-W8-W9+W11</f>
        <v>0</v>
      </c>
      <c r="X12" s="52">
        <f>W12/W$145</f>
        <v>0</v>
      </c>
      <c r="Y12" s="31">
        <f>Y5+Y6-Y7-Y8-Y9+Y11</f>
        <v>0</v>
      </c>
      <c r="Z12" s="52">
        <f>Y12/Y$145</f>
        <v>0</v>
      </c>
      <c r="AA12" s="61">
        <f>AA5+AA6-AA7-AA8-AA9+AA11</f>
        <v>0</v>
      </c>
      <c r="AB12" s="74">
        <f>AA12/AA$145</f>
        <v>0</v>
      </c>
      <c r="AC12" s="24">
        <f t="shared" si="1"/>
        <v>0</v>
      </c>
      <c r="AD12" s="77">
        <f>AC12/AC$145</f>
        <v>0</v>
      </c>
      <c r="AE12" s="44">
        <f t="shared" si="2"/>
        <v>0</v>
      </c>
      <c r="AF12" s="21">
        <f t="shared" si="3"/>
        <v>0</v>
      </c>
      <c r="AW12" s="99"/>
      <c r="AX12" s="99"/>
    </row>
    <row r="13" spans="1:50" ht="15.75" thickTop="1">
      <c r="A13" s="1">
        <v>5151</v>
      </c>
      <c r="B13" s="1" t="s">
        <v>47</v>
      </c>
      <c r="C13" s="16"/>
      <c r="D13" s="28"/>
      <c r="E13" s="16"/>
      <c r="F13" s="28">
        <f>E13/E$145</f>
        <v>0</v>
      </c>
      <c r="G13" s="16"/>
      <c r="H13" s="28">
        <f>G13/G$145</f>
        <v>0</v>
      </c>
      <c r="I13" s="16"/>
      <c r="J13" s="28">
        <f>I13/I$145</f>
        <v>0</v>
      </c>
      <c r="K13" s="16"/>
      <c r="L13" s="28">
        <f>K13/K$145</f>
        <v>0</v>
      </c>
      <c r="M13" s="16"/>
      <c r="N13" s="28">
        <f>M13/M$145</f>
        <v>0</v>
      </c>
      <c r="O13" s="16"/>
      <c r="P13" s="28">
        <f>O13/O$145</f>
        <v>0</v>
      </c>
      <c r="Q13" s="16"/>
      <c r="R13" s="28">
        <f>Q13/Q$145</f>
        <v>0</v>
      </c>
      <c r="S13" s="16"/>
      <c r="T13" s="28">
        <f>S13/S$145</f>
        <v>0</v>
      </c>
      <c r="U13" s="16"/>
      <c r="V13" s="28">
        <f>U13/U$145</f>
        <v>0</v>
      </c>
      <c r="W13" s="16"/>
      <c r="X13" s="28">
        <f>W13/W$145</f>
        <v>0</v>
      </c>
      <c r="Y13" s="16"/>
      <c r="Z13" s="28">
        <f>Y13/Y$145</f>
        <v>0</v>
      </c>
      <c r="AA13" s="59">
        <f t="shared" ref="AA13:AA14" si="4">C13+E13+G13+I13+K13+M13+O13+Q13+S13+U13+W13+Y13</f>
        <v>0</v>
      </c>
      <c r="AB13" s="60">
        <f>AA13/AA$145</f>
        <v>0</v>
      </c>
      <c r="AC13" s="67">
        <f t="shared" si="1"/>
        <v>0</v>
      </c>
      <c r="AD13" s="68">
        <f>AC13/AC$145</f>
        <v>0</v>
      </c>
      <c r="AE13" s="44">
        <f t="shared" si="2"/>
        <v>0</v>
      </c>
      <c r="AF13" s="21">
        <f t="shared" si="3"/>
        <v>0</v>
      </c>
      <c r="AW13" s="99"/>
      <c r="AX13" s="99"/>
    </row>
    <row r="14" spans="1:50">
      <c r="A14" s="1">
        <v>5152</v>
      </c>
      <c r="B14" s="1" t="s">
        <v>48</v>
      </c>
      <c r="C14" s="16"/>
      <c r="D14" s="28"/>
      <c r="E14" s="16"/>
      <c r="F14" s="28">
        <f>E14/E$145</f>
        <v>0</v>
      </c>
      <c r="G14" s="16"/>
      <c r="H14" s="28">
        <f>G14/G$145</f>
        <v>0</v>
      </c>
      <c r="I14" s="16"/>
      <c r="J14" s="28">
        <f>I14/I$145</f>
        <v>0</v>
      </c>
      <c r="K14" s="16"/>
      <c r="L14" s="28">
        <f>K14/K$145</f>
        <v>0</v>
      </c>
      <c r="M14" s="16"/>
      <c r="N14" s="28">
        <f>M14/M$145</f>
        <v>0</v>
      </c>
      <c r="O14" s="16"/>
      <c r="P14" s="28">
        <f>O14/O$145</f>
        <v>0</v>
      </c>
      <c r="Q14" s="16"/>
      <c r="R14" s="28">
        <f>Q14/Q$145</f>
        <v>0</v>
      </c>
      <c r="S14" s="16"/>
      <c r="T14" s="28">
        <f>S14/S$145</f>
        <v>0</v>
      </c>
      <c r="U14" s="16"/>
      <c r="V14" s="28">
        <f>U14/U$145</f>
        <v>0</v>
      </c>
      <c r="W14" s="16"/>
      <c r="X14" s="28">
        <f>W14/W$145</f>
        <v>0</v>
      </c>
      <c r="Y14" s="16"/>
      <c r="Z14" s="28">
        <f>Y14/Y$145</f>
        <v>0</v>
      </c>
      <c r="AA14" s="59">
        <f t="shared" si="4"/>
        <v>0</v>
      </c>
      <c r="AB14" s="60">
        <f>AA14/AA$145</f>
        <v>0</v>
      </c>
      <c r="AC14" s="67">
        <f t="shared" si="1"/>
        <v>0</v>
      </c>
      <c r="AD14" s="68">
        <f>AC14/AC$145</f>
        <v>0</v>
      </c>
      <c r="AE14" s="44">
        <f t="shared" si="2"/>
        <v>0</v>
      </c>
      <c r="AF14" s="21">
        <f t="shared" si="3"/>
        <v>0</v>
      </c>
      <c r="AW14" s="99"/>
      <c r="AX14" s="99"/>
    </row>
    <row r="15" spans="1:50" ht="15.75" thickBot="1">
      <c r="A15" s="30">
        <v>5198</v>
      </c>
      <c r="B15" s="30" t="s">
        <v>96</v>
      </c>
      <c r="C15" s="32">
        <f>C13+C14</f>
        <v>0</v>
      </c>
      <c r="D15" s="53">
        <f>C15/C$145</f>
        <v>0</v>
      </c>
      <c r="E15" s="32">
        <f>E13+E14</f>
        <v>0</v>
      </c>
      <c r="F15" s="53">
        <f>E15/E$145</f>
        <v>0</v>
      </c>
      <c r="G15" s="32">
        <f>G13+G14</f>
        <v>0</v>
      </c>
      <c r="H15" s="53">
        <f>G15/G$145</f>
        <v>0</v>
      </c>
      <c r="I15" s="32">
        <f>I13+I14</f>
        <v>0</v>
      </c>
      <c r="J15" s="53">
        <f>I15/I$145</f>
        <v>0</v>
      </c>
      <c r="K15" s="32">
        <f>K13+K14</f>
        <v>0</v>
      </c>
      <c r="L15" s="53">
        <f>K15/K$145</f>
        <v>0</v>
      </c>
      <c r="M15" s="32">
        <f>M13+M14</f>
        <v>0</v>
      </c>
      <c r="N15" s="53">
        <f>M15/M$145</f>
        <v>0</v>
      </c>
      <c r="O15" s="32">
        <f>O13+O14</f>
        <v>0</v>
      </c>
      <c r="P15" s="53">
        <f>O15/O$145</f>
        <v>0</v>
      </c>
      <c r="Q15" s="32">
        <f>Q13+Q14</f>
        <v>0</v>
      </c>
      <c r="R15" s="53">
        <f>Q15/Q$145</f>
        <v>0</v>
      </c>
      <c r="S15" s="32">
        <f>S13+S14</f>
        <v>0</v>
      </c>
      <c r="T15" s="53">
        <f>S15/S$145</f>
        <v>0</v>
      </c>
      <c r="U15" s="32">
        <f>U13+U14</f>
        <v>0</v>
      </c>
      <c r="V15" s="53">
        <f>U15/U$145</f>
        <v>0</v>
      </c>
      <c r="W15" s="32">
        <f>W13+W14</f>
        <v>0</v>
      </c>
      <c r="X15" s="53">
        <f>W15/W$145</f>
        <v>0</v>
      </c>
      <c r="Y15" s="32">
        <f>Y13+Y14</f>
        <v>0</v>
      </c>
      <c r="Z15" s="53">
        <f>Y15/Y$145</f>
        <v>0</v>
      </c>
      <c r="AA15" s="61">
        <f>AA13+AA14</f>
        <v>0</v>
      </c>
      <c r="AB15" s="73">
        <f>AA15/AA$145</f>
        <v>0</v>
      </c>
      <c r="AC15" s="24">
        <f t="shared" si="1"/>
        <v>0</v>
      </c>
      <c r="AD15" s="78">
        <f>AC15/AC$145</f>
        <v>0</v>
      </c>
      <c r="AE15" s="44">
        <f t="shared" si="2"/>
        <v>0</v>
      </c>
      <c r="AF15" s="21">
        <f t="shared" si="3"/>
        <v>0</v>
      </c>
      <c r="AW15" s="99"/>
      <c r="AX15" s="99"/>
    </row>
    <row r="16" spans="1:50" ht="16.5" thickTop="1" thickBot="1">
      <c r="A16" s="25">
        <v>5199</v>
      </c>
      <c r="B16" s="25" t="s">
        <v>70</v>
      </c>
      <c r="C16" s="103">
        <f>C12+C15</f>
        <v>0</v>
      </c>
      <c r="D16" s="47">
        <f>C16/C$145</f>
        <v>0</v>
      </c>
      <c r="E16" s="18">
        <f>E12+E15</f>
        <v>0</v>
      </c>
      <c r="F16" s="47">
        <f>E16/E$145</f>
        <v>0</v>
      </c>
      <c r="G16" s="18">
        <f>G12+G15</f>
        <v>0</v>
      </c>
      <c r="H16" s="47">
        <f>G16/G$145</f>
        <v>0</v>
      </c>
      <c r="I16" s="18">
        <f>I12+I15</f>
        <v>0</v>
      </c>
      <c r="J16" s="47">
        <f>I16/I$145</f>
        <v>0</v>
      </c>
      <c r="K16" s="18">
        <f>K12+K15</f>
        <v>0</v>
      </c>
      <c r="L16" s="47">
        <f>K16/K$145</f>
        <v>0</v>
      </c>
      <c r="M16" s="18">
        <f>M12+M15</f>
        <v>0</v>
      </c>
      <c r="N16" s="47">
        <f>M16/M$145</f>
        <v>0</v>
      </c>
      <c r="O16" s="18">
        <f>O12+O15</f>
        <v>0</v>
      </c>
      <c r="P16" s="47">
        <f>O16/O$145</f>
        <v>0</v>
      </c>
      <c r="Q16" s="18">
        <f>Q12+Q15</f>
        <v>0</v>
      </c>
      <c r="R16" s="47">
        <f>Q16/Q$145</f>
        <v>0</v>
      </c>
      <c r="S16" s="18">
        <f>S12+S15</f>
        <v>0</v>
      </c>
      <c r="T16" s="47">
        <f>S16/S$145</f>
        <v>0</v>
      </c>
      <c r="U16" s="18">
        <f>U12+U15</f>
        <v>0</v>
      </c>
      <c r="V16" s="47">
        <f>U16/U$145</f>
        <v>0</v>
      </c>
      <c r="W16" s="18">
        <f>W12+W15</f>
        <v>0</v>
      </c>
      <c r="X16" s="47">
        <f>W16/W$145</f>
        <v>0</v>
      </c>
      <c r="Y16" s="18">
        <f>Y12+Y15</f>
        <v>0</v>
      </c>
      <c r="Z16" s="47">
        <f>Y16/Y$145</f>
        <v>0</v>
      </c>
      <c r="AA16" s="62">
        <f>AA12+AA15</f>
        <v>0</v>
      </c>
      <c r="AB16" s="74">
        <f>AA16/AA$145</f>
        <v>0</v>
      </c>
      <c r="AC16" s="69">
        <f t="shared" si="1"/>
        <v>0</v>
      </c>
      <c r="AD16" s="77">
        <f>AC16/AC$145</f>
        <v>0</v>
      </c>
      <c r="AE16" s="44">
        <f t="shared" si="2"/>
        <v>0</v>
      </c>
      <c r="AF16" s="21">
        <f t="shared" si="3"/>
        <v>0</v>
      </c>
      <c r="AW16" s="99"/>
      <c r="AX16" s="99"/>
    </row>
    <row r="17" spans="1:50" ht="15.75" thickTop="1">
      <c r="A17" s="10">
        <v>5502</v>
      </c>
      <c r="B17" s="5" t="s">
        <v>49</v>
      </c>
      <c r="C17" s="85"/>
      <c r="D17" s="28"/>
      <c r="E17" s="16"/>
      <c r="F17" s="28"/>
      <c r="G17" s="16"/>
      <c r="H17" s="28"/>
      <c r="I17" s="16"/>
      <c r="J17" s="28"/>
      <c r="K17" s="16"/>
      <c r="L17" s="28"/>
      <c r="M17" s="16"/>
      <c r="N17" s="28"/>
      <c r="O17" s="16"/>
      <c r="P17" s="28"/>
      <c r="Q17" s="16"/>
      <c r="R17" s="28"/>
      <c r="S17" s="16"/>
      <c r="T17" s="28"/>
      <c r="U17" s="16"/>
      <c r="V17" s="28"/>
      <c r="W17" s="16"/>
      <c r="X17" s="28"/>
      <c r="Y17" s="16"/>
      <c r="Z17" s="28"/>
      <c r="AA17" s="59">
        <f t="shared" ref="AA17:AA20" si="5">C17+E17+G17+I17+K17+M17+O17+Q17+S17+U17+W17+Y17</f>
        <v>0</v>
      </c>
      <c r="AB17" s="60"/>
      <c r="AC17" s="67">
        <f t="shared" si="1"/>
        <v>0</v>
      </c>
      <c r="AD17" s="68"/>
      <c r="AE17" s="44">
        <f t="shared" si="2"/>
        <v>0</v>
      </c>
      <c r="AF17" s="21">
        <f t="shared" si="3"/>
        <v>0</v>
      </c>
      <c r="AW17" s="99"/>
      <c r="AX17" s="99"/>
    </row>
    <row r="18" spans="1:50">
      <c r="A18" s="3">
        <v>5503</v>
      </c>
      <c r="B18" s="3" t="s">
        <v>50</v>
      </c>
      <c r="C18" s="16"/>
      <c r="D18" s="28"/>
      <c r="E18" s="16"/>
      <c r="F18" s="28"/>
      <c r="G18" s="16"/>
      <c r="H18" s="28"/>
      <c r="I18" s="16"/>
      <c r="J18" s="28"/>
      <c r="K18" s="16"/>
      <c r="L18" s="28"/>
      <c r="M18" s="16"/>
      <c r="N18" s="28"/>
      <c r="O18" s="16"/>
      <c r="P18" s="28"/>
      <c r="Q18" s="16"/>
      <c r="R18" s="28"/>
      <c r="S18" s="16"/>
      <c r="T18" s="28"/>
      <c r="U18" s="16"/>
      <c r="V18" s="28"/>
      <c r="W18" s="16"/>
      <c r="X18" s="28"/>
      <c r="Y18" s="16"/>
      <c r="Z18" s="28"/>
      <c r="AA18" s="59">
        <f t="shared" si="5"/>
        <v>0</v>
      </c>
      <c r="AB18" s="60"/>
      <c r="AC18" s="67">
        <f t="shared" si="1"/>
        <v>0</v>
      </c>
      <c r="AD18" s="68"/>
      <c r="AE18" s="44">
        <f t="shared" si="2"/>
        <v>0</v>
      </c>
      <c r="AF18" s="21">
        <f t="shared" si="3"/>
        <v>0</v>
      </c>
      <c r="AW18" s="99"/>
      <c r="AX18" s="99"/>
    </row>
    <row r="19" spans="1:50">
      <c r="A19" s="3">
        <v>5504</v>
      </c>
      <c r="B19" s="3" t="s">
        <v>51</v>
      </c>
      <c r="C19" s="16"/>
      <c r="D19" s="28"/>
      <c r="E19" s="16"/>
      <c r="F19" s="28"/>
      <c r="G19" s="16"/>
      <c r="H19" s="28"/>
      <c r="I19" s="16"/>
      <c r="J19" s="28"/>
      <c r="K19" s="16"/>
      <c r="L19" s="28"/>
      <c r="M19" s="16"/>
      <c r="N19" s="28"/>
      <c r="O19" s="16"/>
      <c r="P19" s="28"/>
      <c r="Q19" s="16"/>
      <c r="R19" s="28"/>
      <c r="S19" s="16"/>
      <c r="T19" s="28"/>
      <c r="U19" s="16"/>
      <c r="V19" s="28"/>
      <c r="W19" s="16"/>
      <c r="X19" s="28"/>
      <c r="Y19" s="16"/>
      <c r="Z19" s="28"/>
      <c r="AA19" s="59">
        <f t="shared" si="5"/>
        <v>0</v>
      </c>
      <c r="AB19" s="60"/>
      <c r="AC19" s="67">
        <f t="shared" si="1"/>
        <v>0</v>
      </c>
      <c r="AD19" s="68"/>
      <c r="AE19" s="44">
        <f t="shared" si="2"/>
        <v>0</v>
      </c>
      <c r="AF19" s="21">
        <f t="shared" si="3"/>
        <v>0</v>
      </c>
      <c r="AW19" s="99"/>
      <c r="AX19" s="99"/>
    </row>
    <row r="20" spans="1:50">
      <c r="A20" s="3">
        <v>5505</v>
      </c>
      <c r="B20" s="3" t="s">
        <v>52</v>
      </c>
      <c r="C20" s="16"/>
      <c r="D20" s="28"/>
      <c r="E20" s="16"/>
      <c r="F20" s="28"/>
      <c r="G20" s="16"/>
      <c r="H20" s="28"/>
      <c r="I20" s="16"/>
      <c r="J20" s="28"/>
      <c r="K20" s="16"/>
      <c r="L20" s="28"/>
      <c r="M20" s="16"/>
      <c r="N20" s="28"/>
      <c r="O20" s="16"/>
      <c r="P20" s="28"/>
      <c r="Q20" s="16"/>
      <c r="R20" s="28"/>
      <c r="S20" s="16"/>
      <c r="T20" s="28"/>
      <c r="U20" s="16"/>
      <c r="V20" s="28"/>
      <c r="W20" s="16"/>
      <c r="X20" s="28"/>
      <c r="Y20" s="16"/>
      <c r="Z20" s="28"/>
      <c r="AA20" s="59">
        <f t="shared" si="5"/>
        <v>0</v>
      </c>
      <c r="AB20" s="60"/>
      <c r="AC20" s="67">
        <f t="shared" si="1"/>
        <v>0</v>
      </c>
      <c r="AD20" s="68"/>
      <c r="AE20" s="44">
        <f t="shared" si="2"/>
        <v>0</v>
      </c>
      <c r="AF20" s="21">
        <f t="shared" si="3"/>
        <v>0</v>
      </c>
      <c r="AW20" s="99"/>
      <c r="AX20" s="99"/>
    </row>
    <row r="21" spans="1:50" ht="15.75" thickBot="1">
      <c r="A21" s="33">
        <v>5599</v>
      </c>
      <c r="B21" s="33" t="s">
        <v>97</v>
      </c>
      <c r="C21" s="31">
        <f>SUM(C17:C20)</f>
        <v>0</v>
      </c>
      <c r="D21" s="52">
        <f t="shared" ref="D21:D37" si="6">C21/C$145</f>
        <v>0</v>
      </c>
      <c r="E21" s="31">
        <f>SUM(E17:E20)</f>
        <v>0</v>
      </c>
      <c r="F21" s="52">
        <f t="shared" ref="F21:F37" si="7">E21/E$145</f>
        <v>0</v>
      </c>
      <c r="G21" s="31">
        <f>SUM(G17:G20)</f>
        <v>0</v>
      </c>
      <c r="H21" s="52">
        <f t="shared" ref="H21:H37" si="8">G21/G$145</f>
        <v>0</v>
      </c>
      <c r="I21" s="31">
        <f>SUM(I17:I20)</f>
        <v>0</v>
      </c>
      <c r="J21" s="52">
        <f t="shared" ref="J21:J37" si="9">I21/I$145</f>
        <v>0</v>
      </c>
      <c r="K21" s="31">
        <f>SUM(K17:K20)</f>
        <v>0</v>
      </c>
      <c r="L21" s="52">
        <f t="shared" ref="L21:L37" si="10">K21/K$145</f>
        <v>0</v>
      </c>
      <c r="M21" s="31">
        <f>SUM(M17:M20)</f>
        <v>0</v>
      </c>
      <c r="N21" s="52">
        <f t="shared" ref="N21:N37" si="11">M21/M$145</f>
        <v>0</v>
      </c>
      <c r="O21" s="31">
        <f>SUM(O17:O20)</f>
        <v>0</v>
      </c>
      <c r="P21" s="52">
        <f t="shared" ref="P21:P37" si="12">O21/O$145</f>
        <v>0</v>
      </c>
      <c r="Q21" s="31">
        <f>SUM(Q17:Q20)</f>
        <v>0</v>
      </c>
      <c r="R21" s="52">
        <f t="shared" ref="R21:R37" si="13">Q21/Q$145</f>
        <v>0</v>
      </c>
      <c r="S21" s="31">
        <f>SUM(S17:S20)</f>
        <v>0</v>
      </c>
      <c r="T21" s="52">
        <f t="shared" ref="T21:T37" si="14">S21/S$145</f>
        <v>0</v>
      </c>
      <c r="U21" s="31">
        <f>SUM(U17:U20)</f>
        <v>0</v>
      </c>
      <c r="V21" s="52">
        <f t="shared" ref="V21:V37" si="15">U21/U$145</f>
        <v>0</v>
      </c>
      <c r="W21" s="31">
        <f>SUM(W17:W20)</f>
        <v>0</v>
      </c>
      <c r="X21" s="52">
        <f t="shared" ref="X21:X37" si="16">W21/W$145</f>
        <v>0</v>
      </c>
      <c r="Y21" s="31">
        <f>SUM(Y17:Y20)</f>
        <v>0</v>
      </c>
      <c r="Z21" s="52">
        <f t="shared" ref="Z21:Z37" si="17">Y21/Y$145</f>
        <v>0</v>
      </c>
      <c r="AA21" s="61">
        <f>SUM(AA17:AA20)</f>
        <v>0</v>
      </c>
      <c r="AB21" s="74">
        <f t="shared" ref="AB21:AB37" si="18">AA21/AA$145</f>
        <v>0</v>
      </c>
      <c r="AC21" s="24">
        <f t="shared" si="1"/>
        <v>0</v>
      </c>
      <c r="AD21" s="77">
        <f t="shared" ref="AD21:AD37" si="19">AC21/AC$145</f>
        <v>0</v>
      </c>
      <c r="AE21" s="44">
        <f t="shared" si="2"/>
        <v>0</v>
      </c>
      <c r="AF21" s="21">
        <f t="shared" si="3"/>
        <v>0</v>
      </c>
      <c r="AW21" s="99"/>
      <c r="AX21" s="99"/>
    </row>
    <row r="22" spans="1:50" ht="15.75" thickTop="1">
      <c r="A22" s="3">
        <v>5601</v>
      </c>
      <c r="B22" s="3" t="s">
        <v>53</v>
      </c>
      <c r="C22" s="16"/>
      <c r="D22" s="28">
        <f t="shared" si="6"/>
        <v>0</v>
      </c>
      <c r="E22" s="16"/>
      <c r="F22" s="28">
        <f t="shared" si="7"/>
        <v>0</v>
      </c>
      <c r="G22" s="16"/>
      <c r="H22" s="28">
        <f t="shared" si="8"/>
        <v>0</v>
      </c>
      <c r="I22" s="16"/>
      <c r="J22" s="28">
        <f t="shared" si="9"/>
        <v>0</v>
      </c>
      <c r="K22" s="16"/>
      <c r="L22" s="28">
        <f t="shared" si="10"/>
        <v>0</v>
      </c>
      <c r="M22" s="16"/>
      <c r="N22" s="28">
        <f t="shared" si="11"/>
        <v>0</v>
      </c>
      <c r="O22" s="16"/>
      <c r="P22" s="28">
        <f t="shared" si="12"/>
        <v>0</v>
      </c>
      <c r="Q22" s="16"/>
      <c r="R22" s="28">
        <f t="shared" si="13"/>
        <v>0</v>
      </c>
      <c r="S22" s="16"/>
      <c r="T22" s="28">
        <f t="shared" si="14"/>
        <v>0</v>
      </c>
      <c r="U22" s="16"/>
      <c r="V22" s="28">
        <f t="shared" si="15"/>
        <v>0</v>
      </c>
      <c r="W22" s="16"/>
      <c r="X22" s="28">
        <f t="shared" si="16"/>
        <v>0</v>
      </c>
      <c r="Y22" s="16"/>
      <c r="Z22" s="28">
        <f t="shared" si="17"/>
        <v>0</v>
      </c>
      <c r="AA22" s="59">
        <f t="shared" ref="AA22:AA34" si="20">C22+E22+G22+I22+K22+M22+O22+Q22+S22+U22+W22+Y22</f>
        <v>0</v>
      </c>
      <c r="AB22" s="60">
        <f t="shared" si="18"/>
        <v>0</v>
      </c>
      <c r="AC22" s="67">
        <f t="shared" si="1"/>
        <v>0</v>
      </c>
      <c r="AD22" s="68">
        <f t="shared" si="19"/>
        <v>0</v>
      </c>
      <c r="AE22" s="44">
        <f t="shared" si="2"/>
        <v>0</v>
      </c>
      <c r="AF22" s="21">
        <f t="shared" si="3"/>
        <v>0</v>
      </c>
      <c r="AW22" s="99"/>
      <c r="AX22" s="99"/>
    </row>
    <row r="23" spans="1:50">
      <c r="A23" s="3">
        <v>5602</v>
      </c>
      <c r="B23" s="3" t="s">
        <v>54</v>
      </c>
      <c r="C23" s="16"/>
      <c r="D23" s="28">
        <f t="shared" si="6"/>
        <v>0</v>
      </c>
      <c r="E23" s="16"/>
      <c r="F23" s="28">
        <f t="shared" si="7"/>
        <v>0</v>
      </c>
      <c r="G23" s="16"/>
      <c r="H23" s="28">
        <f t="shared" si="8"/>
        <v>0</v>
      </c>
      <c r="I23" s="16"/>
      <c r="J23" s="28">
        <f t="shared" si="9"/>
        <v>0</v>
      </c>
      <c r="K23" s="16"/>
      <c r="L23" s="28">
        <f t="shared" si="10"/>
        <v>0</v>
      </c>
      <c r="M23" s="16"/>
      <c r="N23" s="28">
        <f t="shared" si="11"/>
        <v>0</v>
      </c>
      <c r="O23" s="16"/>
      <c r="P23" s="28">
        <f t="shared" si="12"/>
        <v>0</v>
      </c>
      <c r="Q23" s="16"/>
      <c r="R23" s="28">
        <f t="shared" si="13"/>
        <v>0</v>
      </c>
      <c r="S23" s="16"/>
      <c r="T23" s="28">
        <f t="shared" si="14"/>
        <v>0</v>
      </c>
      <c r="U23" s="16"/>
      <c r="V23" s="28">
        <f t="shared" si="15"/>
        <v>0</v>
      </c>
      <c r="W23" s="16"/>
      <c r="X23" s="28">
        <f t="shared" si="16"/>
        <v>0</v>
      </c>
      <c r="Y23" s="16"/>
      <c r="Z23" s="28">
        <f t="shared" si="17"/>
        <v>0</v>
      </c>
      <c r="AA23" s="59">
        <f t="shared" si="20"/>
        <v>0</v>
      </c>
      <c r="AB23" s="60">
        <f t="shared" si="18"/>
        <v>0</v>
      </c>
      <c r="AC23" s="67">
        <f t="shared" si="1"/>
        <v>0</v>
      </c>
      <c r="AD23" s="68">
        <f t="shared" si="19"/>
        <v>0</v>
      </c>
      <c r="AE23" s="44">
        <f t="shared" si="2"/>
        <v>0</v>
      </c>
      <c r="AF23" s="21">
        <f t="shared" si="3"/>
        <v>0</v>
      </c>
      <c r="AW23" s="99"/>
      <c r="AX23" s="99"/>
    </row>
    <row r="24" spans="1:50">
      <c r="A24" s="3">
        <v>5603</v>
      </c>
      <c r="B24" s="3" t="s">
        <v>55</v>
      </c>
      <c r="C24" s="16"/>
      <c r="D24" s="28">
        <f t="shared" si="6"/>
        <v>0</v>
      </c>
      <c r="E24" s="16"/>
      <c r="F24" s="28">
        <f t="shared" si="7"/>
        <v>0</v>
      </c>
      <c r="G24" s="16"/>
      <c r="H24" s="28">
        <f t="shared" si="8"/>
        <v>0</v>
      </c>
      <c r="I24" s="16"/>
      <c r="J24" s="28">
        <f t="shared" si="9"/>
        <v>0</v>
      </c>
      <c r="K24" s="16"/>
      <c r="L24" s="28">
        <f t="shared" si="10"/>
        <v>0</v>
      </c>
      <c r="M24" s="16"/>
      <c r="N24" s="28">
        <f t="shared" si="11"/>
        <v>0</v>
      </c>
      <c r="O24" s="16"/>
      <c r="P24" s="28">
        <f t="shared" si="12"/>
        <v>0</v>
      </c>
      <c r="Q24" s="16"/>
      <c r="R24" s="28">
        <f t="shared" si="13"/>
        <v>0</v>
      </c>
      <c r="S24" s="16"/>
      <c r="T24" s="28">
        <f t="shared" si="14"/>
        <v>0</v>
      </c>
      <c r="U24" s="16"/>
      <c r="V24" s="28">
        <f t="shared" si="15"/>
        <v>0</v>
      </c>
      <c r="W24" s="16"/>
      <c r="X24" s="28">
        <f t="shared" si="16"/>
        <v>0</v>
      </c>
      <c r="Y24" s="16"/>
      <c r="Z24" s="28">
        <f t="shared" si="17"/>
        <v>0</v>
      </c>
      <c r="AA24" s="59">
        <f t="shared" si="20"/>
        <v>0</v>
      </c>
      <c r="AB24" s="60">
        <f t="shared" si="18"/>
        <v>0</v>
      </c>
      <c r="AC24" s="67">
        <f t="shared" si="1"/>
        <v>0</v>
      </c>
      <c r="AD24" s="68">
        <f t="shared" si="19"/>
        <v>0</v>
      </c>
      <c r="AE24" s="44">
        <f t="shared" si="2"/>
        <v>0</v>
      </c>
      <c r="AF24" s="21">
        <f t="shared" si="3"/>
        <v>0</v>
      </c>
      <c r="AW24" s="99"/>
      <c r="AX24" s="99"/>
    </row>
    <row r="25" spans="1:50">
      <c r="A25" s="3">
        <v>5604</v>
      </c>
      <c r="B25" s="3" t="s">
        <v>56</v>
      </c>
      <c r="C25" s="16"/>
      <c r="D25" s="28">
        <f t="shared" si="6"/>
        <v>0</v>
      </c>
      <c r="E25" s="16"/>
      <c r="F25" s="28">
        <f t="shared" si="7"/>
        <v>0</v>
      </c>
      <c r="G25" s="16"/>
      <c r="H25" s="28">
        <f t="shared" si="8"/>
        <v>0</v>
      </c>
      <c r="I25" s="16"/>
      <c r="J25" s="28">
        <f t="shared" si="9"/>
        <v>0</v>
      </c>
      <c r="K25" s="16"/>
      <c r="L25" s="28">
        <f t="shared" si="10"/>
        <v>0</v>
      </c>
      <c r="M25" s="16"/>
      <c r="N25" s="28">
        <f t="shared" si="11"/>
        <v>0</v>
      </c>
      <c r="O25" s="16"/>
      <c r="P25" s="28">
        <f t="shared" si="12"/>
        <v>0</v>
      </c>
      <c r="Q25" s="16"/>
      <c r="R25" s="28">
        <f t="shared" si="13"/>
        <v>0</v>
      </c>
      <c r="S25" s="16"/>
      <c r="T25" s="28">
        <f t="shared" si="14"/>
        <v>0</v>
      </c>
      <c r="U25" s="16"/>
      <c r="V25" s="28">
        <f t="shared" si="15"/>
        <v>0</v>
      </c>
      <c r="W25" s="16"/>
      <c r="X25" s="28">
        <f t="shared" si="16"/>
        <v>0</v>
      </c>
      <c r="Y25" s="16"/>
      <c r="Z25" s="28">
        <f t="shared" si="17"/>
        <v>0</v>
      </c>
      <c r="AA25" s="59">
        <f t="shared" si="20"/>
        <v>0</v>
      </c>
      <c r="AB25" s="60">
        <f t="shared" si="18"/>
        <v>0</v>
      </c>
      <c r="AC25" s="67">
        <f t="shared" si="1"/>
        <v>0</v>
      </c>
      <c r="AD25" s="68">
        <f t="shared" si="19"/>
        <v>0</v>
      </c>
      <c r="AE25" s="44">
        <f t="shared" si="2"/>
        <v>0</v>
      </c>
      <c r="AF25" s="21">
        <f t="shared" si="3"/>
        <v>0</v>
      </c>
      <c r="AW25" s="99"/>
      <c r="AX25" s="99"/>
    </row>
    <row r="26" spans="1:50">
      <c r="A26" s="3">
        <v>5605</v>
      </c>
      <c r="B26" s="3" t="s">
        <v>14</v>
      </c>
      <c r="C26" s="16"/>
      <c r="D26" s="28">
        <f t="shared" si="6"/>
        <v>0</v>
      </c>
      <c r="E26" s="16"/>
      <c r="F26" s="28">
        <f t="shared" si="7"/>
        <v>0</v>
      </c>
      <c r="G26" s="16"/>
      <c r="H26" s="28">
        <f t="shared" si="8"/>
        <v>0</v>
      </c>
      <c r="I26" s="16"/>
      <c r="J26" s="28">
        <f t="shared" si="9"/>
        <v>0</v>
      </c>
      <c r="K26" s="16"/>
      <c r="L26" s="28">
        <f t="shared" si="10"/>
        <v>0</v>
      </c>
      <c r="M26" s="16"/>
      <c r="N26" s="28">
        <f t="shared" si="11"/>
        <v>0</v>
      </c>
      <c r="O26" s="16"/>
      <c r="P26" s="28">
        <f t="shared" si="12"/>
        <v>0</v>
      </c>
      <c r="Q26" s="16"/>
      <c r="R26" s="28">
        <f t="shared" si="13"/>
        <v>0</v>
      </c>
      <c r="S26" s="16"/>
      <c r="T26" s="28">
        <f t="shared" si="14"/>
        <v>0</v>
      </c>
      <c r="U26" s="16"/>
      <c r="V26" s="28">
        <f t="shared" si="15"/>
        <v>0</v>
      </c>
      <c r="W26" s="16"/>
      <c r="X26" s="28">
        <f t="shared" si="16"/>
        <v>0</v>
      </c>
      <c r="Y26" s="16"/>
      <c r="Z26" s="28">
        <f t="shared" si="17"/>
        <v>0</v>
      </c>
      <c r="AA26" s="59">
        <f t="shared" si="20"/>
        <v>0</v>
      </c>
      <c r="AB26" s="60">
        <f t="shared" si="18"/>
        <v>0</v>
      </c>
      <c r="AC26" s="67">
        <f t="shared" si="1"/>
        <v>0</v>
      </c>
      <c r="AD26" s="68">
        <f t="shared" si="19"/>
        <v>0</v>
      </c>
      <c r="AE26" s="44">
        <f t="shared" si="2"/>
        <v>0</v>
      </c>
      <c r="AF26" s="21">
        <f t="shared" si="3"/>
        <v>0</v>
      </c>
      <c r="AW26" s="99"/>
      <c r="AX26" s="99"/>
    </row>
    <row r="27" spans="1:50">
      <c r="A27" s="3">
        <v>5606</v>
      </c>
      <c r="B27" s="3" t="s">
        <v>77</v>
      </c>
      <c r="C27" s="16"/>
      <c r="D27" s="28">
        <f t="shared" si="6"/>
        <v>0</v>
      </c>
      <c r="E27" s="16"/>
      <c r="F27" s="28">
        <f t="shared" si="7"/>
        <v>0</v>
      </c>
      <c r="G27" s="16"/>
      <c r="H27" s="28">
        <f t="shared" si="8"/>
        <v>0</v>
      </c>
      <c r="I27" s="16"/>
      <c r="J27" s="28">
        <f t="shared" si="9"/>
        <v>0</v>
      </c>
      <c r="K27" s="16"/>
      <c r="L27" s="28">
        <f t="shared" si="10"/>
        <v>0</v>
      </c>
      <c r="M27" s="16"/>
      <c r="N27" s="28">
        <f t="shared" si="11"/>
        <v>0</v>
      </c>
      <c r="O27" s="16"/>
      <c r="P27" s="28">
        <f t="shared" si="12"/>
        <v>0</v>
      </c>
      <c r="Q27" s="16"/>
      <c r="R27" s="28">
        <f t="shared" si="13"/>
        <v>0</v>
      </c>
      <c r="S27" s="16"/>
      <c r="T27" s="28">
        <f t="shared" si="14"/>
        <v>0</v>
      </c>
      <c r="U27" s="16"/>
      <c r="V27" s="28">
        <f t="shared" si="15"/>
        <v>0</v>
      </c>
      <c r="W27" s="16"/>
      <c r="X27" s="28">
        <f t="shared" si="16"/>
        <v>0</v>
      </c>
      <c r="Y27" s="16"/>
      <c r="Z27" s="28">
        <f t="shared" si="17"/>
        <v>0</v>
      </c>
      <c r="AA27" s="59">
        <f t="shared" si="20"/>
        <v>0</v>
      </c>
      <c r="AB27" s="60">
        <f t="shared" si="18"/>
        <v>0</v>
      </c>
      <c r="AC27" s="67">
        <f t="shared" si="1"/>
        <v>0</v>
      </c>
      <c r="AD27" s="68">
        <f t="shared" si="19"/>
        <v>0</v>
      </c>
      <c r="AE27" s="44">
        <f t="shared" si="2"/>
        <v>0</v>
      </c>
      <c r="AF27" s="21">
        <f t="shared" si="3"/>
        <v>0</v>
      </c>
      <c r="AW27" s="99"/>
      <c r="AX27" s="99"/>
    </row>
    <row r="28" spans="1:50">
      <c r="A28" s="3">
        <v>5607</v>
      </c>
      <c r="B28" s="3" t="s">
        <v>57</v>
      </c>
      <c r="C28" s="16"/>
      <c r="D28" s="28">
        <f t="shared" si="6"/>
        <v>0</v>
      </c>
      <c r="E28" s="16"/>
      <c r="F28" s="28">
        <f t="shared" si="7"/>
        <v>0</v>
      </c>
      <c r="G28" s="16"/>
      <c r="H28" s="28">
        <f t="shared" si="8"/>
        <v>0</v>
      </c>
      <c r="I28" s="16"/>
      <c r="J28" s="28">
        <f t="shared" si="9"/>
        <v>0</v>
      </c>
      <c r="K28" s="16"/>
      <c r="L28" s="28">
        <f t="shared" si="10"/>
        <v>0</v>
      </c>
      <c r="M28" s="16"/>
      <c r="N28" s="28">
        <f t="shared" si="11"/>
        <v>0</v>
      </c>
      <c r="O28" s="16"/>
      <c r="P28" s="28">
        <f t="shared" si="12"/>
        <v>0</v>
      </c>
      <c r="Q28" s="16"/>
      <c r="R28" s="28">
        <f t="shared" si="13"/>
        <v>0</v>
      </c>
      <c r="S28" s="16"/>
      <c r="T28" s="28">
        <f t="shared" si="14"/>
        <v>0</v>
      </c>
      <c r="U28" s="16"/>
      <c r="V28" s="28">
        <f t="shared" si="15"/>
        <v>0</v>
      </c>
      <c r="W28" s="16"/>
      <c r="X28" s="28">
        <f t="shared" si="16"/>
        <v>0</v>
      </c>
      <c r="Y28" s="16"/>
      <c r="Z28" s="28">
        <f t="shared" si="17"/>
        <v>0</v>
      </c>
      <c r="AA28" s="59">
        <f t="shared" si="20"/>
        <v>0</v>
      </c>
      <c r="AB28" s="60">
        <f t="shared" si="18"/>
        <v>0</v>
      </c>
      <c r="AC28" s="67">
        <f t="shared" si="1"/>
        <v>0</v>
      </c>
      <c r="AD28" s="68">
        <f t="shared" si="19"/>
        <v>0</v>
      </c>
      <c r="AE28" s="44">
        <f t="shared" si="2"/>
        <v>0</v>
      </c>
      <c r="AF28" s="21">
        <f t="shared" si="3"/>
        <v>0</v>
      </c>
      <c r="AW28" s="99"/>
      <c r="AX28" s="99"/>
    </row>
    <row r="29" spans="1:50">
      <c r="A29" s="3">
        <v>5608</v>
      </c>
      <c r="B29" s="3" t="s">
        <v>58</v>
      </c>
      <c r="C29" s="16"/>
      <c r="D29" s="28">
        <f t="shared" si="6"/>
        <v>0</v>
      </c>
      <c r="E29" s="16"/>
      <c r="F29" s="28">
        <f t="shared" si="7"/>
        <v>0</v>
      </c>
      <c r="G29" s="16"/>
      <c r="H29" s="28">
        <f t="shared" si="8"/>
        <v>0</v>
      </c>
      <c r="I29" s="16"/>
      <c r="J29" s="28">
        <f t="shared" si="9"/>
        <v>0</v>
      </c>
      <c r="K29" s="16"/>
      <c r="L29" s="28">
        <f t="shared" si="10"/>
        <v>0</v>
      </c>
      <c r="M29" s="16"/>
      <c r="N29" s="28">
        <f t="shared" si="11"/>
        <v>0</v>
      </c>
      <c r="O29" s="16"/>
      <c r="P29" s="28">
        <f t="shared" si="12"/>
        <v>0</v>
      </c>
      <c r="Q29" s="16"/>
      <c r="R29" s="28">
        <f t="shared" si="13"/>
        <v>0</v>
      </c>
      <c r="S29" s="16"/>
      <c r="T29" s="28">
        <f t="shared" si="14"/>
        <v>0</v>
      </c>
      <c r="U29" s="16"/>
      <c r="V29" s="28">
        <f t="shared" si="15"/>
        <v>0</v>
      </c>
      <c r="W29" s="16"/>
      <c r="X29" s="28">
        <f t="shared" si="16"/>
        <v>0</v>
      </c>
      <c r="Y29" s="16"/>
      <c r="Z29" s="28">
        <f t="shared" si="17"/>
        <v>0</v>
      </c>
      <c r="AA29" s="59">
        <f t="shared" si="20"/>
        <v>0</v>
      </c>
      <c r="AB29" s="60">
        <f t="shared" si="18"/>
        <v>0</v>
      </c>
      <c r="AC29" s="67">
        <f t="shared" si="1"/>
        <v>0</v>
      </c>
      <c r="AD29" s="68">
        <f t="shared" si="19"/>
        <v>0</v>
      </c>
      <c r="AE29" s="44">
        <f t="shared" si="2"/>
        <v>0</v>
      </c>
      <c r="AF29" s="21">
        <f t="shared" si="3"/>
        <v>0</v>
      </c>
      <c r="AW29" s="99"/>
      <c r="AX29" s="99"/>
    </row>
    <row r="30" spans="1:50">
      <c r="A30" s="3">
        <v>5609</v>
      </c>
      <c r="B30" s="3" t="s">
        <v>59</v>
      </c>
      <c r="C30" s="16"/>
      <c r="D30" s="28">
        <f t="shared" si="6"/>
        <v>0</v>
      </c>
      <c r="E30" s="16"/>
      <c r="F30" s="28">
        <f t="shared" si="7"/>
        <v>0</v>
      </c>
      <c r="G30" s="16"/>
      <c r="H30" s="28">
        <f t="shared" si="8"/>
        <v>0</v>
      </c>
      <c r="I30" s="16"/>
      <c r="J30" s="28">
        <f t="shared" si="9"/>
        <v>0</v>
      </c>
      <c r="K30" s="16"/>
      <c r="L30" s="28">
        <f t="shared" si="10"/>
        <v>0</v>
      </c>
      <c r="M30" s="16"/>
      <c r="N30" s="28">
        <f t="shared" si="11"/>
        <v>0</v>
      </c>
      <c r="O30" s="16"/>
      <c r="P30" s="28">
        <f t="shared" si="12"/>
        <v>0</v>
      </c>
      <c r="Q30" s="16"/>
      <c r="R30" s="28">
        <f t="shared" si="13"/>
        <v>0</v>
      </c>
      <c r="S30" s="16"/>
      <c r="T30" s="28">
        <f t="shared" si="14"/>
        <v>0</v>
      </c>
      <c r="U30" s="16"/>
      <c r="V30" s="28">
        <f t="shared" si="15"/>
        <v>0</v>
      </c>
      <c r="W30" s="16"/>
      <c r="X30" s="28">
        <f t="shared" si="16"/>
        <v>0</v>
      </c>
      <c r="Y30" s="16"/>
      <c r="Z30" s="28">
        <f t="shared" si="17"/>
        <v>0</v>
      </c>
      <c r="AA30" s="59">
        <f t="shared" si="20"/>
        <v>0</v>
      </c>
      <c r="AB30" s="60">
        <f t="shared" si="18"/>
        <v>0</v>
      </c>
      <c r="AC30" s="67">
        <f t="shared" si="1"/>
        <v>0</v>
      </c>
      <c r="AD30" s="68">
        <f t="shared" si="19"/>
        <v>0</v>
      </c>
      <c r="AE30" s="44">
        <f t="shared" si="2"/>
        <v>0</v>
      </c>
      <c r="AF30" s="21">
        <f t="shared" si="3"/>
        <v>0</v>
      </c>
      <c r="AW30" s="99"/>
      <c r="AX30" s="99"/>
    </row>
    <row r="31" spans="1:50">
      <c r="A31" s="3">
        <v>5610</v>
      </c>
      <c r="B31" s="3" t="s">
        <v>60</v>
      </c>
      <c r="C31" s="16"/>
      <c r="D31" s="28">
        <f t="shared" si="6"/>
        <v>0</v>
      </c>
      <c r="E31" s="16"/>
      <c r="F31" s="28">
        <f t="shared" si="7"/>
        <v>0</v>
      </c>
      <c r="G31" s="16"/>
      <c r="H31" s="28">
        <f t="shared" si="8"/>
        <v>0</v>
      </c>
      <c r="I31" s="16"/>
      <c r="J31" s="28">
        <f t="shared" si="9"/>
        <v>0</v>
      </c>
      <c r="K31" s="16"/>
      <c r="L31" s="28">
        <f t="shared" si="10"/>
        <v>0</v>
      </c>
      <c r="M31" s="16"/>
      <c r="N31" s="28">
        <f t="shared" si="11"/>
        <v>0</v>
      </c>
      <c r="O31" s="16"/>
      <c r="P31" s="28">
        <f t="shared" si="12"/>
        <v>0</v>
      </c>
      <c r="Q31" s="16"/>
      <c r="R31" s="28">
        <f t="shared" si="13"/>
        <v>0</v>
      </c>
      <c r="S31" s="16"/>
      <c r="T31" s="28">
        <f t="shared" si="14"/>
        <v>0</v>
      </c>
      <c r="U31" s="16"/>
      <c r="V31" s="28">
        <f t="shared" si="15"/>
        <v>0</v>
      </c>
      <c r="W31" s="16"/>
      <c r="X31" s="28">
        <f t="shared" si="16"/>
        <v>0</v>
      </c>
      <c r="Y31" s="16"/>
      <c r="Z31" s="28">
        <f t="shared" si="17"/>
        <v>0</v>
      </c>
      <c r="AA31" s="59">
        <f t="shared" si="20"/>
        <v>0</v>
      </c>
      <c r="AB31" s="60">
        <f t="shared" si="18"/>
        <v>0</v>
      </c>
      <c r="AC31" s="67">
        <f t="shared" si="1"/>
        <v>0</v>
      </c>
      <c r="AD31" s="68">
        <f t="shared" si="19"/>
        <v>0</v>
      </c>
      <c r="AE31" s="44">
        <f t="shared" si="2"/>
        <v>0</v>
      </c>
      <c r="AF31" s="21">
        <f t="shared" si="3"/>
        <v>0</v>
      </c>
      <c r="AW31" s="99"/>
      <c r="AX31" s="99"/>
    </row>
    <row r="32" spans="1:50">
      <c r="A32" s="3">
        <v>5611</v>
      </c>
      <c r="B32" s="3" t="s">
        <v>98</v>
      </c>
      <c r="C32" s="16"/>
      <c r="D32" s="28">
        <f t="shared" si="6"/>
        <v>0</v>
      </c>
      <c r="E32" s="16"/>
      <c r="F32" s="28">
        <f t="shared" si="7"/>
        <v>0</v>
      </c>
      <c r="G32" s="16"/>
      <c r="H32" s="28">
        <f t="shared" si="8"/>
        <v>0</v>
      </c>
      <c r="I32" s="16"/>
      <c r="J32" s="28">
        <f t="shared" si="9"/>
        <v>0</v>
      </c>
      <c r="K32" s="16"/>
      <c r="L32" s="28">
        <f t="shared" si="10"/>
        <v>0</v>
      </c>
      <c r="M32" s="16"/>
      <c r="N32" s="28">
        <f t="shared" si="11"/>
        <v>0</v>
      </c>
      <c r="O32" s="16"/>
      <c r="P32" s="28">
        <f t="shared" si="12"/>
        <v>0</v>
      </c>
      <c r="Q32" s="16"/>
      <c r="R32" s="28">
        <f t="shared" si="13"/>
        <v>0</v>
      </c>
      <c r="S32" s="16"/>
      <c r="T32" s="28">
        <f t="shared" si="14"/>
        <v>0</v>
      </c>
      <c r="U32" s="16"/>
      <c r="V32" s="28">
        <f t="shared" si="15"/>
        <v>0</v>
      </c>
      <c r="W32" s="16"/>
      <c r="X32" s="28">
        <f t="shared" si="16"/>
        <v>0</v>
      </c>
      <c r="Y32" s="16"/>
      <c r="Z32" s="28">
        <f t="shared" si="17"/>
        <v>0</v>
      </c>
      <c r="AA32" s="59">
        <f t="shared" si="20"/>
        <v>0</v>
      </c>
      <c r="AB32" s="60">
        <f t="shared" si="18"/>
        <v>0</v>
      </c>
      <c r="AC32" s="67">
        <f t="shared" si="1"/>
        <v>0</v>
      </c>
      <c r="AD32" s="68">
        <f t="shared" si="19"/>
        <v>0</v>
      </c>
      <c r="AE32" s="44">
        <f t="shared" si="2"/>
        <v>0</v>
      </c>
      <c r="AF32" s="21">
        <f t="shared" si="3"/>
        <v>0</v>
      </c>
      <c r="AW32" s="99"/>
      <c r="AX32" s="99"/>
    </row>
    <row r="33" spans="1:50">
      <c r="A33" s="3">
        <v>5612</v>
      </c>
      <c r="B33" s="3" t="s">
        <v>61</v>
      </c>
      <c r="C33" s="16"/>
      <c r="D33" s="28">
        <f t="shared" si="6"/>
        <v>0</v>
      </c>
      <c r="E33" s="16"/>
      <c r="F33" s="28">
        <f t="shared" si="7"/>
        <v>0</v>
      </c>
      <c r="G33" s="16"/>
      <c r="H33" s="28">
        <f t="shared" si="8"/>
        <v>0</v>
      </c>
      <c r="I33" s="16"/>
      <c r="J33" s="28">
        <f t="shared" si="9"/>
        <v>0</v>
      </c>
      <c r="K33" s="16"/>
      <c r="L33" s="28">
        <f t="shared" si="10"/>
        <v>0</v>
      </c>
      <c r="M33" s="16"/>
      <c r="N33" s="28">
        <f t="shared" si="11"/>
        <v>0</v>
      </c>
      <c r="O33" s="16"/>
      <c r="P33" s="28">
        <f t="shared" si="12"/>
        <v>0</v>
      </c>
      <c r="Q33" s="16"/>
      <c r="R33" s="28">
        <f t="shared" si="13"/>
        <v>0</v>
      </c>
      <c r="S33" s="16"/>
      <c r="T33" s="28">
        <f t="shared" si="14"/>
        <v>0</v>
      </c>
      <c r="U33" s="16"/>
      <c r="V33" s="28">
        <f t="shared" si="15"/>
        <v>0</v>
      </c>
      <c r="W33" s="16"/>
      <c r="X33" s="28">
        <f t="shared" si="16"/>
        <v>0</v>
      </c>
      <c r="Y33" s="16"/>
      <c r="Z33" s="28">
        <f t="shared" si="17"/>
        <v>0</v>
      </c>
      <c r="AA33" s="59">
        <f t="shared" si="20"/>
        <v>0</v>
      </c>
      <c r="AB33" s="60">
        <f t="shared" si="18"/>
        <v>0</v>
      </c>
      <c r="AC33" s="67">
        <f t="shared" si="1"/>
        <v>0</v>
      </c>
      <c r="AD33" s="68">
        <f t="shared" si="19"/>
        <v>0</v>
      </c>
      <c r="AE33" s="44">
        <f t="shared" si="2"/>
        <v>0</v>
      </c>
      <c r="AF33" s="21">
        <f t="shared" si="3"/>
        <v>0</v>
      </c>
      <c r="AW33" s="99"/>
      <c r="AX33" s="99"/>
    </row>
    <row r="34" spans="1:50">
      <c r="A34" s="3">
        <v>5613</v>
      </c>
      <c r="B34" s="3" t="s">
        <v>62</v>
      </c>
      <c r="C34" s="16"/>
      <c r="D34" s="28">
        <f t="shared" si="6"/>
        <v>0</v>
      </c>
      <c r="E34" s="16"/>
      <c r="F34" s="28">
        <f t="shared" si="7"/>
        <v>0</v>
      </c>
      <c r="G34" s="16"/>
      <c r="H34" s="28">
        <f t="shared" si="8"/>
        <v>0</v>
      </c>
      <c r="I34" s="16"/>
      <c r="J34" s="28">
        <f t="shared" si="9"/>
        <v>0</v>
      </c>
      <c r="K34" s="16"/>
      <c r="L34" s="28">
        <f t="shared" si="10"/>
        <v>0</v>
      </c>
      <c r="M34" s="16"/>
      <c r="N34" s="28">
        <f t="shared" si="11"/>
        <v>0</v>
      </c>
      <c r="O34" s="16"/>
      <c r="P34" s="28">
        <f t="shared" si="12"/>
        <v>0</v>
      </c>
      <c r="Q34" s="16"/>
      <c r="R34" s="28">
        <f t="shared" si="13"/>
        <v>0</v>
      </c>
      <c r="S34" s="16"/>
      <c r="T34" s="28">
        <f t="shared" si="14"/>
        <v>0</v>
      </c>
      <c r="U34" s="16"/>
      <c r="V34" s="28">
        <f t="shared" si="15"/>
        <v>0</v>
      </c>
      <c r="W34" s="16"/>
      <c r="X34" s="28">
        <f t="shared" si="16"/>
        <v>0</v>
      </c>
      <c r="Y34" s="16"/>
      <c r="Z34" s="28">
        <f t="shared" si="17"/>
        <v>0</v>
      </c>
      <c r="AA34" s="59">
        <f t="shared" si="20"/>
        <v>0</v>
      </c>
      <c r="AB34" s="60">
        <f t="shared" si="18"/>
        <v>0</v>
      </c>
      <c r="AC34" s="67">
        <f t="shared" si="1"/>
        <v>0</v>
      </c>
      <c r="AD34" s="68">
        <f t="shared" si="19"/>
        <v>0</v>
      </c>
      <c r="AE34" s="44">
        <f t="shared" si="2"/>
        <v>0</v>
      </c>
      <c r="AF34" s="21">
        <f t="shared" si="3"/>
        <v>0</v>
      </c>
      <c r="AW34" s="99"/>
      <c r="AX34" s="99"/>
    </row>
    <row r="35" spans="1:50">
      <c r="A35" s="34">
        <v>5699</v>
      </c>
      <c r="B35" s="34" t="s">
        <v>99</v>
      </c>
      <c r="C35" s="32">
        <f>SUM(C22:C34)</f>
        <v>0</v>
      </c>
      <c r="D35" s="53">
        <f t="shared" si="6"/>
        <v>0</v>
      </c>
      <c r="E35" s="32">
        <f>SUM(E22:E34)</f>
        <v>0</v>
      </c>
      <c r="F35" s="53">
        <f t="shared" si="7"/>
        <v>0</v>
      </c>
      <c r="G35" s="32">
        <f>SUM(G22:G34)</f>
        <v>0</v>
      </c>
      <c r="H35" s="53">
        <f t="shared" si="8"/>
        <v>0</v>
      </c>
      <c r="I35" s="32">
        <f>SUM(I22:I34)</f>
        <v>0</v>
      </c>
      <c r="J35" s="53">
        <f t="shared" si="9"/>
        <v>0</v>
      </c>
      <c r="K35" s="32">
        <f>SUM(K22:K34)</f>
        <v>0</v>
      </c>
      <c r="L35" s="53">
        <f t="shared" si="10"/>
        <v>0</v>
      </c>
      <c r="M35" s="32">
        <f>SUM(M22:M34)</f>
        <v>0</v>
      </c>
      <c r="N35" s="53">
        <f t="shared" si="11"/>
        <v>0</v>
      </c>
      <c r="O35" s="32">
        <f>SUM(O22:O34)</f>
        <v>0</v>
      </c>
      <c r="P35" s="53">
        <f t="shared" si="12"/>
        <v>0</v>
      </c>
      <c r="Q35" s="32">
        <f>SUM(Q22:Q34)</f>
        <v>0</v>
      </c>
      <c r="R35" s="53">
        <f t="shared" si="13"/>
        <v>0</v>
      </c>
      <c r="S35" s="32">
        <f>SUM(S22:S34)</f>
        <v>0</v>
      </c>
      <c r="T35" s="53">
        <f t="shared" si="14"/>
        <v>0</v>
      </c>
      <c r="U35" s="32">
        <f>SUM(U22:U34)</f>
        <v>0</v>
      </c>
      <c r="V35" s="53">
        <f t="shared" si="15"/>
        <v>0</v>
      </c>
      <c r="W35" s="32">
        <f>SUM(W22:W34)</f>
        <v>0</v>
      </c>
      <c r="X35" s="53">
        <f t="shared" si="16"/>
        <v>0</v>
      </c>
      <c r="Y35" s="32">
        <f>SUM(Y22:Y34)</f>
        <v>0</v>
      </c>
      <c r="Z35" s="53">
        <f t="shared" si="17"/>
        <v>0</v>
      </c>
      <c r="AA35" s="63">
        <f>SUM(AA22:AA34)</f>
        <v>0</v>
      </c>
      <c r="AB35" s="73">
        <f t="shared" si="18"/>
        <v>0</v>
      </c>
      <c r="AC35" s="70">
        <f t="shared" si="1"/>
        <v>0</v>
      </c>
      <c r="AD35" s="78">
        <f t="shared" si="19"/>
        <v>0</v>
      </c>
      <c r="AE35" s="44">
        <f t="shared" si="2"/>
        <v>0</v>
      </c>
      <c r="AF35" s="21">
        <f t="shared" si="3"/>
        <v>0</v>
      </c>
      <c r="AW35" s="99"/>
      <c r="AX35" s="99"/>
    </row>
    <row r="36" spans="1:50" ht="15.75" thickBot="1">
      <c r="A36" s="35">
        <v>5999</v>
      </c>
      <c r="B36" s="34" t="s">
        <v>100</v>
      </c>
      <c r="C36" s="32">
        <f>C21+C35</f>
        <v>0</v>
      </c>
      <c r="D36" s="53">
        <f t="shared" si="6"/>
        <v>0</v>
      </c>
      <c r="E36" s="32">
        <f>E21+E35</f>
        <v>0</v>
      </c>
      <c r="F36" s="53">
        <f t="shared" si="7"/>
        <v>0</v>
      </c>
      <c r="G36" s="32">
        <f>G21+G35</f>
        <v>0</v>
      </c>
      <c r="H36" s="53">
        <f t="shared" si="8"/>
        <v>0</v>
      </c>
      <c r="I36" s="32">
        <f>I21+I35</f>
        <v>0</v>
      </c>
      <c r="J36" s="53">
        <f t="shared" si="9"/>
        <v>0</v>
      </c>
      <c r="K36" s="32">
        <f>K21+K35</f>
        <v>0</v>
      </c>
      <c r="L36" s="53">
        <f t="shared" si="10"/>
        <v>0</v>
      </c>
      <c r="M36" s="32">
        <f>M21+M35</f>
        <v>0</v>
      </c>
      <c r="N36" s="53">
        <f t="shared" si="11"/>
        <v>0</v>
      </c>
      <c r="O36" s="32">
        <f>O21+O35</f>
        <v>0</v>
      </c>
      <c r="P36" s="53">
        <f t="shared" si="12"/>
        <v>0</v>
      </c>
      <c r="Q36" s="32">
        <f>Q21+Q35</f>
        <v>0</v>
      </c>
      <c r="R36" s="53">
        <f t="shared" si="13"/>
        <v>0</v>
      </c>
      <c r="S36" s="32">
        <f>S21+S35</f>
        <v>0</v>
      </c>
      <c r="T36" s="53">
        <f t="shared" si="14"/>
        <v>0</v>
      </c>
      <c r="U36" s="32">
        <f>U21+U35</f>
        <v>0</v>
      </c>
      <c r="V36" s="53">
        <f t="shared" si="15"/>
        <v>0</v>
      </c>
      <c r="W36" s="32">
        <f>W21+W35</f>
        <v>0</v>
      </c>
      <c r="X36" s="53">
        <f t="shared" si="16"/>
        <v>0</v>
      </c>
      <c r="Y36" s="32">
        <f>Y21+Y35</f>
        <v>0</v>
      </c>
      <c r="Z36" s="53">
        <f t="shared" si="17"/>
        <v>0</v>
      </c>
      <c r="AA36" s="63">
        <f>AA21+AA35</f>
        <v>0</v>
      </c>
      <c r="AB36" s="73">
        <f t="shared" si="18"/>
        <v>0</v>
      </c>
      <c r="AC36" s="70">
        <f t="shared" si="1"/>
        <v>0</v>
      </c>
      <c r="AD36" s="78">
        <f t="shared" si="19"/>
        <v>0</v>
      </c>
      <c r="AE36" s="44">
        <f t="shared" si="2"/>
        <v>0</v>
      </c>
      <c r="AF36" s="21">
        <f t="shared" si="3"/>
        <v>0</v>
      </c>
      <c r="AW36" s="99"/>
      <c r="AX36" s="99"/>
    </row>
    <row r="37" spans="1:50" ht="16.5" thickTop="1" thickBot="1">
      <c r="A37" s="36"/>
      <c r="B37" s="7" t="s">
        <v>68</v>
      </c>
      <c r="C37" s="18">
        <f>(C16-C36)</f>
        <v>0</v>
      </c>
      <c r="D37" s="47">
        <f t="shared" si="6"/>
        <v>0</v>
      </c>
      <c r="E37" s="18">
        <f>(E16-E36)</f>
        <v>0</v>
      </c>
      <c r="F37" s="47">
        <f t="shared" si="7"/>
        <v>0</v>
      </c>
      <c r="G37" s="18">
        <f>(G16-G36)</f>
        <v>0</v>
      </c>
      <c r="H37" s="47">
        <f t="shared" si="8"/>
        <v>0</v>
      </c>
      <c r="I37" s="18">
        <f>(I16-I36)</f>
        <v>0</v>
      </c>
      <c r="J37" s="47">
        <f t="shared" si="9"/>
        <v>0</v>
      </c>
      <c r="K37" s="18">
        <f>(K16-K36)</f>
        <v>0</v>
      </c>
      <c r="L37" s="47">
        <f t="shared" si="10"/>
        <v>0</v>
      </c>
      <c r="M37" s="18">
        <f>(M16-M36)</f>
        <v>0</v>
      </c>
      <c r="N37" s="47">
        <f t="shared" si="11"/>
        <v>0</v>
      </c>
      <c r="O37" s="18">
        <f>(O16-O36)</f>
        <v>0</v>
      </c>
      <c r="P37" s="47">
        <f t="shared" si="12"/>
        <v>0</v>
      </c>
      <c r="Q37" s="18">
        <f>(Q16-Q36)</f>
        <v>0</v>
      </c>
      <c r="R37" s="47">
        <f t="shared" si="13"/>
        <v>0</v>
      </c>
      <c r="S37" s="18">
        <f>(S16-S36)</f>
        <v>0</v>
      </c>
      <c r="T37" s="47">
        <f t="shared" si="14"/>
        <v>0</v>
      </c>
      <c r="U37" s="18">
        <f>(U16-U36)</f>
        <v>0</v>
      </c>
      <c r="V37" s="47">
        <f t="shared" si="15"/>
        <v>0</v>
      </c>
      <c r="W37" s="18">
        <f>(W16-W36)</f>
        <v>0</v>
      </c>
      <c r="X37" s="47">
        <f t="shared" si="16"/>
        <v>0</v>
      </c>
      <c r="Y37" s="18">
        <f>(Y16-Y36)</f>
        <v>0</v>
      </c>
      <c r="Z37" s="47">
        <f t="shared" si="17"/>
        <v>0</v>
      </c>
      <c r="AA37" s="61">
        <f>(AA16-AA36)</f>
        <v>0</v>
      </c>
      <c r="AB37" s="74">
        <f t="shared" si="18"/>
        <v>0</v>
      </c>
      <c r="AC37" s="24">
        <f t="shared" si="1"/>
        <v>0</v>
      </c>
      <c r="AD37" s="77">
        <f t="shared" si="19"/>
        <v>0</v>
      </c>
      <c r="AE37" s="44">
        <f t="shared" si="2"/>
        <v>0</v>
      </c>
      <c r="AF37" s="21">
        <f t="shared" si="3"/>
        <v>0</v>
      </c>
      <c r="AW37" s="99"/>
      <c r="AX37" s="99"/>
    </row>
    <row r="38" spans="1:50" ht="15.75" thickTop="1">
      <c r="A38" s="2">
        <v>6002</v>
      </c>
      <c r="B38" s="2" t="s">
        <v>45</v>
      </c>
      <c r="C38" s="16"/>
      <c r="D38" s="28"/>
      <c r="E38" s="16"/>
      <c r="F38" s="28"/>
      <c r="G38" s="16"/>
      <c r="H38" s="28"/>
      <c r="I38" s="16"/>
      <c r="J38" s="28"/>
      <c r="K38" s="16"/>
      <c r="L38" s="28"/>
      <c r="M38" s="16"/>
      <c r="N38" s="28"/>
      <c r="O38" s="16"/>
      <c r="P38" s="28"/>
      <c r="Q38" s="16"/>
      <c r="R38" s="28"/>
      <c r="S38" s="16"/>
      <c r="T38" s="28"/>
      <c r="U38" s="16"/>
      <c r="V38" s="28"/>
      <c r="W38" s="16"/>
      <c r="X38" s="28"/>
      <c r="Y38" s="16"/>
      <c r="Z38" s="28"/>
      <c r="AA38" s="59">
        <f t="shared" ref="AA38:AA40" si="21">C38+E38+G38+I38+K38+M38+O38+Q38+S38+U38+W38+Y38</f>
        <v>0</v>
      </c>
      <c r="AB38" s="60"/>
      <c r="AC38" s="67">
        <f t="shared" si="1"/>
        <v>0</v>
      </c>
      <c r="AD38" s="68"/>
      <c r="AE38" s="44">
        <f t="shared" si="2"/>
        <v>0</v>
      </c>
      <c r="AF38" s="21">
        <f t="shared" si="3"/>
        <v>0</v>
      </c>
      <c r="AW38" s="99"/>
      <c r="AX38" s="99"/>
    </row>
    <row r="39" spans="1:50">
      <c r="A39" s="2">
        <v>6003</v>
      </c>
      <c r="B39" s="2" t="s">
        <v>0</v>
      </c>
      <c r="C39" s="16">
        <v>0</v>
      </c>
      <c r="D39" s="28">
        <f t="shared" ref="D39:D51" si="22">C39/C$145</f>
        <v>0</v>
      </c>
      <c r="E39" s="16">
        <v>0</v>
      </c>
      <c r="F39" s="28">
        <f>E39/E$145</f>
        <v>0</v>
      </c>
      <c r="G39" s="16">
        <v>0</v>
      </c>
      <c r="H39" s="28">
        <f>G39/G$145</f>
        <v>0</v>
      </c>
      <c r="I39" s="16">
        <v>0</v>
      </c>
      <c r="J39" s="28">
        <f>I39/I$145</f>
        <v>0</v>
      </c>
      <c r="K39" s="16">
        <v>0</v>
      </c>
      <c r="L39" s="28">
        <f>K39/K$145</f>
        <v>0</v>
      </c>
      <c r="M39" s="16">
        <v>0</v>
      </c>
      <c r="N39" s="28">
        <f>M39/M$145</f>
        <v>0</v>
      </c>
      <c r="O39" s="16">
        <v>0</v>
      </c>
      <c r="P39" s="28">
        <f>O39/O$145</f>
        <v>0</v>
      </c>
      <c r="Q39" s="16">
        <v>0</v>
      </c>
      <c r="R39" s="28">
        <f>Q39/Q$145</f>
        <v>0</v>
      </c>
      <c r="S39" s="16">
        <v>0</v>
      </c>
      <c r="T39" s="28">
        <f>S39/S$145</f>
        <v>0</v>
      </c>
      <c r="U39" s="16">
        <v>0</v>
      </c>
      <c r="V39" s="28">
        <f>U39/U$145</f>
        <v>0</v>
      </c>
      <c r="W39" s="16">
        <v>0</v>
      </c>
      <c r="X39" s="28">
        <f>W39/W$145</f>
        <v>0</v>
      </c>
      <c r="Y39" s="16">
        <v>0</v>
      </c>
      <c r="Z39" s="28">
        <f>Y39/Y$145</f>
        <v>0</v>
      </c>
      <c r="AA39" s="59">
        <f t="shared" si="21"/>
        <v>0</v>
      </c>
      <c r="AB39" s="60">
        <f>AA39/AA$145</f>
        <v>0</v>
      </c>
      <c r="AC39" s="67">
        <f t="shared" si="1"/>
        <v>0</v>
      </c>
      <c r="AD39" s="68">
        <f>AC39/AC$145</f>
        <v>0</v>
      </c>
      <c r="AE39" s="44">
        <f t="shared" si="2"/>
        <v>0</v>
      </c>
      <c r="AF39" s="21">
        <f t="shared" si="3"/>
        <v>0</v>
      </c>
      <c r="AG39" s="113">
        <v>36500</v>
      </c>
      <c r="AH39" s="1" t="s">
        <v>137</v>
      </c>
      <c r="AW39" s="99"/>
      <c r="AX39" s="99"/>
    </row>
    <row r="40" spans="1:50">
      <c r="A40" s="2">
        <v>6004</v>
      </c>
      <c r="B40" s="2" t="s">
        <v>1</v>
      </c>
      <c r="C40" s="16"/>
      <c r="D40" s="28">
        <f t="shared" si="22"/>
        <v>0</v>
      </c>
      <c r="E40" s="16"/>
      <c r="F40" s="28"/>
      <c r="G40" s="16"/>
      <c r="H40" s="28"/>
      <c r="I40" s="16"/>
      <c r="J40" s="28"/>
      <c r="K40" s="16"/>
      <c r="L40" s="28"/>
      <c r="M40" s="16"/>
      <c r="N40" s="28"/>
      <c r="O40" s="16"/>
      <c r="P40" s="28"/>
      <c r="Q40" s="16"/>
      <c r="R40" s="28"/>
      <c r="S40" s="16"/>
      <c r="T40" s="28"/>
      <c r="U40" s="16"/>
      <c r="V40" s="28"/>
      <c r="W40" s="16"/>
      <c r="X40" s="28"/>
      <c r="Y40" s="16"/>
      <c r="Z40" s="28"/>
      <c r="AA40" s="59">
        <f t="shared" si="21"/>
        <v>0</v>
      </c>
      <c r="AB40" s="60"/>
      <c r="AC40" s="67">
        <f t="shared" si="1"/>
        <v>0</v>
      </c>
      <c r="AD40" s="68"/>
      <c r="AE40" s="44">
        <f t="shared" si="2"/>
        <v>0</v>
      </c>
      <c r="AF40" s="21">
        <f t="shared" si="3"/>
        <v>0</v>
      </c>
      <c r="AW40" s="99"/>
      <c r="AX40" s="99"/>
    </row>
    <row r="41" spans="1:50" ht="15.75" thickBot="1">
      <c r="A41" s="37">
        <v>6099</v>
      </c>
      <c r="B41" s="37" t="s">
        <v>101</v>
      </c>
      <c r="C41" s="38">
        <f>SUM(C38:C40)</f>
        <v>0</v>
      </c>
      <c r="D41" s="54">
        <f t="shared" si="22"/>
        <v>0</v>
      </c>
      <c r="E41" s="38">
        <f>SUM(E38:E40)</f>
        <v>0</v>
      </c>
      <c r="F41" s="54">
        <f>E41/E$145</f>
        <v>0</v>
      </c>
      <c r="G41" s="38">
        <f>SUM(G38:G40)</f>
        <v>0</v>
      </c>
      <c r="H41" s="54">
        <f>G41/G$145</f>
        <v>0</v>
      </c>
      <c r="I41" s="38">
        <f>SUM(I38:I40)</f>
        <v>0</v>
      </c>
      <c r="J41" s="54">
        <f>I41/I$145</f>
        <v>0</v>
      </c>
      <c r="K41" s="38">
        <f>SUM(K38:K40)</f>
        <v>0</v>
      </c>
      <c r="L41" s="54">
        <f>K41/K$145</f>
        <v>0</v>
      </c>
      <c r="M41" s="38">
        <f>SUM(M38:M40)</f>
        <v>0</v>
      </c>
      <c r="N41" s="54">
        <f>M41/M$145</f>
        <v>0</v>
      </c>
      <c r="O41" s="38">
        <f>SUM(O38:O40)</f>
        <v>0</v>
      </c>
      <c r="P41" s="54">
        <f>O41/O$145</f>
        <v>0</v>
      </c>
      <c r="Q41" s="38">
        <f>SUM(Q38:Q40)</f>
        <v>0</v>
      </c>
      <c r="R41" s="54">
        <f>Q41/Q$145</f>
        <v>0</v>
      </c>
      <c r="S41" s="38">
        <f>SUM(S38:S40)</f>
        <v>0</v>
      </c>
      <c r="T41" s="54">
        <f>S41/S$145</f>
        <v>0</v>
      </c>
      <c r="U41" s="38">
        <f>SUM(U38:U40)</f>
        <v>0</v>
      </c>
      <c r="V41" s="54">
        <f>U41/U$145</f>
        <v>0</v>
      </c>
      <c r="W41" s="38">
        <f>SUM(W38:W40)</f>
        <v>0</v>
      </c>
      <c r="X41" s="54">
        <f>W41/W$145</f>
        <v>0</v>
      </c>
      <c r="Y41" s="38">
        <f>SUM(Y38:Y40)</f>
        <v>0</v>
      </c>
      <c r="Z41" s="54">
        <f>Y41/Y$145</f>
        <v>0</v>
      </c>
      <c r="AA41" s="61">
        <f>SUM(AA38:AA40)</f>
        <v>0</v>
      </c>
      <c r="AB41" s="74">
        <f>AA41/AA$145</f>
        <v>0</v>
      </c>
      <c r="AC41" s="24">
        <f t="shared" si="1"/>
        <v>0</v>
      </c>
      <c r="AD41" s="77">
        <f>AC41/AC$145</f>
        <v>0</v>
      </c>
      <c r="AE41" s="44">
        <f t="shared" si="2"/>
        <v>0</v>
      </c>
      <c r="AF41" s="21">
        <f t="shared" si="3"/>
        <v>0</v>
      </c>
      <c r="AW41" s="99"/>
      <c r="AX41" s="99"/>
    </row>
    <row r="42" spans="1:50" ht="15.75" thickTop="1">
      <c r="A42" s="2">
        <v>6101</v>
      </c>
      <c r="B42" s="2" t="s">
        <v>2</v>
      </c>
      <c r="C42" s="16">
        <v>25704</v>
      </c>
      <c r="D42" s="28">
        <f t="shared" si="22"/>
        <v>-63.206859962331166</v>
      </c>
      <c r="E42" s="16">
        <v>25704</v>
      </c>
      <c r="F42" s="28">
        <f>E42/E$145</f>
        <v>-63.206859962331166</v>
      </c>
      <c r="G42" s="16">
        <v>25704</v>
      </c>
      <c r="H42" s="28">
        <f>G42/G$145</f>
        <v>-63.206859962331166</v>
      </c>
      <c r="I42" s="16">
        <v>25704</v>
      </c>
      <c r="J42" s="28">
        <f>I42/I$145</f>
        <v>-63.206859962331166</v>
      </c>
      <c r="K42" s="16">
        <v>25704</v>
      </c>
      <c r="L42" s="28">
        <f>K42/K$145</f>
        <v>-63.206859962331166</v>
      </c>
      <c r="M42" s="16">
        <v>25704</v>
      </c>
      <c r="N42" s="28">
        <f>M42/M$145</f>
        <v>8.9301618812025225</v>
      </c>
      <c r="O42" s="16">
        <v>25704</v>
      </c>
      <c r="P42" s="28">
        <f>O42/O$145</f>
        <v>-63.206859962331166</v>
      </c>
      <c r="Q42" s="16">
        <v>25704</v>
      </c>
      <c r="R42" s="28">
        <f>Q42/Q$145</f>
        <v>-63.206859962331166</v>
      </c>
      <c r="S42" s="16">
        <v>25704</v>
      </c>
      <c r="T42" s="28">
        <f>S42/S$145</f>
        <v>-63.206859962331166</v>
      </c>
      <c r="U42" s="16">
        <v>25704</v>
      </c>
      <c r="V42" s="28">
        <f>U42/U$145</f>
        <v>-63.206859962331166</v>
      </c>
      <c r="W42" s="16">
        <v>25704</v>
      </c>
      <c r="X42" s="28">
        <f>W42/W$145</f>
        <v>-63.206859962331166</v>
      </c>
      <c r="Y42" s="16">
        <v>25704</v>
      </c>
      <c r="Z42" s="28">
        <f>Y42/Y$145</f>
        <v>-63.206859962331166</v>
      </c>
      <c r="AA42" s="59">
        <f t="shared" ref="AA42:AA75" si="23">C42+E42+G42+I42+K42+M42+O42+Q42+S42+U42+W42+Y42</f>
        <v>308448</v>
      </c>
      <c r="AB42" s="60">
        <f>AA42/AA$145</f>
        <v>-193.38715852157259</v>
      </c>
      <c r="AC42" s="67">
        <f t="shared" si="1"/>
        <v>25704</v>
      </c>
      <c r="AD42" s="68">
        <f>AC42/AC$145</f>
        <v>-193.38715852157262</v>
      </c>
      <c r="AE42" s="44">
        <f t="shared" si="2"/>
        <v>308448</v>
      </c>
      <c r="AF42" s="21">
        <f t="shared" si="3"/>
        <v>0</v>
      </c>
      <c r="AG42" s="113"/>
      <c r="AH42" s="1" t="s">
        <v>199</v>
      </c>
      <c r="AW42" s="99"/>
      <c r="AX42" s="99"/>
    </row>
    <row r="43" spans="1:50">
      <c r="A43" s="82">
        <v>6102</v>
      </c>
      <c r="B43" s="2" t="s">
        <v>3</v>
      </c>
      <c r="C43" s="19"/>
      <c r="D43" s="28">
        <f t="shared" si="22"/>
        <v>0</v>
      </c>
      <c r="E43" s="19"/>
      <c r="F43" s="28"/>
      <c r="G43" s="19"/>
      <c r="H43" s="28"/>
      <c r="I43" s="19">
        <v>0</v>
      </c>
      <c r="J43" s="28"/>
      <c r="K43" s="19"/>
      <c r="L43" s="28"/>
      <c r="M43" s="19"/>
      <c r="N43" s="28"/>
      <c r="O43" s="19"/>
      <c r="P43" s="28"/>
      <c r="Q43" s="19"/>
      <c r="R43" s="28"/>
      <c r="S43" s="19"/>
      <c r="T43" s="28"/>
      <c r="U43" s="19"/>
      <c r="V43" s="28"/>
      <c r="W43" s="19"/>
      <c r="X43" s="28"/>
      <c r="Y43" s="19"/>
      <c r="Z43" s="28"/>
      <c r="AA43" s="59">
        <f t="shared" si="23"/>
        <v>0</v>
      </c>
      <c r="AB43" s="60"/>
      <c r="AC43" s="67">
        <f t="shared" si="1"/>
        <v>0</v>
      </c>
      <c r="AD43" s="68"/>
      <c r="AE43" s="44">
        <f t="shared" si="2"/>
        <v>0</v>
      </c>
      <c r="AF43" s="21">
        <f t="shared" si="3"/>
        <v>0</v>
      </c>
      <c r="AG43" s="113"/>
      <c r="AW43" s="99"/>
      <c r="AX43" s="99"/>
    </row>
    <row r="44" spans="1:50">
      <c r="A44" s="2">
        <v>6103</v>
      </c>
      <c r="B44" s="2" t="s">
        <v>4</v>
      </c>
      <c r="C44" s="16"/>
      <c r="D44" s="28">
        <f t="shared" si="22"/>
        <v>0</v>
      </c>
      <c r="E44" s="16"/>
      <c r="F44" s="28"/>
      <c r="G44" s="16"/>
      <c r="H44" s="28"/>
      <c r="I44" s="16"/>
      <c r="J44" s="28"/>
      <c r="K44" s="16"/>
      <c r="L44" s="28"/>
      <c r="M44" s="16"/>
      <c r="N44" s="28"/>
      <c r="O44" s="16"/>
      <c r="P44" s="28"/>
      <c r="Q44" s="16"/>
      <c r="R44" s="28"/>
      <c r="S44" s="16"/>
      <c r="T44" s="28"/>
      <c r="U44" s="16"/>
      <c r="V44" s="28"/>
      <c r="W44" s="16"/>
      <c r="X44" s="28"/>
      <c r="Y44" s="16"/>
      <c r="Z44" s="28"/>
      <c r="AA44" s="59">
        <f t="shared" si="23"/>
        <v>0</v>
      </c>
      <c r="AB44" s="60"/>
      <c r="AC44" s="67">
        <f t="shared" si="1"/>
        <v>0</v>
      </c>
      <c r="AD44" s="68"/>
      <c r="AE44" s="44">
        <f t="shared" si="2"/>
        <v>0</v>
      </c>
      <c r="AF44" s="21">
        <f t="shared" si="3"/>
        <v>0</v>
      </c>
      <c r="AG44" s="113"/>
      <c r="AW44" s="99"/>
      <c r="AX44" s="99"/>
    </row>
    <row r="45" spans="1:50">
      <c r="A45" s="2">
        <v>6104</v>
      </c>
      <c r="B45" s="2" t="s">
        <v>5</v>
      </c>
      <c r="C45" s="19">
        <v>11000</v>
      </c>
      <c r="D45" s="28">
        <f t="shared" si="22"/>
        <v>-27.04930981892479</v>
      </c>
      <c r="E45" s="19">
        <v>11000</v>
      </c>
      <c r="F45" s="28">
        <f t="shared" ref="F45:F51" si="24">E45/E$145</f>
        <v>-27.04930981892479</v>
      </c>
      <c r="G45" s="19">
        <v>11000</v>
      </c>
      <c r="H45" s="28">
        <f t="shared" ref="H45:H51" si="25">G45/G$145</f>
        <v>-27.04930981892479</v>
      </c>
      <c r="I45" s="19">
        <v>11000</v>
      </c>
      <c r="J45" s="28">
        <f t="shared" ref="J45:J51" si="26">I45/I$145</f>
        <v>-27.04930981892479</v>
      </c>
      <c r="K45" s="19">
        <v>11000</v>
      </c>
      <c r="L45" s="28">
        <f t="shared" ref="L45:L51" si="27">K45/K$145</f>
        <v>-27.04930981892479</v>
      </c>
      <c r="M45" s="19">
        <v>11000</v>
      </c>
      <c r="N45" s="28">
        <f t="shared" ref="N45:N53" si="28">M45/M$145</f>
        <v>3.8216534661230837</v>
      </c>
      <c r="O45" s="19">
        <v>11000</v>
      </c>
      <c r="P45" s="28">
        <f t="shared" ref="P45:P51" si="29">O45/O$145</f>
        <v>-27.04930981892479</v>
      </c>
      <c r="Q45" s="19">
        <v>11000</v>
      </c>
      <c r="R45" s="28">
        <f t="shared" ref="R45:R51" si="30">Q45/Q$145</f>
        <v>-27.04930981892479</v>
      </c>
      <c r="S45" s="19">
        <v>11000</v>
      </c>
      <c r="T45" s="28">
        <f t="shared" ref="T45:T51" si="31">S45/S$145</f>
        <v>-27.04930981892479</v>
      </c>
      <c r="U45" s="19">
        <v>11000</v>
      </c>
      <c r="V45" s="28">
        <f t="shared" ref="V45:V51" si="32">U45/U$145</f>
        <v>-27.04930981892479</v>
      </c>
      <c r="W45" s="19">
        <v>11000</v>
      </c>
      <c r="X45" s="28">
        <f t="shared" ref="X45:X51" si="33">W45/W$145</f>
        <v>-27.04930981892479</v>
      </c>
      <c r="Y45" s="19">
        <v>11000</v>
      </c>
      <c r="Z45" s="28">
        <f t="shared" ref="Z45:Z51" si="34">Y45/Y$145</f>
        <v>-27.04930981892479</v>
      </c>
      <c r="AA45" s="59">
        <f t="shared" si="23"/>
        <v>132000</v>
      </c>
      <c r="AB45" s="60">
        <f t="shared" ref="AB45:AB51" si="35">AA45/AA$145</f>
        <v>-82.759832856259663</v>
      </c>
      <c r="AC45" s="67">
        <f t="shared" si="1"/>
        <v>11000</v>
      </c>
      <c r="AD45" s="68">
        <f t="shared" ref="AD45:AD51" si="36">AC45/AC$145</f>
        <v>-82.759832856259678</v>
      </c>
      <c r="AE45" s="44">
        <f t="shared" si="2"/>
        <v>132000</v>
      </c>
      <c r="AF45" s="21">
        <f t="shared" si="3"/>
        <v>0</v>
      </c>
      <c r="AG45" s="113">
        <v>9717</v>
      </c>
      <c r="AW45" s="99"/>
      <c r="AX45" s="99"/>
    </row>
    <row r="46" spans="1:50">
      <c r="A46" s="2">
        <v>6105</v>
      </c>
      <c r="B46" s="2" t="s">
        <v>39</v>
      </c>
      <c r="C46" s="19"/>
      <c r="D46" s="28">
        <f t="shared" si="22"/>
        <v>0</v>
      </c>
      <c r="E46" s="19"/>
      <c r="F46" s="28">
        <f t="shared" si="24"/>
        <v>0</v>
      </c>
      <c r="G46" s="19"/>
      <c r="H46" s="28">
        <f t="shared" si="25"/>
        <v>0</v>
      </c>
      <c r="I46" s="19"/>
      <c r="J46" s="28">
        <f t="shared" si="26"/>
        <v>0</v>
      </c>
      <c r="K46" s="19"/>
      <c r="L46" s="28">
        <f t="shared" si="27"/>
        <v>0</v>
      </c>
      <c r="M46" s="19"/>
      <c r="N46" s="28">
        <f t="shared" si="28"/>
        <v>0</v>
      </c>
      <c r="O46" s="19"/>
      <c r="P46" s="28">
        <f t="shared" si="29"/>
        <v>0</v>
      </c>
      <c r="Q46" s="19"/>
      <c r="R46" s="28">
        <f t="shared" si="30"/>
        <v>0</v>
      </c>
      <c r="S46" s="19"/>
      <c r="T46" s="28">
        <f t="shared" si="31"/>
        <v>0</v>
      </c>
      <c r="U46" s="19"/>
      <c r="V46" s="28">
        <f t="shared" si="32"/>
        <v>0</v>
      </c>
      <c r="W46" s="19"/>
      <c r="X46" s="28">
        <f t="shared" si="33"/>
        <v>0</v>
      </c>
      <c r="Y46" s="19"/>
      <c r="Z46" s="28">
        <f t="shared" si="34"/>
        <v>0</v>
      </c>
      <c r="AA46" s="59">
        <f t="shared" si="23"/>
        <v>0</v>
      </c>
      <c r="AB46" s="60">
        <f t="shared" si="35"/>
        <v>0</v>
      </c>
      <c r="AC46" s="67">
        <f t="shared" si="1"/>
        <v>0</v>
      </c>
      <c r="AD46" s="68">
        <f t="shared" si="36"/>
        <v>0</v>
      </c>
      <c r="AE46" s="44">
        <f t="shared" si="2"/>
        <v>0</v>
      </c>
      <c r="AF46" s="21">
        <f t="shared" si="3"/>
        <v>0</v>
      </c>
      <c r="AW46" s="99"/>
      <c r="AX46" s="99"/>
    </row>
    <row r="47" spans="1:50">
      <c r="A47" s="2">
        <v>6106</v>
      </c>
      <c r="B47" s="2" t="s">
        <v>6</v>
      </c>
      <c r="C47" s="19">
        <v>18000</v>
      </c>
      <c r="D47" s="28">
        <f t="shared" si="22"/>
        <v>-44.262506976422387</v>
      </c>
      <c r="E47" s="19">
        <v>18000</v>
      </c>
      <c r="F47" s="28">
        <f t="shared" si="24"/>
        <v>-44.262506976422387</v>
      </c>
      <c r="G47" s="19">
        <v>18000</v>
      </c>
      <c r="H47" s="28">
        <f t="shared" si="25"/>
        <v>-44.262506976422387</v>
      </c>
      <c r="I47" s="19">
        <v>18000</v>
      </c>
      <c r="J47" s="28">
        <f t="shared" si="26"/>
        <v>-44.262506976422387</v>
      </c>
      <c r="K47" s="19">
        <v>18000</v>
      </c>
      <c r="L47" s="28">
        <f t="shared" si="27"/>
        <v>-44.262506976422387</v>
      </c>
      <c r="M47" s="19">
        <v>18000</v>
      </c>
      <c r="N47" s="28">
        <f t="shared" si="28"/>
        <v>6.2536147627468637</v>
      </c>
      <c r="O47" s="19">
        <v>18000</v>
      </c>
      <c r="P47" s="28">
        <f t="shared" si="29"/>
        <v>-44.262506976422387</v>
      </c>
      <c r="Q47" s="19">
        <v>18000</v>
      </c>
      <c r="R47" s="28">
        <f t="shared" si="30"/>
        <v>-44.262506976422387</v>
      </c>
      <c r="S47" s="19">
        <v>18000</v>
      </c>
      <c r="T47" s="28">
        <f t="shared" si="31"/>
        <v>-44.262506976422387</v>
      </c>
      <c r="U47" s="19">
        <v>18000</v>
      </c>
      <c r="V47" s="28">
        <f t="shared" si="32"/>
        <v>-44.262506976422387</v>
      </c>
      <c r="W47" s="19">
        <v>18000</v>
      </c>
      <c r="X47" s="28">
        <f t="shared" si="33"/>
        <v>-44.262506976422387</v>
      </c>
      <c r="Y47" s="19">
        <v>18000</v>
      </c>
      <c r="Z47" s="28">
        <f t="shared" si="34"/>
        <v>-44.262506976422387</v>
      </c>
      <c r="AA47" s="59">
        <f t="shared" si="23"/>
        <v>216000</v>
      </c>
      <c r="AB47" s="60">
        <f t="shared" si="35"/>
        <v>-135.42518103751581</v>
      </c>
      <c r="AC47" s="67">
        <f t="shared" si="1"/>
        <v>18000</v>
      </c>
      <c r="AD47" s="68">
        <f t="shared" si="36"/>
        <v>-135.42518103751584</v>
      </c>
      <c r="AE47" s="44">
        <f t="shared" si="2"/>
        <v>216000</v>
      </c>
      <c r="AF47" s="21">
        <f t="shared" si="3"/>
        <v>0</v>
      </c>
      <c r="AG47" s="113">
        <v>9473</v>
      </c>
      <c r="AH47" s="104" t="s">
        <v>241</v>
      </c>
      <c r="AI47" s="102"/>
      <c r="AW47" s="99"/>
      <c r="AX47" s="99"/>
    </row>
    <row r="48" spans="1:50">
      <c r="A48" s="2">
        <v>6107</v>
      </c>
      <c r="B48" s="2" t="s">
        <v>7</v>
      </c>
      <c r="C48" s="19">
        <v>7600</v>
      </c>
      <c r="D48" s="28">
        <f t="shared" si="22"/>
        <v>-18.688614056711675</v>
      </c>
      <c r="E48" s="19">
        <v>7600</v>
      </c>
      <c r="F48" s="28">
        <f t="shared" si="24"/>
        <v>-18.688614056711675</v>
      </c>
      <c r="G48" s="19">
        <v>7600</v>
      </c>
      <c r="H48" s="28">
        <f t="shared" si="25"/>
        <v>-18.688614056711675</v>
      </c>
      <c r="I48" s="19">
        <v>7600</v>
      </c>
      <c r="J48" s="28">
        <f t="shared" si="26"/>
        <v>-18.688614056711675</v>
      </c>
      <c r="K48" s="19">
        <v>7600</v>
      </c>
      <c r="L48" s="28">
        <f t="shared" si="27"/>
        <v>-18.688614056711675</v>
      </c>
      <c r="M48" s="19">
        <v>7600</v>
      </c>
      <c r="N48" s="28">
        <f t="shared" si="28"/>
        <v>2.640415122048676</v>
      </c>
      <c r="O48" s="19">
        <v>7600</v>
      </c>
      <c r="P48" s="28">
        <f t="shared" si="29"/>
        <v>-18.688614056711675</v>
      </c>
      <c r="Q48" s="19">
        <v>7600</v>
      </c>
      <c r="R48" s="28">
        <f t="shared" si="30"/>
        <v>-18.688614056711675</v>
      </c>
      <c r="S48" s="19">
        <v>7600</v>
      </c>
      <c r="T48" s="28">
        <f t="shared" si="31"/>
        <v>-18.688614056711675</v>
      </c>
      <c r="U48" s="19">
        <v>7600</v>
      </c>
      <c r="V48" s="28">
        <f t="shared" si="32"/>
        <v>-18.688614056711675</v>
      </c>
      <c r="W48" s="19">
        <v>7600</v>
      </c>
      <c r="X48" s="28">
        <f t="shared" si="33"/>
        <v>-18.688614056711675</v>
      </c>
      <c r="Y48" s="19">
        <v>7600</v>
      </c>
      <c r="Z48" s="28">
        <f t="shared" si="34"/>
        <v>-18.688614056711675</v>
      </c>
      <c r="AA48" s="59">
        <f t="shared" si="23"/>
        <v>91200</v>
      </c>
      <c r="AB48" s="60">
        <f t="shared" si="35"/>
        <v>-57.179520882506679</v>
      </c>
      <c r="AC48" s="67">
        <f t="shared" si="1"/>
        <v>7600</v>
      </c>
      <c r="AD48" s="68">
        <f t="shared" si="36"/>
        <v>-57.179520882506687</v>
      </c>
      <c r="AE48" s="44">
        <f t="shared" si="2"/>
        <v>91200</v>
      </c>
      <c r="AF48" s="21">
        <f t="shared" si="3"/>
        <v>0</v>
      </c>
      <c r="AG48" s="113">
        <v>4790</v>
      </c>
      <c r="AH48" s="104" t="s">
        <v>242</v>
      </c>
      <c r="AI48" s="102"/>
      <c r="AW48" s="99"/>
      <c r="AX48" s="99"/>
    </row>
    <row r="49" spans="1:50">
      <c r="A49" s="2">
        <v>6108</v>
      </c>
      <c r="B49" s="2" t="s">
        <v>8</v>
      </c>
      <c r="C49" s="19">
        <v>36000</v>
      </c>
      <c r="D49" s="28">
        <f t="shared" si="22"/>
        <v>-88.525013952844773</v>
      </c>
      <c r="E49" s="19">
        <v>36000</v>
      </c>
      <c r="F49" s="28">
        <f t="shared" si="24"/>
        <v>-88.525013952844773</v>
      </c>
      <c r="G49" s="19">
        <v>36000</v>
      </c>
      <c r="H49" s="28">
        <f t="shared" si="25"/>
        <v>-88.525013952844773</v>
      </c>
      <c r="I49" s="19">
        <v>36000</v>
      </c>
      <c r="J49" s="28">
        <f t="shared" si="26"/>
        <v>-88.525013952844773</v>
      </c>
      <c r="K49" s="19">
        <v>36000</v>
      </c>
      <c r="L49" s="28">
        <f t="shared" si="27"/>
        <v>-88.525013952844773</v>
      </c>
      <c r="M49" s="19">
        <v>36000</v>
      </c>
      <c r="N49" s="28">
        <f t="shared" si="28"/>
        <v>12.507229525493727</v>
      </c>
      <c r="O49" s="19">
        <v>36000</v>
      </c>
      <c r="P49" s="28">
        <f t="shared" si="29"/>
        <v>-88.525013952844773</v>
      </c>
      <c r="Q49" s="19">
        <v>36000</v>
      </c>
      <c r="R49" s="28">
        <f t="shared" si="30"/>
        <v>-88.525013952844773</v>
      </c>
      <c r="S49" s="19">
        <v>36000</v>
      </c>
      <c r="T49" s="28">
        <f t="shared" si="31"/>
        <v>-88.525013952844773</v>
      </c>
      <c r="U49" s="19">
        <v>36000</v>
      </c>
      <c r="V49" s="28">
        <f t="shared" si="32"/>
        <v>-88.525013952844773</v>
      </c>
      <c r="W49" s="19">
        <v>36000</v>
      </c>
      <c r="X49" s="28">
        <f t="shared" si="33"/>
        <v>-88.525013952844773</v>
      </c>
      <c r="Y49" s="19">
        <v>36000</v>
      </c>
      <c r="Z49" s="28">
        <f t="shared" si="34"/>
        <v>-88.525013952844773</v>
      </c>
      <c r="AA49" s="59">
        <f t="shared" si="23"/>
        <v>432000</v>
      </c>
      <c r="AB49" s="60">
        <f t="shared" si="35"/>
        <v>-270.85036207503163</v>
      </c>
      <c r="AC49" s="67">
        <f t="shared" si="1"/>
        <v>36000</v>
      </c>
      <c r="AD49" s="68">
        <f t="shared" si="36"/>
        <v>-270.85036207503168</v>
      </c>
      <c r="AE49" s="44">
        <f t="shared" si="2"/>
        <v>432000</v>
      </c>
      <c r="AF49" s="21">
        <f t="shared" si="3"/>
        <v>0</v>
      </c>
      <c r="AG49" s="113">
        <v>17500</v>
      </c>
      <c r="AH49" s="104" t="s">
        <v>231</v>
      </c>
      <c r="AW49" s="99"/>
      <c r="AX49" s="99"/>
    </row>
    <row r="50" spans="1:50">
      <c r="A50" s="82">
        <v>6109</v>
      </c>
      <c r="B50" s="82" t="s">
        <v>79</v>
      </c>
      <c r="C50" s="19">
        <v>500</v>
      </c>
      <c r="D50" s="28">
        <f t="shared" si="22"/>
        <v>-1.2295140826783997</v>
      </c>
      <c r="E50" s="19">
        <v>500</v>
      </c>
      <c r="F50" s="28">
        <f t="shared" si="24"/>
        <v>-1.2295140826783997</v>
      </c>
      <c r="G50" s="19">
        <v>500</v>
      </c>
      <c r="H50" s="28">
        <f t="shared" si="25"/>
        <v>-1.2295140826783997</v>
      </c>
      <c r="I50" s="19">
        <v>500</v>
      </c>
      <c r="J50" s="28">
        <f t="shared" si="26"/>
        <v>-1.2295140826783997</v>
      </c>
      <c r="K50" s="19">
        <v>500</v>
      </c>
      <c r="L50" s="28">
        <f t="shared" si="27"/>
        <v>-1.2295140826783997</v>
      </c>
      <c r="M50" s="19">
        <v>500</v>
      </c>
      <c r="N50" s="28">
        <f t="shared" si="28"/>
        <v>0.1737115211874129</v>
      </c>
      <c r="O50" s="19">
        <v>500</v>
      </c>
      <c r="P50" s="28">
        <f t="shared" si="29"/>
        <v>-1.2295140826783997</v>
      </c>
      <c r="Q50" s="19">
        <v>500</v>
      </c>
      <c r="R50" s="28">
        <f t="shared" si="30"/>
        <v>-1.2295140826783997</v>
      </c>
      <c r="S50" s="19">
        <v>500</v>
      </c>
      <c r="T50" s="28">
        <f t="shared" si="31"/>
        <v>-1.2295140826783997</v>
      </c>
      <c r="U50" s="19">
        <v>500</v>
      </c>
      <c r="V50" s="28">
        <f t="shared" si="32"/>
        <v>-1.2295140826783997</v>
      </c>
      <c r="W50" s="19">
        <v>500</v>
      </c>
      <c r="X50" s="28">
        <f t="shared" si="33"/>
        <v>-1.2295140826783997</v>
      </c>
      <c r="Y50" s="19">
        <v>500</v>
      </c>
      <c r="Z50" s="28">
        <f t="shared" si="34"/>
        <v>-1.2295140826783997</v>
      </c>
      <c r="AA50" s="59">
        <f t="shared" si="23"/>
        <v>6000</v>
      </c>
      <c r="AB50" s="60">
        <f t="shared" si="35"/>
        <v>-3.7618105843754397</v>
      </c>
      <c r="AC50" s="67">
        <f t="shared" si="1"/>
        <v>500</v>
      </c>
      <c r="AD50" s="68">
        <f t="shared" si="36"/>
        <v>-3.7618105843754397</v>
      </c>
      <c r="AE50" s="44">
        <f t="shared" si="2"/>
        <v>6000</v>
      </c>
      <c r="AF50" s="21">
        <f t="shared" si="3"/>
        <v>0</v>
      </c>
      <c r="AG50" s="113">
        <v>100</v>
      </c>
      <c r="AH50" s="104"/>
      <c r="AW50" s="99"/>
      <c r="AX50" s="99"/>
    </row>
    <row r="51" spans="1:50">
      <c r="A51" s="2">
        <v>6110</v>
      </c>
      <c r="B51" s="2" t="s">
        <v>9</v>
      </c>
      <c r="C51" s="19"/>
      <c r="D51" s="28">
        <f t="shared" si="22"/>
        <v>0</v>
      </c>
      <c r="E51" s="19"/>
      <c r="F51" s="28">
        <f t="shared" si="24"/>
        <v>0</v>
      </c>
      <c r="G51" s="19"/>
      <c r="H51" s="28">
        <f t="shared" si="25"/>
        <v>0</v>
      </c>
      <c r="I51" s="19"/>
      <c r="J51" s="28">
        <f t="shared" si="26"/>
        <v>0</v>
      </c>
      <c r="K51" s="19"/>
      <c r="L51" s="28">
        <f t="shared" si="27"/>
        <v>0</v>
      </c>
      <c r="M51" s="19"/>
      <c r="N51" s="28">
        <f t="shared" si="28"/>
        <v>0</v>
      </c>
      <c r="O51" s="19"/>
      <c r="P51" s="28">
        <f t="shared" si="29"/>
        <v>0</v>
      </c>
      <c r="Q51" s="19"/>
      <c r="R51" s="28">
        <f t="shared" si="30"/>
        <v>0</v>
      </c>
      <c r="S51" s="19"/>
      <c r="T51" s="28">
        <f t="shared" si="31"/>
        <v>0</v>
      </c>
      <c r="U51" s="19"/>
      <c r="V51" s="28">
        <f t="shared" si="32"/>
        <v>0</v>
      </c>
      <c r="W51" s="19"/>
      <c r="X51" s="28">
        <f t="shared" si="33"/>
        <v>0</v>
      </c>
      <c r="Y51" s="19"/>
      <c r="Z51" s="28">
        <f t="shared" si="34"/>
        <v>0</v>
      </c>
      <c r="AA51" s="59">
        <f t="shared" si="23"/>
        <v>0</v>
      </c>
      <c r="AB51" s="60">
        <f t="shared" si="35"/>
        <v>0</v>
      </c>
      <c r="AC51" s="67">
        <f t="shared" si="1"/>
        <v>0</v>
      </c>
      <c r="AD51" s="68">
        <f t="shared" si="36"/>
        <v>0</v>
      </c>
      <c r="AE51" s="44">
        <f t="shared" si="2"/>
        <v>0</v>
      </c>
      <c r="AF51" s="21">
        <f t="shared" si="3"/>
        <v>0</v>
      </c>
      <c r="AG51" s="113">
        <v>1131</v>
      </c>
      <c r="AH51" s="104" t="s">
        <v>232</v>
      </c>
      <c r="AW51" s="99"/>
      <c r="AX51" s="99"/>
    </row>
    <row r="52" spans="1:50">
      <c r="A52" s="2">
        <v>6111</v>
      </c>
      <c r="B52" s="2" t="s">
        <v>10</v>
      </c>
      <c r="C52" s="16"/>
      <c r="D52" s="28"/>
      <c r="E52" s="16"/>
      <c r="F52" s="28"/>
      <c r="G52" s="16"/>
      <c r="H52" s="28"/>
      <c r="I52" s="16"/>
      <c r="J52" s="28"/>
      <c r="K52" s="16"/>
      <c r="L52" s="28"/>
      <c r="M52" s="16">
        <v>0</v>
      </c>
      <c r="N52" s="28">
        <f t="shared" si="28"/>
        <v>0</v>
      </c>
      <c r="O52" s="16"/>
      <c r="P52" s="28"/>
      <c r="Q52" s="16"/>
      <c r="R52" s="28"/>
      <c r="S52" s="16"/>
      <c r="T52" s="28"/>
      <c r="U52" s="16"/>
      <c r="V52" s="28"/>
      <c r="W52" s="16"/>
      <c r="X52" s="28"/>
      <c r="Y52" s="16"/>
      <c r="Z52" s="28"/>
      <c r="AA52" s="59">
        <f t="shared" si="23"/>
        <v>0</v>
      </c>
      <c r="AB52" s="60"/>
      <c r="AC52" s="67">
        <f t="shared" si="1"/>
        <v>0</v>
      </c>
      <c r="AD52" s="68"/>
      <c r="AE52" s="44">
        <f t="shared" si="2"/>
        <v>0</v>
      </c>
      <c r="AF52" s="21">
        <f t="shared" si="3"/>
        <v>0</v>
      </c>
      <c r="AG52" s="113"/>
      <c r="AW52" s="99"/>
      <c r="AX52" s="99"/>
    </row>
    <row r="53" spans="1:50">
      <c r="A53" s="2">
        <v>6112</v>
      </c>
      <c r="B53" s="2" t="s">
        <v>11</v>
      </c>
      <c r="C53" s="16"/>
      <c r="D53" s="28"/>
      <c r="E53" s="16"/>
      <c r="F53" s="28"/>
      <c r="G53" s="16">
        <v>0</v>
      </c>
      <c r="H53" s="28"/>
      <c r="I53" s="16">
        <v>0</v>
      </c>
      <c r="J53" s="28"/>
      <c r="K53" s="16">
        <v>0</v>
      </c>
      <c r="L53" s="28"/>
      <c r="M53" s="16">
        <v>0</v>
      </c>
      <c r="N53" s="28">
        <f t="shared" si="28"/>
        <v>0</v>
      </c>
      <c r="O53" s="16"/>
      <c r="P53" s="28"/>
      <c r="Q53" s="16"/>
      <c r="R53" s="28"/>
      <c r="S53" s="16"/>
      <c r="T53" s="28"/>
      <c r="U53" s="16"/>
      <c r="V53" s="28"/>
      <c r="W53" s="16"/>
      <c r="X53" s="28"/>
      <c r="Y53" s="16"/>
      <c r="Z53" s="28"/>
      <c r="AA53" s="59">
        <f t="shared" si="23"/>
        <v>0</v>
      </c>
      <c r="AB53" s="60"/>
      <c r="AC53" s="67">
        <f t="shared" si="1"/>
        <v>0</v>
      </c>
      <c r="AD53" s="68"/>
      <c r="AE53" s="44">
        <f t="shared" si="2"/>
        <v>0</v>
      </c>
      <c r="AF53" s="21">
        <f t="shared" si="3"/>
        <v>0</v>
      </c>
      <c r="AG53" s="113"/>
      <c r="AW53" s="99"/>
      <c r="AX53" s="99"/>
    </row>
    <row r="54" spans="1:50">
      <c r="A54" s="2">
        <v>6113</v>
      </c>
      <c r="B54" s="2" t="s">
        <v>12</v>
      </c>
      <c r="C54" s="16"/>
      <c r="D54" s="28"/>
      <c r="E54" s="16"/>
      <c r="F54" s="28"/>
      <c r="G54" s="16"/>
      <c r="H54" s="28"/>
      <c r="I54" s="16"/>
      <c r="J54" s="28"/>
      <c r="K54" s="16"/>
      <c r="L54" s="28"/>
      <c r="M54" s="16"/>
      <c r="N54" s="28"/>
      <c r="O54" s="16"/>
      <c r="P54" s="28"/>
      <c r="Q54" s="16"/>
      <c r="R54" s="28"/>
      <c r="S54" s="16"/>
      <c r="T54" s="28"/>
      <c r="U54" s="16"/>
      <c r="V54" s="28"/>
      <c r="W54" s="16"/>
      <c r="X54" s="28"/>
      <c r="Y54" s="16"/>
      <c r="Z54" s="28"/>
      <c r="AA54" s="59">
        <f t="shared" si="23"/>
        <v>0</v>
      </c>
      <c r="AB54" s="60"/>
      <c r="AC54" s="67">
        <f t="shared" si="1"/>
        <v>0</v>
      </c>
      <c r="AD54" s="68"/>
      <c r="AE54" s="44">
        <f t="shared" si="2"/>
        <v>0</v>
      </c>
      <c r="AF54" s="21">
        <f t="shared" si="3"/>
        <v>0</v>
      </c>
      <c r="AG54" s="113"/>
      <c r="AW54" s="99"/>
      <c r="AX54" s="99"/>
    </row>
    <row r="55" spans="1:50">
      <c r="A55" s="2">
        <v>6114</v>
      </c>
      <c r="B55" s="2" t="s">
        <v>88</v>
      </c>
      <c r="C55" s="19">
        <v>250</v>
      </c>
      <c r="D55" s="28">
        <f t="shared" ref="D55:D62" si="37">C55/C$145</f>
        <v>-0.61475704133919984</v>
      </c>
      <c r="E55" s="19">
        <v>250</v>
      </c>
      <c r="F55" s="28">
        <f t="shared" ref="F55:F62" si="38">E55/E$145</f>
        <v>-0.61475704133919984</v>
      </c>
      <c r="G55" s="19">
        <v>250</v>
      </c>
      <c r="H55" s="28">
        <f t="shared" ref="H55:H62" si="39">G55/G$145</f>
        <v>-0.61475704133919984</v>
      </c>
      <c r="I55" s="19">
        <v>250</v>
      </c>
      <c r="J55" s="28">
        <f t="shared" ref="J55:J62" si="40">I55/I$145</f>
        <v>-0.61475704133919984</v>
      </c>
      <c r="K55" s="19">
        <v>250</v>
      </c>
      <c r="L55" s="28">
        <f t="shared" ref="L55:L62" si="41">K55/K$145</f>
        <v>-0.61475704133919984</v>
      </c>
      <c r="M55" s="19">
        <v>250</v>
      </c>
      <c r="N55" s="28">
        <f t="shared" ref="N55:N62" si="42">M55/M$145</f>
        <v>8.6855760593706449E-2</v>
      </c>
      <c r="O55" s="19">
        <v>250</v>
      </c>
      <c r="P55" s="28">
        <f t="shared" ref="P55:P62" si="43">O55/O$145</f>
        <v>-0.61475704133919984</v>
      </c>
      <c r="Q55" s="19">
        <v>250</v>
      </c>
      <c r="R55" s="28">
        <f t="shared" ref="R55:R62" si="44">Q55/Q$145</f>
        <v>-0.61475704133919984</v>
      </c>
      <c r="S55" s="19">
        <v>250</v>
      </c>
      <c r="T55" s="28">
        <f t="shared" ref="T55:T62" si="45">S55/S$145</f>
        <v>-0.61475704133919984</v>
      </c>
      <c r="U55" s="19">
        <v>250</v>
      </c>
      <c r="V55" s="28">
        <f t="shared" ref="V55:V62" si="46">U55/U$145</f>
        <v>-0.61475704133919984</v>
      </c>
      <c r="W55" s="19">
        <v>250</v>
      </c>
      <c r="X55" s="28">
        <f t="shared" ref="X55:X62" si="47">W55/W$145</f>
        <v>-0.61475704133919984</v>
      </c>
      <c r="Y55" s="19">
        <v>250</v>
      </c>
      <c r="Z55" s="28">
        <f t="shared" ref="Z55:Z62" si="48">Y55/Y$145</f>
        <v>-0.61475704133919984</v>
      </c>
      <c r="AA55" s="59">
        <f t="shared" si="23"/>
        <v>3000</v>
      </c>
      <c r="AB55" s="60">
        <f t="shared" ref="AB55:AB62" si="49">AA55/AA$145</f>
        <v>-1.8809052921877198</v>
      </c>
      <c r="AC55" s="67">
        <f t="shared" si="1"/>
        <v>250</v>
      </c>
      <c r="AD55" s="68">
        <f t="shared" ref="AD55:AD62" si="50">AC55/AC$145</f>
        <v>-1.8809052921877198</v>
      </c>
      <c r="AE55" s="44">
        <f t="shared" si="2"/>
        <v>3000</v>
      </c>
      <c r="AF55" s="21">
        <f t="shared" si="3"/>
        <v>0</v>
      </c>
      <c r="AG55" s="113">
        <v>52</v>
      </c>
      <c r="AH55" s="1" t="s">
        <v>134</v>
      </c>
      <c r="AW55" s="99"/>
      <c r="AX55" s="99"/>
    </row>
    <row r="56" spans="1:50">
      <c r="A56" s="2">
        <v>6115</v>
      </c>
      <c r="B56" s="2" t="s">
        <v>13</v>
      </c>
      <c r="C56" s="19">
        <v>1000</v>
      </c>
      <c r="D56" s="28">
        <f t="shared" si="37"/>
        <v>-2.4590281653567994</v>
      </c>
      <c r="E56" s="19">
        <v>1000</v>
      </c>
      <c r="F56" s="28">
        <f t="shared" si="38"/>
        <v>-2.4590281653567994</v>
      </c>
      <c r="G56" s="19">
        <v>1000</v>
      </c>
      <c r="H56" s="28">
        <f t="shared" si="39"/>
        <v>-2.4590281653567994</v>
      </c>
      <c r="I56" s="19">
        <v>1000</v>
      </c>
      <c r="J56" s="28">
        <f t="shared" si="40"/>
        <v>-2.4590281653567994</v>
      </c>
      <c r="K56" s="19">
        <v>1000</v>
      </c>
      <c r="L56" s="28">
        <f t="shared" si="41"/>
        <v>-2.4590281653567994</v>
      </c>
      <c r="M56" s="19">
        <v>1000</v>
      </c>
      <c r="N56" s="28">
        <f t="shared" si="42"/>
        <v>0.3474230423748258</v>
      </c>
      <c r="O56" s="19">
        <v>1000</v>
      </c>
      <c r="P56" s="28">
        <f t="shared" si="43"/>
        <v>-2.4590281653567994</v>
      </c>
      <c r="Q56" s="19">
        <v>1000</v>
      </c>
      <c r="R56" s="28">
        <f t="shared" si="44"/>
        <v>-2.4590281653567994</v>
      </c>
      <c r="S56" s="19">
        <v>1000</v>
      </c>
      <c r="T56" s="28">
        <f t="shared" si="45"/>
        <v>-2.4590281653567994</v>
      </c>
      <c r="U56" s="19">
        <v>1000</v>
      </c>
      <c r="V56" s="28">
        <f t="shared" si="46"/>
        <v>-2.4590281653567994</v>
      </c>
      <c r="W56" s="19">
        <v>1000</v>
      </c>
      <c r="X56" s="28">
        <f t="shared" si="47"/>
        <v>-2.4590281653567994</v>
      </c>
      <c r="Y56" s="19">
        <v>1000</v>
      </c>
      <c r="Z56" s="28">
        <f t="shared" si="48"/>
        <v>-2.4590281653567994</v>
      </c>
      <c r="AA56" s="59">
        <f t="shared" si="23"/>
        <v>12000</v>
      </c>
      <c r="AB56" s="60">
        <f t="shared" si="49"/>
        <v>-7.5236211687508794</v>
      </c>
      <c r="AC56" s="67">
        <f t="shared" si="1"/>
        <v>1000</v>
      </c>
      <c r="AD56" s="68">
        <f t="shared" si="50"/>
        <v>-7.5236211687508794</v>
      </c>
      <c r="AE56" s="44">
        <f t="shared" si="2"/>
        <v>12000</v>
      </c>
      <c r="AF56" s="21">
        <f t="shared" si="3"/>
        <v>0</v>
      </c>
      <c r="AG56" s="113">
        <v>882</v>
      </c>
      <c r="AH56" s="1" t="s">
        <v>136</v>
      </c>
      <c r="AW56" s="99"/>
      <c r="AX56" s="99"/>
    </row>
    <row r="57" spans="1:50">
      <c r="A57" s="2">
        <v>6116</v>
      </c>
      <c r="B57" s="82" t="s">
        <v>14</v>
      </c>
      <c r="C57" s="19"/>
      <c r="D57" s="28">
        <f t="shared" si="37"/>
        <v>0</v>
      </c>
      <c r="E57" s="19"/>
      <c r="F57" s="28">
        <f t="shared" si="38"/>
        <v>0</v>
      </c>
      <c r="G57" s="19"/>
      <c r="H57" s="28">
        <f t="shared" si="39"/>
        <v>0</v>
      </c>
      <c r="I57" s="19"/>
      <c r="J57" s="28">
        <f t="shared" si="40"/>
        <v>0</v>
      </c>
      <c r="K57" s="19"/>
      <c r="L57" s="28">
        <f t="shared" si="41"/>
        <v>0</v>
      </c>
      <c r="M57" s="19">
        <v>0</v>
      </c>
      <c r="N57" s="28">
        <f t="shared" si="42"/>
        <v>0</v>
      </c>
      <c r="O57" s="19">
        <v>0</v>
      </c>
      <c r="P57" s="28">
        <f t="shared" si="43"/>
        <v>0</v>
      </c>
      <c r="Q57" s="19">
        <v>0</v>
      </c>
      <c r="R57" s="28">
        <f t="shared" si="44"/>
        <v>0</v>
      </c>
      <c r="S57" s="19"/>
      <c r="T57" s="28">
        <f t="shared" si="45"/>
        <v>0</v>
      </c>
      <c r="U57" s="19"/>
      <c r="V57" s="28">
        <f t="shared" si="46"/>
        <v>0</v>
      </c>
      <c r="W57" s="19"/>
      <c r="X57" s="28">
        <f t="shared" si="47"/>
        <v>0</v>
      </c>
      <c r="Y57" s="19"/>
      <c r="Z57" s="28">
        <f t="shared" si="48"/>
        <v>0</v>
      </c>
      <c r="AA57" s="59">
        <f t="shared" si="23"/>
        <v>0</v>
      </c>
      <c r="AB57" s="60">
        <f t="shared" si="49"/>
        <v>0</v>
      </c>
      <c r="AC57" s="67">
        <f t="shared" si="1"/>
        <v>0</v>
      </c>
      <c r="AD57" s="68">
        <f t="shared" si="50"/>
        <v>0</v>
      </c>
      <c r="AE57" s="44">
        <f t="shared" si="2"/>
        <v>0</v>
      </c>
      <c r="AF57" s="21">
        <f t="shared" si="3"/>
        <v>0</v>
      </c>
      <c r="AG57" s="113"/>
      <c r="AW57" s="99"/>
      <c r="AX57" s="99"/>
    </row>
    <row r="58" spans="1:50">
      <c r="A58" s="82">
        <v>6117</v>
      </c>
      <c r="B58" s="82" t="s">
        <v>15</v>
      </c>
      <c r="C58" s="16"/>
      <c r="D58" s="28">
        <f t="shared" si="37"/>
        <v>0</v>
      </c>
      <c r="E58" s="16"/>
      <c r="F58" s="28">
        <f t="shared" si="38"/>
        <v>0</v>
      </c>
      <c r="G58" s="16"/>
      <c r="H58" s="28">
        <f t="shared" si="39"/>
        <v>0</v>
      </c>
      <c r="I58" s="16"/>
      <c r="J58" s="28">
        <f t="shared" si="40"/>
        <v>0</v>
      </c>
      <c r="K58" s="16"/>
      <c r="L58" s="28">
        <f t="shared" si="41"/>
        <v>0</v>
      </c>
      <c r="M58" s="16"/>
      <c r="N58" s="28">
        <f t="shared" si="42"/>
        <v>0</v>
      </c>
      <c r="O58" s="16"/>
      <c r="P58" s="28">
        <f t="shared" si="43"/>
        <v>0</v>
      </c>
      <c r="Q58" s="16"/>
      <c r="R58" s="28">
        <f t="shared" si="44"/>
        <v>0</v>
      </c>
      <c r="S58" s="16"/>
      <c r="T58" s="28">
        <f t="shared" si="45"/>
        <v>0</v>
      </c>
      <c r="U58" s="16"/>
      <c r="V58" s="28">
        <f t="shared" si="46"/>
        <v>0</v>
      </c>
      <c r="W58" s="16"/>
      <c r="X58" s="28">
        <f t="shared" si="47"/>
        <v>0</v>
      </c>
      <c r="Y58" s="16"/>
      <c r="Z58" s="28">
        <f t="shared" si="48"/>
        <v>0</v>
      </c>
      <c r="AA58" s="59">
        <f t="shared" si="23"/>
        <v>0</v>
      </c>
      <c r="AB58" s="60">
        <f t="shared" si="49"/>
        <v>0</v>
      </c>
      <c r="AC58" s="67">
        <f t="shared" si="1"/>
        <v>0</v>
      </c>
      <c r="AD58" s="68">
        <f t="shared" si="50"/>
        <v>0</v>
      </c>
      <c r="AE58" s="44">
        <f t="shared" si="2"/>
        <v>0</v>
      </c>
      <c r="AF58" s="21">
        <f t="shared" si="3"/>
        <v>0</v>
      </c>
      <c r="AG58" s="113"/>
      <c r="AW58" s="99"/>
      <c r="AX58" s="99"/>
    </row>
    <row r="59" spans="1:50">
      <c r="A59" s="2">
        <v>6118</v>
      </c>
      <c r="B59" s="2" t="s">
        <v>16</v>
      </c>
      <c r="C59" s="19"/>
      <c r="D59" s="28">
        <f t="shared" si="37"/>
        <v>0</v>
      </c>
      <c r="E59" s="19"/>
      <c r="F59" s="28">
        <f t="shared" si="38"/>
        <v>0</v>
      </c>
      <c r="G59" s="19"/>
      <c r="H59" s="28">
        <f t="shared" si="39"/>
        <v>0</v>
      </c>
      <c r="I59" s="19"/>
      <c r="J59" s="28">
        <f t="shared" si="40"/>
        <v>0</v>
      </c>
      <c r="K59" s="19"/>
      <c r="L59" s="28">
        <f t="shared" si="41"/>
        <v>0</v>
      </c>
      <c r="M59" s="19"/>
      <c r="N59" s="28">
        <f t="shared" si="42"/>
        <v>0</v>
      </c>
      <c r="O59" s="19"/>
      <c r="P59" s="28">
        <f t="shared" si="43"/>
        <v>0</v>
      </c>
      <c r="Q59" s="19"/>
      <c r="R59" s="28">
        <f t="shared" si="44"/>
        <v>0</v>
      </c>
      <c r="S59" s="19"/>
      <c r="T59" s="28">
        <f t="shared" si="45"/>
        <v>0</v>
      </c>
      <c r="U59" s="19"/>
      <c r="V59" s="28">
        <f t="shared" si="46"/>
        <v>0</v>
      </c>
      <c r="W59" s="19"/>
      <c r="X59" s="28">
        <f t="shared" si="47"/>
        <v>0</v>
      </c>
      <c r="Y59" s="19"/>
      <c r="Z59" s="28">
        <f t="shared" si="48"/>
        <v>0</v>
      </c>
      <c r="AA59" s="59">
        <f t="shared" si="23"/>
        <v>0</v>
      </c>
      <c r="AB59" s="60">
        <f t="shared" si="49"/>
        <v>0</v>
      </c>
      <c r="AC59" s="67">
        <f t="shared" si="1"/>
        <v>0</v>
      </c>
      <c r="AD59" s="68">
        <f t="shared" si="50"/>
        <v>0</v>
      </c>
      <c r="AE59" s="44">
        <f t="shared" si="2"/>
        <v>0</v>
      </c>
      <c r="AF59" s="21">
        <f t="shared" si="3"/>
        <v>0</v>
      </c>
      <c r="AG59" s="113"/>
      <c r="AW59" s="99"/>
      <c r="AX59" s="99"/>
    </row>
    <row r="60" spans="1:50">
      <c r="A60" s="2">
        <v>6119</v>
      </c>
      <c r="B60" s="2" t="s">
        <v>17</v>
      </c>
      <c r="C60" s="16"/>
      <c r="D60" s="28">
        <f t="shared" si="37"/>
        <v>0</v>
      </c>
      <c r="E60" s="16"/>
      <c r="F60" s="28">
        <f t="shared" si="38"/>
        <v>0</v>
      </c>
      <c r="G60" s="16"/>
      <c r="H60" s="28">
        <f t="shared" si="39"/>
        <v>0</v>
      </c>
      <c r="I60" s="16"/>
      <c r="J60" s="28">
        <f t="shared" si="40"/>
        <v>0</v>
      </c>
      <c r="K60" s="16"/>
      <c r="L60" s="28">
        <f t="shared" si="41"/>
        <v>0</v>
      </c>
      <c r="M60" s="16">
        <v>0</v>
      </c>
      <c r="N60" s="28">
        <f t="shared" si="42"/>
        <v>0</v>
      </c>
      <c r="O60" s="16">
        <v>0</v>
      </c>
      <c r="P60" s="28">
        <f t="shared" si="43"/>
        <v>0</v>
      </c>
      <c r="Q60" s="16">
        <v>0</v>
      </c>
      <c r="R60" s="28">
        <f t="shared" si="44"/>
        <v>0</v>
      </c>
      <c r="S60" s="16">
        <v>0</v>
      </c>
      <c r="T60" s="28">
        <f t="shared" si="45"/>
        <v>0</v>
      </c>
      <c r="U60" s="16"/>
      <c r="V60" s="28">
        <f t="shared" si="46"/>
        <v>0</v>
      </c>
      <c r="W60" s="16"/>
      <c r="X60" s="28">
        <f t="shared" si="47"/>
        <v>0</v>
      </c>
      <c r="Y60" s="16"/>
      <c r="Z60" s="28">
        <f t="shared" si="48"/>
        <v>0</v>
      </c>
      <c r="AA60" s="59">
        <f t="shared" si="23"/>
        <v>0</v>
      </c>
      <c r="AB60" s="60">
        <f t="shared" si="49"/>
        <v>0</v>
      </c>
      <c r="AC60" s="67">
        <f t="shared" si="1"/>
        <v>0</v>
      </c>
      <c r="AD60" s="68">
        <f t="shared" si="50"/>
        <v>0</v>
      </c>
      <c r="AE60" s="44">
        <f t="shared" si="2"/>
        <v>0</v>
      </c>
      <c r="AF60" s="21">
        <f t="shared" si="3"/>
        <v>0</v>
      </c>
      <c r="AG60" s="113"/>
      <c r="AW60" s="99"/>
      <c r="AX60" s="99"/>
    </row>
    <row r="61" spans="1:50">
      <c r="A61" s="82">
        <v>6120</v>
      </c>
      <c r="B61" s="2" t="s">
        <v>18</v>
      </c>
      <c r="C61" s="16"/>
      <c r="D61" s="28">
        <f t="shared" si="37"/>
        <v>0</v>
      </c>
      <c r="E61" s="16"/>
      <c r="F61" s="28">
        <f t="shared" si="38"/>
        <v>0</v>
      </c>
      <c r="G61" s="16"/>
      <c r="H61" s="28">
        <f t="shared" si="39"/>
        <v>0</v>
      </c>
      <c r="I61" s="16"/>
      <c r="J61" s="28">
        <f t="shared" si="40"/>
        <v>0</v>
      </c>
      <c r="K61" s="16"/>
      <c r="L61" s="28">
        <f t="shared" si="41"/>
        <v>0</v>
      </c>
      <c r="M61" s="16"/>
      <c r="N61" s="28">
        <f t="shared" si="42"/>
        <v>0</v>
      </c>
      <c r="O61" s="16"/>
      <c r="P61" s="28">
        <f t="shared" si="43"/>
        <v>0</v>
      </c>
      <c r="Q61" s="16"/>
      <c r="R61" s="28">
        <f t="shared" si="44"/>
        <v>0</v>
      </c>
      <c r="S61" s="16"/>
      <c r="T61" s="28">
        <f t="shared" si="45"/>
        <v>0</v>
      </c>
      <c r="U61" s="16"/>
      <c r="V61" s="28">
        <f t="shared" si="46"/>
        <v>0</v>
      </c>
      <c r="W61" s="16"/>
      <c r="X61" s="28">
        <f t="shared" si="47"/>
        <v>0</v>
      </c>
      <c r="Y61" s="16"/>
      <c r="Z61" s="28">
        <f t="shared" si="48"/>
        <v>0</v>
      </c>
      <c r="AA61" s="59">
        <f t="shared" si="23"/>
        <v>0</v>
      </c>
      <c r="AB61" s="60">
        <f t="shared" si="49"/>
        <v>0</v>
      </c>
      <c r="AC61" s="67">
        <f t="shared" si="1"/>
        <v>0</v>
      </c>
      <c r="AD61" s="68">
        <f t="shared" si="50"/>
        <v>0</v>
      </c>
      <c r="AE61" s="44">
        <f t="shared" si="2"/>
        <v>0</v>
      </c>
      <c r="AF61" s="21">
        <f t="shared" si="3"/>
        <v>0</v>
      </c>
      <c r="AG61" s="113">
        <v>584</v>
      </c>
      <c r="AH61" s="1" t="s">
        <v>144</v>
      </c>
      <c r="AW61" s="99"/>
      <c r="AX61" s="99"/>
    </row>
    <row r="62" spans="1:50">
      <c r="A62" s="2">
        <v>6121</v>
      </c>
      <c r="B62" s="2" t="s">
        <v>19</v>
      </c>
      <c r="C62" s="16">
        <v>3000</v>
      </c>
      <c r="D62" s="28">
        <f t="shared" si="37"/>
        <v>-7.3770844960703972</v>
      </c>
      <c r="E62" s="16">
        <v>3000</v>
      </c>
      <c r="F62" s="28">
        <f t="shared" si="38"/>
        <v>-7.3770844960703972</v>
      </c>
      <c r="G62" s="16">
        <v>3000</v>
      </c>
      <c r="H62" s="28">
        <f t="shared" si="39"/>
        <v>-7.3770844960703972</v>
      </c>
      <c r="I62" s="16">
        <v>3000</v>
      </c>
      <c r="J62" s="28">
        <f t="shared" si="40"/>
        <v>-7.3770844960703972</v>
      </c>
      <c r="K62" s="16">
        <v>3000</v>
      </c>
      <c r="L62" s="28">
        <f t="shared" si="41"/>
        <v>-7.3770844960703972</v>
      </c>
      <c r="M62" s="16">
        <v>3000</v>
      </c>
      <c r="N62" s="28">
        <f t="shared" si="42"/>
        <v>1.0422691271244773</v>
      </c>
      <c r="O62" s="16">
        <v>3000</v>
      </c>
      <c r="P62" s="28">
        <f t="shared" si="43"/>
        <v>-7.3770844960703972</v>
      </c>
      <c r="Q62" s="16">
        <v>3000</v>
      </c>
      <c r="R62" s="28">
        <f t="shared" si="44"/>
        <v>-7.3770844960703972</v>
      </c>
      <c r="S62" s="16">
        <v>3000</v>
      </c>
      <c r="T62" s="28">
        <f t="shared" si="45"/>
        <v>-7.3770844960703972</v>
      </c>
      <c r="U62" s="16">
        <v>3000</v>
      </c>
      <c r="V62" s="28">
        <f t="shared" si="46"/>
        <v>-7.3770844960703972</v>
      </c>
      <c r="W62" s="16">
        <v>3000</v>
      </c>
      <c r="X62" s="28">
        <f t="shared" si="47"/>
        <v>-7.3770844960703972</v>
      </c>
      <c r="Y62" s="16">
        <v>3000</v>
      </c>
      <c r="Z62" s="28">
        <f t="shared" si="48"/>
        <v>-7.3770844960703972</v>
      </c>
      <c r="AA62" s="59">
        <f t="shared" si="23"/>
        <v>36000</v>
      </c>
      <c r="AB62" s="60">
        <f t="shared" si="49"/>
        <v>-22.570863506252639</v>
      </c>
      <c r="AC62" s="67">
        <f t="shared" si="1"/>
        <v>3000</v>
      </c>
      <c r="AD62" s="68">
        <f t="shared" si="50"/>
        <v>-22.570863506252639</v>
      </c>
      <c r="AE62" s="44">
        <f t="shared" si="2"/>
        <v>36000</v>
      </c>
      <c r="AF62" s="21">
        <f t="shared" si="3"/>
        <v>0</v>
      </c>
      <c r="AG62" s="113">
        <v>2392</v>
      </c>
      <c r="AH62" s="1" t="s">
        <v>243</v>
      </c>
      <c r="AW62" s="99"/>
      <c r="AX62" s="99"/>
    </row>
    <row r="63" spans="1:50">
      <c r="A63" s="2">
        <v>6122</v>
      </c>
      <c r="B63" s="2" t="s">
        <v>20</v>
      </c>
      <c r="C63" s="16"/>
      <c r="D63" s="28"/>
      <c r="E63" s="16"/>
      <c r="F63" s="28"/>
      <c r="G63" s="16"/>
      <c r="H63" s="28"/>
      <c r="I63" s="16"/>
      <c r="J63" s="28"/>
      <c r="K63" s="16"/>
      <c r="L63" s="28"/>
      <c r="M63" s="16"/>
      <c r="N63" s="28"/>
      <c r="O63" s="16"/>
      <c r="P63" s="28"/>
      <c r="Q63" s="16"/>
      <c r="R63" s="28"/>
      <c r="S63" s="16"/>
      <c r="T63" s="28"/>
      <c r="U63" s="16"/>
      <c r="V63" s="28"/>
      <c r="W63" s="16"/>
      <c r="X63" s="28"/>
      <c r="Y63" s="16"/>
      <c r="Z63" s="28"/>
      <c r="AA63" s="59">
        <f t="shared" si="23"/>
        <v>0</v>
      </c>
      <c r="AB63" s="60"/>
      <c r="AC63" s="67">
        <f t="shared" si="1"/>
        <v>0</v>
      </c>
      <c r="AD63" s="68"/>
      <c r="AE63" s="44">
        <f t="shared" si="2"/>
        <v>0</v>
      </c>
      <c r="AF63" s="21">
        <f t="shared" si="3"/>
        <v>0</v>
      </c>
      <c r="AG63" s="113"/>
      <c r="AW63" s="99"/>
      <c r="AX63" s="99"/>
    </row>
    <row r="64" spans="1:50">
      <c r="A64" s="2">
        <v>6123</v>
      </c>
      <c r="B64" s="2" t="s">
        <v>21</v>
      </c>
      <c r="C64" s="16">
        <v>0</v>
      </c>
      <c r="D64" s="28"/>
      <c r="E64" s="16">
        <v>0</v>
      </c>
      <c r="F64" s="28"/>
      <c r="G64" s="16">
        <v>0</v>
      </c>
      <c r="H64" s="28"/>
      <c r="I64" s="16">
        <v>0</v>
      </c>
      <c r="J64" s="28"/>
      <c r="K64" s="16">
        <v>0</v>
      </c>
      <c r="L64" s="28"/>
      <c r="M64" s="16">
        <v>0</v>
      </c>
      <c r="N64" s="28"/>
      <c r="O64" s="16">
        <v>0</v>
      </c>
      <c r="P64" s="28"/>
      <c r="Q64" s="16">
        <v>0</v>
      </c>
      <c r="R64" s="28"/>
      <c r="S64" s="16">
        <v>0</v>
      </c>
      <c r="T64" s="28"/>
      <c r="U64" s="16"/>
      <c r="V64" s="28"/>
      <c r="W64" s="16"/>
      <c r="X64" s="28"/>
      <c r="Y64" s="16"/>
      <c r="Z64" s="28"/>
      <c r="AA64" s="59">
        <f t="shared" si="23"/>
        <v>0</v>
      </c>
      <c r="AB64" s="60"/>
      <c r="AC64" s="67">
        <f t="shared" si="1"/>
        <v>0</v>
      </c>
      <c r="AD64" s="68"/>
      <c r="AE64" s="44">
        <f t="shared" si="2"/>
        <v>0</v>
      </c>
      <c r="AF64" s="21">
        <f t="shared" si="3"/>
        <v>0</v>
      </c>
      <c r="AG64" s="113">
        <v>190</v>
      </c>
      <c r="AH64" s="1" t="s">
        <v>221</v>
      </c>
      <c r="AW64" s="99"/>
      <c r="AX64" s="99"/>
    </row>
    <row r="65" spans="1:50">
      <c r="A65" s="82">
        <v>6124</v>
      </c>
      <c r="B65" s="2" t="s">
        <v>22</v>
      </c>
      <c r="C65" s="16">
        <v>5000</v>
      </c>
      <c r="D65" s="28">
        <f>C65/C$145</f>
        <v>-12.295140826783996</v>
      </c>
      <c r="E65" s="16">
        <v>5000</v>
      </c>
      <c r="F65" s="28">
        <f>E65/E$145</f>
        <v>-12.295140826783996</v>
      </c>
      <c r="G65" s="16">
        <v>5000</v>
      </c>
      <c r="H65" s="28">
        <f>G65/G$145</f>
        <v>-12.295140826783996</v>
      </c>
      <c r="I65" s="16">
        <v>5000</v>
      </c>
      <c r="J65" s="28">
        <f>I65/I$145</f>
        <v>-12.295140826783996</v>
      </c>
      <c r="K65" s="16">
        <v>5000</v>
      </c>
      <c r="L65" s="28">
        <f>K65/K$145</f>
        <v>-12.295140826783996</v>
      </c>
      <c r="M65" s="16">
        <v>5000</v>
      </c>
      <c r="N65" s="28">
        <f>M65/M$145</f>
        <v>1.7371152118741289</v>
      </c>
      <c r="O65" s="16">
        <v>5000</v>
      </c>
      <c r="P65" s="28">
        <f>O65/O$145</f>
        <v>-12.295140826783996</v>
      </c>
      <c r="Q65" s="16">
        <v>5000</v>
      </c>
      <c r="R65" s="28">
        <f>Q65/Q$145</f>
        <v>-12.295140826783996</v>
      </c>
      <c r="S65" s="16">
        <v>5000</v>
      </c>
      <c r="T65" s="28">
        <f>S65/S$145</f>
        <v>-12.295140826783996</v>
      </c>
      <c r="U65" s="16">
        <v>5000</v>
      </c>
      <c r="V65" s="28">
        <f>U65/U$145</f>
        <v>-12.295140826783996</v>
      </c>
      <c r="W65" s="16">
        <v>5000</v>
      </c>
      <c r="X65" s="28">
        <f>W65/W$145</f>
        <v>-12.295140826783996</v>
      </c>
      <c r="Y65" s="16">
        <v>5000</v>
      </c>
      <c r="Z65" s="28">
        <f>Y65/Y$145</f>
        <v>-12.295140826783996</v>
      </c>
      <c r="AA65" s="59">
        <f t="shared" si="23"/>
        <v>60000</v>
      </c>
      <c r="AB65" s="60">
        <f>AA65/AA$145</f>
        <v>-37.618105843754392</v>
      </c>
      <c r="AC65" s="67">
        <f t="shared" si="1"/>
        <v>5000</v>
      </c>
      <c r="AD65" s="68">
        <f>AC65/AC$145</f>
        <v>-37.6181058437544</v>
      </c>
      <c r="AE65" s="44">
        <f t="shared" si="2"/>
        <v>60000</v>
      </c>
      <c r="AF65" s="21">
        <f t="shared" si="3"/>
        <v>0</v>
      </c>
      <c r="AG65" s="113">
        <v>1047</v>
      </c>
      <c r="AH65" s="1" t="s">
        <v>197</v>
      </c>
      <c r="AW65" s="99"/>
      <c r="AX65" s="99"/>
    </row>
    <row r="66" spans="1:50">
      <c r="A66" s="2">
        <v>6125</v>
      </c>
      <c r="B66" s="2" t="s">
        <v>78</v>
      </c>
      <c r="C66" s="16">
        <v>1000</v>
      </c>
      <c r="D66" s="28">
        <f>C66/C$145</f>
        <v>-2.4590281653567994</v>
      </c>
      <c r="E66" s="16">
        <v>1000</v>
      </c>
      <c r="F66" s="28">
        <f>E66/E$145</f>
        <v>-2.4590281653567994</v>
      </c>
      <c r="G66" s="16">
        <v>1000</v>
      </c>
      <c r="H66" s="28">
        <f>G66/G$145</f>
        <v>-2.4590281653567994</v>
      </c>
      <c r="I66" s="16">
        <v>1000</v>
      </c>
      <c r="J66" s="28">
        <f>I66/I$145</f>
        <v>-2.4590281653567994</v>
      </c>
      <c r="K66" s="16">
        <v>1000</v>
      </c>
      <c r="L66" s="28">
        <f>K66/K$145</f>
        <v>-2.4590281653567994</v>
      </c>
      <c r="M66" s="16">
        <v>1000</v>
      </c>
      <c r="N66" s="28">
        <f>M66/M$145</f>
        <v>0.3474230423748258</v>
      </c>
      <c r="O66" s="16">
        <v>1000</v>
      </c>
      <c r="P66" s="28">
        <f>O66/O$145</f>
        <v>-2.4590281653567994</v>
      </c>
      <c r="Q66" s="16">
        <v>1000</v>
      </c>
      <c r="R66" s="28">
        <f>Q66/Q$145</f>
        <v>-2.4590281653567994</v>
      </c>
      <c r="S66" s="16">
        <v>1000</v>
      </c>
      <c r="T66" s="28">
        <f>S66/S$145</f>
        <v>-2.4590281653567994</v>
      </c>
      <c r="U66" s="16">
        <v>1000</v>
      </c>
      <c r="V66" s="28">
        <f>U66/U$145</f>
        <v>-2.4590281653567994</v>
      </c>
      <c r="W66" s="16">
        <v>1000</v>
      </c>
      <c r="X66" s="28">
        <f>W66/W$145</f>
        <v>-2.4590281653567994</v>
      </c>
      <c r="Y66" s="16">
        <v>1000</v>
      </c>
      <c r="Z66" s="28">
        <f>Y66/Y$145</f>
        <v>-2.4590281653567994</v>
      </c>
      <c r="AA66" s="59">
        <f t="shared" si="23"/>
        <v>12000</v>
      </c>
      <c r="AB66" s="60">
        <f>AA66/AA$145</f>
        <v>-7.5236211687508794</v>
      </c>
      <c r="AC66" s="67">
        <f t="shared" si="1"/>
        <v>1000</v>
      </c>
      <c r="AD66" s="68">
        <f>AC66/AC$145</f>
        <v>-7.5236211687508794</v>
      </c>
      <c r="AE66" s="44">
        <f t="shared" si="2"/>
        <v>12000</v>
      </c>
      <c r="AF66" s="21">
        <f t="shared" si="3"/>
        <v>0</v>
      </c>
      <c r="AG66" s="113">
        <v>3578</v>
      </c>
      <c r="AH66" s="11" t="s">
        <v>234</v>
      </c>
      <c r="AW66" s="99"/>
      <c r="AX66" s="99"/>
    </row>
    <row r="67" spans="1:50">
      <c r="A67" s="2">
        <v>6126</v>
      </c>
      <c r="B67" s="2" t="s">
        <v>105</v>
      </c>
      <c r="C67" s="16">
        <v>2400</v>
      </c>
      <c r="D67" s="28">
        <f>C67/C$145</f>
        <v>-5.9016675968563179</v>
      </c>
      <c r="E67" s="16">
        <v>2400</v>
      </c>
      <c r="F67" s="28">
        <f>E67/E$145</f>
        <v>-5.9016675968563179</v>
      </c>
      <c r="G67" s="16">
        <v>2400</v>
      </c>
      <c r="H67" s="28">
        <f>G67/G$145</f>
        <v>-5.9016675968563179</v>
      </c>
      <c r="I67" s="16">
        <v>2400</v>
      </c>
      <c r="J67" s="28">
        <f>I67/I$145</f>
        <v>-5.9016675968563179</v>
      </c>
      <c r="K67" s="16">
        <v>2400</v>
      </c>
      <c r="L67" s="28">
        <f>K67/K$145</f>
        <v>-5.9016675968563179</v>
      </c>
      <c r="M67" s="16">
        <v>2400</v>
      </c>
      <c r="N67" s="28">
        <f>M67/M$145</f>
        <v>0.83381530169958185</v>
      </c>
      <c r="O67" s="16">
        <v>2400</v>
      </c>
      <c r="P67" s="28">
        <f>O67/O$145</f>
        <v>-5.9016675968563179</v>
      </c>
      <c r="Q67" s="16">
        <v>2400</v>
      </c>
      <c r="R67" s="28">
        <f>Q67/Q$145</f>
        <v>-5.9016675968563179</v>
      </c>
      <c r="S67" s="16">
        <v>2400</v>
      </c>
      <c r="T67" s="28">
        <f>S67/S$145</f>
        <v>-5.9016675968563179</v>
      </c>
      <c r="U67" s="16">
        <v>2400</v>
      </c>
      <c r="V67" s="28">
        <f>U67/U$145</f>
        <v>-5.9016675968563179</v>
      </c>
      <c r="W67" s="16">
        <v>2400</v>
      </c>
      <c r="X67" s="28">
        <f>W67/W$145</f>
        <v>-5.9016675968563179</v>
      </c>
      <c r="Y67" s="16">
        <v>2400</v>
      </c>
      <c r="Z67" s="28">
        <f>Y67/Y$145</f>
        <v>-5.9016675968563179</v>
      </c>
      <c r="AA67" s="59">
        <f t="shared" si="23"/>
        <v>28800</v>
      </c>
      <c r="AB67" s="60">
        <f>AA67/AA$145</f>
        <v>-18.056690805002109</v>
      </c>
      <c r="AC67" s="67">
        <f t="shared" si="1"/>
        <v>2400</v>
      </c>
      <c r="AD67" s="68">
        <f>AC67/AC$145</f>
        <v>-18.056690805002113</v>
      </c>
      <c r="AE67" s="44">
        <f t="shared" si="2"/>
        <v>28800</v>
      </c>
      <c r="AF67" s="21">
        <f t="shared" si="3"/>
        <v>0</v>
      </c>
      <c r="AG67" s="113">
        <v>2381</v>
      </c>
      <c r="AH67" s="1" t="s">
        <v>244</v>
      </c>
      <c r="AW67" s="99"/>
      <c r="AX67" s="99"/>
    </row>
    <row r="68" spans="1:50">
      <c r="A68" s="2">
        <v>6127</v>
      </c>
      <c r="B68" s="2" t="s">
        <v>76</v>
      </c>
      <c r="C68" s="16">
        <v>2100</v>
      </c>
      <c r="D68" s="28">
        <f>C68/C$145</f>
        <v>-5.1639591472492778</v>
      </c>
      <c r="E68" s="16">
        <v>2100</v>
      </c>
      <c r="F68" s="28">
        <f>E68/E$145</f>
        <v>-5.1639591472492778</v>
      </c>
      <c r="G68" s="16">
        <v>2100</v>
      </c>
      <c r="H68" s="28">
        <f>G68/G$145</f>
        <v>-5.1639591472492778</v>
      </c>
      <c r="I68" s="16">
        <v>2100</v>
      </c>
      <c r="J68" s="28">
        <f>I68/I$145</f>
        <v>-5.1639591472492778</v>
      </c>
      <c r="K68" s="16">
        <v>2100</v>
      </c>
      <c r="L68" s="28">
        <f>K68/K$145</f>
        <v>-5.1639591472492778</v>
      </c>
      <c r="M68" s="16">
        <v>2100</v>
      </c>
      <c r="N68" s="28">
        <f>M68/M$145</f>
        <v>0.72958838898713418</v>
      </c>
      <c r="O68" s="16">
        <v>2100</v>
      </c>
      <c r="P68" s="28">
        <f>O68/O$145</f>
        <v>-5.1639591472492778</v>
      </c>
      <c r="Q68" s="16">
        <v>2100</v>
      </c>
      <c r="R68" s="28">
        <f>Q68/Q$145</f>
        <v>-5.1639591472492778</v>
      </c>
      <c r="S68" s="16">
        <v>2100</v>
      </c>
      <c r="T68" s="28">
        <f>S68/S$145</f>
        <v>-5.1639591472492778</v>
      </c>
      <c r="U68" s="16">
        <v>2100</v>
      </c>
      <c r="V68" s="28">
        <f>U68/U$145</f>
        <v>-5.1639591472492778</v>
      </c>
      <c r="W68" s="16">
        <v>2100</v>
      </c>
      <c r="X68" s="28">
        <f>W68/W$145</f>
        <v>-5.1639591472492778</v>
      </c>
      <c r="Y68" s="16">
        <v>2100</v>
      </c>
      <c r="Z68" s="28">
        <f>Y68/Y$145</f>
        <v>-5.1639591472492778</v>
      </c>
      <c r="AA68" s="59">
        <f t="shared" si="23"/>
        <v>25200</v>
      </c>
      <c r="AB68" s="60">
        <f>AA68/AA$145</f>
        <v>-15.799604454376846</v>
      </c>
      <c r="AC68" s="67">
        <f t="shared" si="1"/>
        <v>2100</v>
      </c>
      <c r="AD68" s="68">
        <f>AC68/AC$145</f>
        <v>-15.799604454376848</v>
      </c>
      <c r="AE68" s="44">
        <f t="shared" si="2"/>
        <v>25200</v>
      </c>
      <c r="AF68" s="21">
        <f t="shared" si="3"/>
        <v>0</v>
      </c>
      <c r="AG68" s="113">
        <v>4550</v>
      </c>
      <c r="AH68" s="1" t="s">
        <v>137</v>
      </c>
      <c r="AW68" s="99"/>
      <c r="AX68" s="99"/>
    </row>
    <row r="69" spans="1:50">
      <c r="A69" s="2">
        <v>6128</v>
      </c>
      <c r="B69" s="2" t="s">
        <v>161</v>
      </c>
      <c r="C69" s="16"/>
      <c r="D69" s="28"/>
      <c r="E69" s="16"/>
      <c r="F69" s="28"/>
      <c r="G69" s="16"/>
      <c r="H69" s="28"/>
      <c r="I69" s="16"/>
      <c r="J69" s="28"/>
      <c r="K69" s="16"/>
      <c r="L69" s="28"/>
      <c r="M69" s="16"/>
      <c r="N69" s="28"/>
      <c r="O69" s="16"/>
      <c r="P69" s="28"/>
      <c r="Q69" s="16"/>
      <c r="R69" s="28"/>
      <c r="S69" s="16"/>
      <c r="T69" s="28"/>
      <c r="U69" s="16"/>
      <c r="V69" s="28"/>
      <c r="W69" s="16"/>
      <c r="X69" s="28"/>
      <c r="Y69" s="16"/>
      <c r="Z69" s="28"/>
      <c r="AA69" s="59">
        <f t="shared" si="23"/>
        <v>0</v>
      </c>
      <c r="AB69" s="60">
        <f t="shared" ref="AB69:AB75" si="51">AA69/AA$145</f>
        <v>0</v>
      </c>
      <c r="AC69" s="67">
        <f t="shared" si="1"/>
        <v>0</v>
      </c>
      <c r="AD69" s="68">
        <f t="shared" ref="AD69:AD75" si="52">AC69/AC$145</f>
        <v>0</v>
      </c>
      <c r="AE69" s="44">
        <f t="shared" si="2"/>
        <v>0</v>
      </c>
      <c r="AF69" s="21">
        <f t="shared" si="3"/>
        <v>0</v>
      </c>
      <c r="AW69" s="99"/>
      <c r="AX69" s="99"/>
    </row>
    <row r="70" spans="1:50">
      <c r="A70" s="2">
        <v>6131</v>
      </c>
      <c r="B70" s="15" t="s">
        <v>235</v>
      </c>
      <c r="C70" s="84">
        <v>2000</v>
      </c>
      <c r="D70" s="28">
        <f>C70/C$145</f>
        <v>-4.9180563307135987</v>
      </c>
      <c r="E70" s="84">
        <v>2000</v>
      </c>
      <c r="F70" s="28">
        <f>E70/E$145</f>
        <v>-4.9180563307135987</v>
      </c>
      <c r="G70" s="84">
        <v>2000</v>
      </c>
      <c r="H70" s="28">
        <f>G70/G$145</f>
        <v>-4.9180563307135987</v>
      </c>
      <c r="I70" s="84">
        <v>2000</v>
      </c>
      <c r="J70" s="28">
        <f>I70/I$145</f>
        <v>-4.9180563307135987</v>
      </c>
      <c r="K70" s="84">
        <v>2000</v>
      </c>
      <c r="L70" s="28">
        <f>K70/K$145</f>
        <v>-4.9180563307135987</v>
      </c>
      <c r="M70" s="84">
        <v>2000</v>
      </c>
      <c r="N70" s="28">
        <f>M70/M$145</f>
        <v>0.69484608474965159</v>
      </c>
      <c r="O70" s="84">
        <v>2000</v>
      </c>
      <c r="P70" s="28">
        <f>O70/O$145</f>
        <v>-4.9180563307135987</v>
      </c>
      <c r="Q70" s="84">
        <v>2000</v>
      </c>
      <c r="R70" s="28">
        <f>Q70/Q$145</f>
        <v>-4.9180563307135987</v>
      </c>
      <c r="S70" s="84">
        <v>2000</v>
      </c>
      <c r="T70" s="28">
        <f>S70/S$145</f>
        <v>-4.9180563307135987</v>
      </c>
      <c r="U70" s="84">
        <v>2000</v>
      </c>
      <c r="V70" s="28">
        <f>U70/U$145</f>
        <v>-4.9180563307135987</v>
      </c>
      <c r="W70" s="84">
        <f>24000/12</f>
        <v>2000</v>
      </c>
      <c r="X70" s="28">
        <f>W70/W$145</f>
        <v>-4.9180563307135987</v>
      </c>
      <c r="Y70" s="84">
        <f>24000/12</f>
        <v>2000</v>
      </c>
      <c r="Z70" s="28">
        <f>Y70/Y$145</f>
        <v>-4.9180563307135987</v>
      </c>
      <c r="AA70" s="59">
        <f t="shared" si="23"/>
        <v>24000</v>
      </c>
      <c r="AB70" s="60">
        <f t="shared" si="51"/>
        <v>-15.047242337501759</v>
      </c>
      <c r="AC70" s="67">
        <f t="shared" ref="AC70:AC75" si="53">AA70/12</f>
        <v>2000</v>
      </c>
      <c r="AD70" s="68">
        <f t="shared" si="52"/>
        <v>-15.047242337501759</v>
      </c>
      <c r="AE70" s="44"/>
      <c r="AF70" s="21"/>
      <c r="AW70" s="99"/>
      <c r="AX70" s="99"/>
    </row>
    <row r="71" spans="1:50">
      <c r="A71" s="2">
        <v>6132</v>
      </c>
      <c r="B71" s="219" t="s">
        <v>236</v>
      </c>
      <c r="C71" s="158"/>
      <c r="D71" s="28">
        <f>C71/C$145</f>
        <v>0</v>
      </c>
      <c r="E71" s="158"/>
      <c r="F71" s="28">
        <f>E71/E$145</f>
        <v>0</v>
      </c>
      <c r="G71" s="158"/>
      <c r="H71" s="28">
        <f>G71/G$145</f>
        <v>0</v>
      </c>
      <c r="I71" s="158"/>
      <c r="J71" s="28">
        <f>I71/I$145</f>
        <v>0</v>
      </c>
      <c r="K71" s="158"/>
      <c r="L71" s="28">
        <f>K71/K$145</f>
        <v>0</v>
      </c>
      <c r="M71" s="158">
        <v>3285</v>
      </c>
      <c r="N71" s="28">
        <f>M71/M$145</f>
        <v>1.1412846942013026</v>
      </c>
      <c r="O71" s="158"/>
      <c r="P71" s="28">
        <f>O71/O$145</f>
        <v>0</v>
      </c>
      <c r="Q71" s="158"/>
      <c r="R71" s="28">
        <f>Q71/Q$145</f>
        <v>0</v>
      </c>
      <c r="S71" s="158"/>
      <c r="T71" s="28">
        <f>S71/S$145</f>
        <v>0</v>
      </c>
      <c r="U71" s="158"/>
      <c r="V71" s="28">
        <f>U71/U$145</f>
        <v>0</v>
      </c>
      <c r="W71" s="158"/>
      <c r="X71" s="28">
        <f>W71/W$145</f>
        <v>0</v>
      </c>
      <c r="Y71" s="158"/>
      <c r="Z71" s="28">
        <f>Y71/Y$145</f>
        <v>0</v>
      </c>
      <c r="AA71" s="59">
        <f t="shared" si="23"/>
        <v>3285</v>
      </c>
      <c r="AB71" s="60">
        <f t="shared" si="51"/>
        <v>-2.059591294945553</v>
      </c>
      <c r="AC71" s="67">
        <f t="shared" si="53"/>
        <v>273.75</v>
      </c>
      <c r="AD71" s="68">
        <f t="shared" si="52"/>
        <v>-2.0595912949455535</v>
      </c>
      <c r="AE71" s="44"/>
      <c r="AF71" s="21"/>
      <c r="AW71" s="99"/>
      <c r="AX71" s="99"/>
    </row>
    <row r="72" spans="1:50">
      <c r="A72" s="2">
        <v>6133</v>
      </c>
      <c r="B72" s="219" t="s">
        <v>237</v>
      </c>
      <c r="C72" s="158">
        <v>1500</v>
      </c>
      <c r="D72" s="28">
        <f>C72/C$145</f>
        <v>-3.6885422480351986</v>
      </c>
      <c r="E72" s="158">
        <v>1500</v>
      </c>
      <c r="F72" s="28">
        <f>E72/E$145</f>
        <v>-3.6885422480351986</v>
      </c>
      <c r="G72" s="158">
        <v>1500</v>
      </c>
      <c r="H72" s="28">
        <f>G72/G$145</f>
        <v>-3.6885422480351986</v>
      </c>
      <c r="I72" s="158">
        <v>1500</v>
      </c>
      <c r="J72" s="28">
        <f>I72/I$145</f>
        <v>-3.6885422480351986</v>
      </c>
      <c r="K72" s="158">
        <v>1500</v>
      </c>
      <c r="L72" s="28">
        <f>K72/K$145</f>
        <v>-3.6885422480351986</v>
      </c>
      <c r="M72" s="158">
        <v>1500</v>
      </c>
      <c r="N72" s="28">
        <f>M72/M$145</f>
        <v>0.52113456356223864</v>
      </c>
      <c r="O72" s="158">
        <v>1500</v>
      </c>
      <c r="P72" s="28">
        <f>O72/O$145</f>
        <v>-3.6885422480351986</v>
      </c>
      <c r="Q72" s="158">
        <v>1500</v>
      </c>
      <c r="R72" s="28">
        <f>Q72/Q$145</f>
        <v>-3.6885422480351986</v>
      </c>
      <c r="S72" s="158">
        <v>1500</v>
      </c>
      <c r="T72" s="28">
        <f>S72/S$145</f>
        <v>-3.6885422480351986</v>
      </c>
      <c r="U72" s="158">
        <v>1500</v>
      </c>
      <c r="V72" s="28">
        <f>U72/U$145</f>
        <v>-3.6885422480351986</v>
      </c>
      <c r="W72" s="158">
        <f>18000/12</f>
        <v>1500</v>
      </c>
      <c r="X72" s="28">
        <f>W72/W$145</f>
        <v>-3.6885422480351986</v>
      </c>
      <c r="Y72" s="158">
        <f>18000/12</f>
        <v>1500</v>
      </c>
      <c r="Z72" s="28">
        <f>Y72/Y$145</f>
        <v>-3.6885422480351986</v>
      </c>
      <c r="AA72" s="59">
        <f t="shared" si="23"/>
        <v>18000</v>
      </c>
      <c r="AB72" s="60">
        <f t="shared" si="51"/>
        <v>-11.28543175312632</v>
      </c>
      <c r="AC72" s="67">
        <f t="shared" si="53"/>
        <v>1500</v>
      </c>
      <c r="AD72" s="68">
        <f t="shared" si="52"/>
        <v>-11.28543175312632</v>
      </c>
      <c r="AE72" s="44"/>
      <c r="AF72" s="21"/>
      <c r="AW72" s="99"/>
      <c r="AX72" s="99"/>
    </row>
    <row r="73" spans="1:50">
      <c r="A73" s="2">
        <v>6134</v>
      </c>
      <c r="B73" s="219" t="s">
        <v>238</v>
      </c>
      <c r="C73" s="158">
        <v>0</v>
      </c>
      <c r="D73" s="28">
        <f>C73/C$145</f>
        <v>0</v>
      </c>
      <c r="E73" s="158"/>
      <c r="F73" s="28">
        <f>E73/E$145</f>
        <v>0</v>
      </c>
      <c r="G73" s="158"/>
      <c r="H73" s="28">
        <f>G73/G$145</f>
        <v>0</v>
      </c>
      <c r="I73" s="158"/>
      <c r="J73" s="28">
        <f>I73/I$145</f>
        <v>0</v>
      </c>
      <c r="K73" s="158"/>
      <c r="L73" s="28">
        <f>K73/K$145</f>
        <v>0</v>
      </c>
      <c r="M73" s="158"/>
      <c r="N73" s="28">
        <f>M73/M$145</f>
        <v>0</v>
      </c>
      <c r="O73" s="158"/>
      <c r="P73" s="28">
        <f>O73/O$145</f>
        <v>0</v>
      </c>
      <c r="Q73" s="158"/>
      <c r="R73" s="28">
        <f>Q73/Q$145</f>
        <v>0</v>
      </c>
      <c r="S73" s="158"/>
      <c r="T73" s="28">
        <f>S73/S$145</f>
        <v>0</v>
      </c>
      <c r="U73" s="158"/>
      <c r="V73" s="28">
        <f>U73/U$145</f>
        <v>0</v>
      </c>
      <c r="W73" s="158"/>
      <c r="X73" s="28">
        <f>W73/W$145</f>
        <v>0</v>
      </c>
      <c r="Y73" s="158"/>
      <c r="Z73" s="28">
        <f>Y73/Y$145</f>
        <v>0</v>
      </c>
      <c r="AA73" s="59">
        <f t="shared" si="23"/>
        <v>0</v>
      </c>
      <c r="AB73" s="60">
        <f t="shared" si="51"/>
        <v>0</v>
      </c>
      <c r="AC73" s="67">
        <f t="shared" si="53"/>
        <v>0</v>
      </c>
      <c r="AD73" s="68">
        <f t="shared" si="52"/>
        <v>0</v>
      </c>
      <c r="AE73" s="44"/>
      <c r="AF73" s="21"/>
      <c r="AW73" s="99"/>
      <c r="AX73" s="99"/>
    </row>
    <row r="74" spans="1:50">
      <c r="A74" s="2">
        <v>6135</v>
      </c>
      <c r="B74" s="219" t="s">
        <v>239</v>
      </c>
      <c r="C74" s="158">
        <v>0</v>
      </c>
      <c r="D74" s="28"/>
      <c r="E74" s="158">
        <v>0</v>
      </c>
      <c r="F74" s="28"/>
      <c r="G74" s="158">
        <v>0</v>
      </c>
      <c r="H74" s="28"/>
      <c r="I74" s="158">
        <v>0</v>
      </c>
      <c r="J74" s="28"/>
      <c r="K74" s="158">
        <v>0</v>
      </c>
      <c r="L74" s="28"/>
      <c r="M74" s="158">
        <v>0</v>
      </c>
      <c r="N74" s="28"/>
      <c r="O74" s="158">
        <v>0</v>
      </c>
      <c r="P74" s="28"/>
      <c r="Q74" s="158">
        <v>0</v>
      </c>
      <c r="R74" s="28"/>
      <c r="S74" s="158">
        <v>0</v>
      </c>
      <c r="T74" s="28"/>
      <c r="U74" s="158">
        <v>0</v>
      </c>
      <c r="V74" s="28"/>
      <c r="W74" s="158">
        <v>0</v>
      </c>
      <c r="X74" s="28"/>
      <c r="Y74" s="158">
        <v>0</v>
      </c>
      <c r="Z74" s="28"/>
      <c r="AA74" s="59">
        <f t="shared" si="23"/>
        <v>0</v>
      </c>
      <c r="AB74" s="60">
        <f t="shared" si="51"/>
        <v>0</v>
      </c>
      <c r="AC74" s="67">
        <f t="shared" si="53"/>
        <v>0</v>
      </c>
      <c r="AD74" s="68">
        <f t="shared" si="52"/>
        <v>0</v>
      </c>
      <c r="AE74" s="44"/>
      <c r="AF74" s="21"/>
      <c r="AW74" s="99"/>
      <c r="AX74" s="99"/>
    </row>
    <row r="75" spans="1:50">
      <c r="A75" s="2">
        <v>6136</v>
      </c>
      <c r="B75" s="219" t="s">
        <v>256</v>
      </c>
      <c r="C75" s="158">
        <v>0</v>
      </c>
      <c r="D75" s="28">
        <f>C75/C$145</f>
        <v>0</v>
      </c>
      <c r="E75" s="158">
        <v>0</v>
      </c>
      <c r="F75" s="28">
        <f>E75/E$145</f>
        <v>0</v>
      </c>
      <c r="G75" s="158">
        <v>0</v>
      </c>
      <c r="H75" s="28">
        <f>G75/G$145</f>
        <v>0</v>
      </c>
      <c r="I75" s="158">
        <v>0</v>
      </c>
      <c r="J75" s="28">
        <f>I75/I$145</f>
        <v>0</v>
      </c>
      <c r="K75" s="158">
        <v>0</v>
      </c>
      <c r="L75" s="28">
        <f>K75/K$145</f>
        <v>0</v>
      </c>
      <c r="M75" s="158">
        <v>0</v>
      </c>
      <c r="N75" s="28">
        <f>M75/M$145</f>
        <v>0</v>
      </c>
      <c r="O75" s="158">
        <v>0</v>
      </c>
      <c r="P75" s="28">
        <f>O75/O$145</f>
        <v>0</v>
      </c>
      <c r="Q75" s="158">
        <v>0</v>
      </c>
      <c r="R75" s="28">
        <f>Q75/Q$145</f>
        <v>0</v>
      </c>
      <c r="S75" s="158">
        <v>0</v>
      </c>
      <c r="T75" s="28">
        <f>S75/S$145</f>
        <v>0</v>
      </c>
      <c r="U75" s="158">
        <v>0</v>
      </c>
      <c r="V75" s="28">
        <f>U75/U$145</f>
        <v>0</v>
      </c>
      <c r="W75" s="158">
        <v>0</v>
      </c>
      <c r="X75" s="28">
        <f>W75/W$145</f>
        <v>0</v>
      </c>
      <c r="Y75" s="158">
        <v>0</v>
      </c>
      <c r="Z75" s="28">
        <f>Y75/Y$145</f>
        <v>0</v>
      </c>
      <c r="AA75" s="59">
        <f t="shared" si="23"/>
        <v>0</v>
      </c>
      <c r="AB75" s="60">
        <f t="shared" si="51"/>
        <v>0</v>
      </c>
      <c r="AC75" s="67">
        <f t="shared" si="53"/>
        <v>0</v>
      </c>
      <c r="AD75" s="68">
        <f t="shared" si="52"/>
        <v>0</v>
      </c>
      <c r="AE75" s="44"/>
      <c r="AF75" s="21"/>
      <c r="AW75" s="99"/>
      <c r="AX75" s="99"/>
    </row>
    <row r="76" spans="1:50" ht="15.75" thickBot="1">
      <c r="A76" s="39">
        <v>6199</v>
      </c>
      <c r="B76" s="39" t="s">
        <v>23</v>
      </c>
      <c r="C76" s="31">
        <f>SUM(C42:C75)</f>
        <v>117054</v>
      </c>
      <c r="D76" s="52">
        <f t="shared" ref="D76:D90" si="54">C76/C$145</f>
        <v>-287.83908286767479</v>
      </c>
      <c r="E76" s="31">
        <f>SUM(E42:E75)</f>
        <v>117054</v>
      </c>
      <c r="F76" s="52">
        <f t="shared" ref="F76:F81" si="55">E76/E$145</f>
        <v>-287.83908286767479</v>
      </c>
      <c r="G76" s="31">
        <f>SUM(G42:G75)</f>
        <v>117054</v>
      </c>
      <c r="H76" s="52">
        <f t="shared" ref="H76:H81" si="56">G76/G$145</f>
        <v>-287.83908286767479</v>
      </c>
      <c r="I76" s="31">
        <f>SUM(I42:I75)</f>
        <v>117054</v>
      </c>
      <c r="J76" s="52">
        <f t="shared" ref="J76:J81" si="57">I76/I$145</f>
        <v>-287.83908286767479</v>
      </c>
      <c r="K76" s="31">
        <f>SUM(K42:K75)</f>
        <v>117054</v>
      </c>
      <c r="L76" s="52">
        <f t="shared" ref="L76:L81" si="58">K76/K$145</f>
        <v>-287.83908286767479</v>
      </c>
      <c r="M76" s="31">
        <f>SUM(M42:M75)</f>
        <v>120339</v>
      </c>
      <c r="N76" s="52">
        <f t="shared" ref="N76:N81" si="59">M76/M$145</f>
        <v>41.808541496344162</v>
      </c>
      <c r="O76" s="31">
        <f>SUM(O42:O75)</f>
        <v>117054</v>
      </c>
      <c r="P76" s="52">
        <f t="shared" ref="P76:P90" si="60">O76/O$145</f>
        <v>-287.83908286767479</v>
      </c>
      <c r="Q76" s="31">
        <f>SUM(Q42:Q75)</f>
        <v>117054</v>
      </c>
      <c r="R76" s="52">
        <f t="shared" ref="R76:R81" si="61">Q76/Q$145</f>
        <v>-287.83908286767479</v>
      </c>
      <c r="S76" s="31">
        <f>SUM(S42:S75)</f>
        <v>117054</v>
      </c>
      <c r="T76" s="52">
        <f t="shared" ref="T76:AD91" si="62">S76/S$145</f>
        <v>-287.83908286767479</v>
      </c>
      <c r="U76" s="31">
        <f>SUM(U42:U75)</f>
        <v>117054</v>
      </c>
      <c r="V76" s="52">
        <f t="shared" ref="V76:V81" si="63">U76/U$145</f>
        <v>-287.83908286767479</v>
      </c>
      <c r="W76" s="31">
        <f>SUM(W42:W75)</f>
        <v>117054</v>
      </c>
      <c r="X76" s="52">
        <f t="shared" ref="X76:X81" si="64">W76/W$145</f>
        <v>-287.83908286767479</v>
      </c>
      <c r="Y76" s="31">
        <f>SUM(Y42:Y75)</f>
        <v>117054</v>
      </c>
      <c r="Z76" s="52">
        <f t="shared" ref="Z76:Z93" si="65">Y76/Y$145</f>
        <v>-287.83908286767479</v>
      </c>
      <c r="AA76" s="61">
        <f>SUM(AA42:AA75)</f>
        <v>1407933</v>
      </c>
      <c r="AB76" s="74">
        <f t="shared" si="62"/>
        <v>-882.729543581911</v>
      </c>
      <c r="AC76" s="24">
        <f>SUM(AC42:AC75)</f>
        <v>117327.75</v>
      </c>
      <c r="AD76" s="77">
        <f t="shared" si="62"/>
        <v>-882.729543581911</v>
      </c>
      <c r="AE76" s="44">
        <f t="shared" ref="AE76:AE149" si="66">C76+E76+G76+I76+K76+M76+O76+Q76+S76+U76+W76+Y76</f>
        <v>1407933</v>
      </c>
      <c r="AF76" s="21">
        <f t="shared" ref="AF76:AF149" si="67">AA76-AE76</f>
        <v>0</v>
      </c>
      <c r="AG76" s="116">
        <v>70000</v>
      </c>
      <c r="AH76" s="83" t="s">
        <v>132</v>
      </c>
      <c r="AW76" s="99"/>
      <c r="AX76" s="99"/>
    </row>
    <row r="77" spans="1:50" ht="15.75" thickTop="1">
      <c r="A77" s="2">
        <v>6201</v>
      </c>
      <c r="B77" s="2" t="s">
        <v>24</v>
      </c>
      <c r="C77" s="16">
        <v>160528.51</v>
      </c>
      <c r="D77" s="28">
        <f t="shared" si="54"/>
        <v>-394.74412743276059</v>
      </c>
      <c r="E77" s="16">
        <v>160528.51</v>
      </c>
      <c r="F77" s="28">
        <f t="shared" si="55"/>
        <v>-394.74412743276059</v>
      </c>
      <c r="G77" s="16">
        <v>160528.51</v>
      </c>
      <c r="H77" s="28">
        <f t="shared" si="56"/>
        <v>-394.74412743276059</v>
      </c>
      <c r="I77" s="16">
        <v>160528.51</v>
      </c>
      <c r="J77" s="28">
        <f t="shared" si="57"/>
        <v>-394.74412743276059</v>
      </c>
      <c r="K77" s="16">
        <v>160528.51</v>
      </c>
      <c r="L77" s="28">
        <f t="shared" si="58"/>
        <v>-394.74412743276059</v>
      </c>
      <c r="M77" s="16">
        <v>160528.51</v>
      </c>
      <c r="N77" s="28">
        <f t="shared" si="59"/>
        <v>55.771303332097645</v>
      </c>
      <c r="O77" s="16">
        <v>160528.51</v>
      </c>
      <c r="P77" s="28">
        <f t="shared" si="60"/>
        <v>-394.74412743276059</v>
      </c>
      <c r="Q77" s="16">
        <v>160528.51</v>
      </c>
      <c r="R77" s="28">
        <f t="shared" si="61"/>
        <v>-394.74412743276059</v>
      </c>
      <c r="S77" s="16">
        <v>160528.51</v>
      </c>
      <c r="T77" s="28">
        <f t="shared" si="62"/>
        <v>-394.74412743276059</v>
      </c>
      <c r="U77" s="16">
        <v>160528.51</v>
      </c>
      <c r="V77" s="28">
        <f t="shared" si="63"/>
        <v>-394.74412743276059</v>
      </c>
      <c r="W77" s="16">
        <v>160528.51</v>
      </c>
      <c r="X77" s="28">
        <f t="shared" si="64"/>
        <v>-394.74412743276059</v>
      </c>
      <c r="Y77" s="16">
        <v>160528.51</v>
      </c>
      <c r="Z77" s="28">
        <f t="shared" si="65"/>
        <v>-394.74412743276059</v>
      </c>
      <c r="AA77" s="59">
        <f t="shared" ref="AA77:AA92" si="68">C77+E77+G77+I77+K77+M77+O77+Q77+S77+U77+W77+Y77</f>
        <v>1926342.12</v>
      </c>
      <c r="AB77" s="60">
        <f t="shared" si="62"/>
        <v>-1207.7556960240372</v>
      </c>
      <c r="AC77" s="67">
        <f t="shared" ref="AC77:AC148" si="69">AA77/12</f>
        <v>160528.51</v>
      </c>
      <c r="AD77" s="68">
        <f t="shared" si="62"/>
        <v>-1207.7556960240374</v>
      </c>
      <c r="AE77" s="44">
        <f t="shared" si="66"/>
        <v>1926342.12</v>
      </c>
      <c r="AF77" s="21">
        <f t="shared" si="67"/>
        <v>0</v>
      </c>
      <c r="AG77" s="16">
        <v>190355.97</v>
      </c>
      <c r="AJ77" s="44"/>
      <c r="AW77" s="99"/>
      <c r="AX77" s="99"/>
    </row>
    <row r="78" spans="1:50">
      <c r="A78" s="2">
        <v>6202</v>
      </c>
      <c r="B78" s="2" t="s">
        <v>25</v>
      </c>
      <c r="C78" s="16">
        <v>50922</v>
      </c>
      <c r="D78" s="28">
        <f t="shared" si="54"/>
        <v>-125.21863223629893</v>
      </c>
      <c r="E78" s="16">
        <v>50922</v>
      </c>
      <c r="F78" s="28">
        <f t="shared" si="55"/>
        <v>-125.21863223629893</v>
      </c>
      <c r="G78" s="16">
        <v>50922</v>
      </c>
      <c r="H78" s="28">
        <f t="shared" si="56"/>
        <v>-125.21863223629893</v>
      </c>
      <c r="I78" s="16">
        <v>50922</v>
      </c>
      <c r="J78" s="28">
        <f t="shared" si="57"/>
        <v>-125.21863223629893</v>
      </c>
      <c r="K78" s="16">
        <v>50922</v>
      </c>
      <c r="L78" s="28">
        <f t="shared" si="58"/>
        <v>-125.21863223629893</v>
      </c>
      <c r="M78" s="16">
        <v>50922</v>
      </c>
      <c r="N78" s="28">
        <f t="shared" si="59"/>
        <v>17.691476163810879</v>
      </c>
      <c r="O78" s="16">
        <v>50922</v>
      </c>
      <c r="P78" s="28">
        <f t="shared" si="60"/>
        <v>-125.21863223629893</v>
      </c>
      <c r="Q78" s="16">
        <v>50922</v>
      </c>
      <c r="R78" s="28">
        <f t="shared" si="61"/>
        <v>-125.21863223629893</v>
      </c>
      <c r="S78" s="16">
        <v>50922</v>
      </c>
      <c r="T78" s="28">
        <f t="shared" si="62"/>
        <v>-125.21863223629893</v>
      </c>
      <c r="U78" s="16">
        <v>50922</v>
      </c>
      <c r="V78" s="28">
        <f t="shared" si="63"/>
        <v>-125.21863223629893</v>
      </c>
      <c r="W78" s="16">
        <v>50922</v>
      </c>
      <c r="X78" s="28">
        <f t="shared" si="64"/>
        <v>-125.21863223629893</v>
      </c>
      <c r="Y78" s="16">
        <v>50922</v>
      </c>
      <c r="Z78" s="28">
        <f t="shared" si="65"/>
        <v>-125.21863223629893</v>
      </c>
      <c r="AA78" s="59">
        <f t="shared" si="68"/>
        <v>611064</v>
      </c>
      <c r="AB78" s="60">
        <f t="shared" si="62"/>
        <v>-383.11783715513229</v>
      </c>
      <c r="AC78" s="67">
        <f t="shared" si="69"/>
        <v>50922</v>
      </c>
      <c r="AD78" s="68">
        <f t="shared" si="62"/>
        <v>-383.11783715513229</v>
      </c>
      <c r="AE78" s="44">
        <f t="shared" si="66"/>
        <v>611064</v>
      </c>
      <c r="AF78" s="21">
        <f t="shared" si="67"/>
        <v>0</v>
      </c>
      <c r="AG78" s="16">
        <v>79110.63</v>
      </c>
      <c r="AW78" s="99"/>
      <c r="AX78" s="99"/>
    </row>
    <row r="79" spans="1:50">
      <c r="A79" s="2">
        <v>6203</v>
      </c>
      <c r="B79" s="2" t="s">
        <v>26</v>
      </c>
      <c r="C79" s="16">
        <v>20845.990000000002</v>
      </c>
      <c r="D79" s="28">
        <f t="shared" si="54"/>
        <v>-51.260876544746189</v>
      </c>
      <c r="E79" s="16">
        <v>20845.990000000002</v>
      </c>
      <c r="F79" s="28">
        <f t="shared" si="55"/>
        <v>-51.260876544746189</v>
      </c>
      <c r="G79" s="16">
        <v>20845.990000000002</v>
      </c>
      <c r="H79" s="28">
        <f t="shared" si="56"/>
        <v>-51.260876544746189</v>
      </c>
      <c r="I79" s="16">
        <v>20845.990000000002</v>
      </c>
      <c r="J79" s="28">
        <f t="shared" si="57"/>
        <v>-51.260876544746189</v>
      </c>
      <c r="K79" s="16">
        <v>20845.990000000002</v>
      </c>
      <c r="L79" s="28">
        <f t="shared" si="58"/>
        <v>-51.260876544746189</v>
      </c>
      <c r="M79" s="16">
        <v>20845.990000000002</v>
      </c>
      <c r="N79" s="28">
        <f t="shared" si="59"/>
        <v>7.2423772671151951</v>
      </c>
      <c r="O79" s="16">
        <v>20845.990000000002</v>
      </c>
      <c r="P79" s="28">
        <f t="shared" si="60"/>
        <v>-51.260876544746189</v>
      </c>
      <c r="Q79" s="16">
        <v>20845.990000000002</v>
      </c>
      <c r="R79" s="28">
        <f t="shared" si="61"/>
        <v>-51.260876544746189</v>
      </c>
      <c r="S79" s="16">
        <v>20845.990000000002</v>
      </c>
      <c r="T79" s="28">
        <f t="shared" si="62"/>
        <v>-51.260876544746189</v>
      </c>
      <c r="U79" s="16">
        <v>20845.990000000002</v>
      </c>
      <c r="V79" s="28">
        <f t="shared" si="63"/>
        <v>-51.260876544746189</v>
      </c>
      <c r="W79" s="16">
        <v>20845.990000000002</v>
      </c>
      <c r="X79" s="28">
        <f t="shared" si="64"/>
        <v>-51.260876544746189</v>
      </c>
      <c r="Y79" s="16">
        <v>20845.990000000002</v>
      </c>
      <c r="Z79" s="28">
        <f t="shared" si="65"/>
        <v>-51.260876544746189</v>
      </c>
      <c r="AA79" s="59">
        <f t="shared" si="68"/>
        <v>250151.87999999998</v>
      </c>
      <c r="AB79" s="60">
        <f t="shared" si="62"/>
        <v>-156.83733164756913</v>
      </c>
      <c r="AC79" s="67">
        <f t="shared" si="69"/>
        <v>20845.989999999998</v>
      </c>
      <c r="AD79" s="68">
        <f t="shared" si="62"/>
        <v>-156.83733164756913</v>
      </c>
      <c r="AE79" s="44">
        <f t="shared" si="66"/>
        <v>250151.87999999998</v>
      </c>
      <c r="AF79" s="21">
        <f t="shared" si="67"/>
        <v>0</v>
      </c>
      <c r="AG79" s="16">
        <v>27943.99</v>
      </c>
      <c r="AW79" s="99"/>
      <c r="AX79" s="99"/>
    </row>
    <row r="80" spans="1:50">
      <c r="A80" s="2">
        <v>6204</v>
      </c>
      <c r="B80" s="2" t="s">
        <v>27</v>
      </c>
      <c r="C80" s="16">
        <v>1250</v>
      </c>
      <c r="D80" s="28">
        <f t="shared" si="54"/>
        <v>-3.073785206695999</v>
      </c>
      <c r="E80" s="16">
        <v>1250</v>
      </c>
      <c r="F80" s="28">
        <f t="shared" si="55"/>
        <v>-3.073785206695999</v>
      </c>
      <c r="G80" s="16">
        <v>1250</v>
      </c>
      <c r="H80" s="28">
        <f t="shared" si="56"/>
        <v>-3.073785206695999</v>
      </c>
      <c r="I80" s="16">
        <v>1250</v>
      </c>
      <c r="J80" s="28">
        <f t="shared" si="57"/>
        <v>-3.073785206695999</v>
      </c>
      <c r="K80" s="16">
        <v>1250</v>
      </c>
      <c r="L80" s="28">
        <f t="shared" si="58"/>
        <v>-3.073785206695999</v>
      </c>
      <c r="M80" s="16">
        <v>1250</v>
      </c>
      <c r="N80" s="28">
        <f t="shared" si="59"/>
        <v>0.43427880296853222</v>
      </c>
      <c r="O80" s="16">
        <v>1250</v>
      </c>
      <c r="P80" s="28">
        <f t="shared" si="60"/>
        <v>-3.073785206695999</v>
      </c>
      <c r="Q80" s="16">
        <v>1250</v>
      </c>
      <c r="R80" s="28">
        <f t="shared" si="61"/>
        <v>-3.073785206695999</v>
      </c>
      <c r="S80" s="16">
        <v>1250</v>
      </c>
      <c r="T80" s="28">
        <f t="shared" si="62"/>
        <v>-3.073785206695999</v>
      </c>
      <c r="U80" s="16">
        <v>1250</v>
      </c>
      <c r="V80" s="28">
        <f t="shared" si="63"/>
        <v>-3.073785206695999</v>
      </c>
      <c r="W80" s="16">
        <v>1250</v>
      </c>
      <c r="X80" s="28">
        <f t="shared" si="64"/>
        <v>-3.073785206695999</v>
      </c>
      <c r="Y80" s="16">
        <v>1250</v>
      </c>
      <c r="Z80" s="28">
        <f t="shared" si="65"/>
        <v>-3.073785206695999</v>
      </c>
      <c r="AA80" s="59">
        <f t="shared" si="68"/>
        <v>15000</v>
      </c>
      <c r="AB80" s="60">
        <f t="shared" si="62"/>
        <v>-9.4045264609385981</v>
      </c>
      <c r="AC80" s="67">
        <f t="shared" si="69"/>
        <v>1250</v>
      </c>
      <c r="AD80" s="68">
        <f t="shared" si="62"/>
        <v>-9.4045264609385999</v>
      </c>
      <c r="AE80" s="44">
        <f t="shared" si="66"/>
        <v>15000</v>
      </c>
      <c r="AF80" s="21">
        <f t="shared" si="67"/>
        <v>0</v>
      </c>
      <c r="AG80" s="16">
        <v>1464.15</v>
      </c>
      <c r="AW80" s="99"/>
      <c r="AX80" s="99"/>
    </row>
    <row r="81" spans="1:50">
      <c r="A81" s="82">
        <v>6205</v>
      </c>
      <c r="B81" s="2" t="s">
        <v>28</v>
      </c>
      <c r="C81" s="16">
        <v>7500</v>
      </c>
      <c r="D81" s="28">
        <f t="shared" si="54"/>
        <v>-18.442711240175996</v>
      </c>
      <c r="E81" s="16">
        <v>7500</v>
      </c>
      <c r="F81" s="28">
        <f t="shared" si="55"/>
        <v>-18.442711240175996</v>
      </c>
      <c r="G81" s="16">
        <v>7500</v>
      </c>
      <c r="H81" s="28">
        <f t="shared" si="56"/>
        <v>-18.442711240175996</v>
      </c>
      <c r="I81" s="16">
        <v>7500</v>
      </c>
      <c r="J81" s="28">
        <f t="shared" si="57"/>
        <v>-18.442711240175996</v>
      </c>
      <c r="K81" s="16">
        <v>7500</v>
      </c>
      <c r="L81" s="28">
        <f t="shared" si="58"/>
        <v>-18.442711240175996</v>
      </c>
      <c r="M81" s="16">
        <v>7500</v>
      </c>
      <c r="N81" s="28">
        <f t="shared" si="59"/>
        <v>2.6056728178111932</v>
      </c>
      <c r="O81" s="16">
        <v>7500</v>
      </c>
      <c r="P81" s="28">
        <f t="shared" si="60"/>
        <v>-18.442711240175996</v>
      </c>
      <c r="Q81" s="16">
        <v>7500</v>
      </c>
      <c r="R81" s="28">
        <f t="shared" si="61"/>
        <v>-18.442711240175996</v>
      </c>
      <c r="S81" s="16">
        <v>7500</v>
      </c>
      <c r="T81" s="28">
        <f t="shared" si="62"/>
        <v>-18.442711240175996</v>
      </c>
      <c r="U81" s="16">
        <v>7500</v>
      </c>
      <c r="V81" s="28">
        <f t="shared" si="63"/>
        <v>-18.442711240175996</v>
      </c>
      <c r="W81" s="16">
        <v>7500</v>
      </c>
      <c r="X81" s="28">
        <f t="shared" si="64"/>
        <v>-18.442711240175996</v>
      </c>
      <c r="Y81" s="16">
        <v>7500</v>
      </c>
      <c r="Z81" s="28">
        <f t="shared" si="65"/>
        <v>-18.442711240175996</v>
      </c>
      <c r="AA81" s="59">
        <f t="shared" si="68"/>
        <v>90000</v>
      </c>
      <c r="AB81" s="60">
        <f t="shared" si="62"/>
        <v>-56.427158765631596</v>
      </c>
      <c r="AC81" s="67">
        <f t="shared" si="69"/>
        <v>7500</v>
      </c>
      <c r="AD81" s="68">
        <f t="shared" si="62"/>
        <v>-56.427158765631596</v>
      </c>
      <c r="AE81" s="44">
        <f t="shared" si="66"/>
        <v>90000</v>
      </c>
      <c r="AF81" s="21">
        <f t="shared" si="67"/>
        <v>0</v>
      </c>
      <c r="AG81" s="16">
        <v>7500</v>
      </c>
      <c r="AW81" s="99"/>
      <c r="AX81" s="99"/>
    </row>
    <row r="82" spans="1:50">
      <c r="A82" s="2">
        <v>6206</v>
      </c>
      <c r="B82" s="2" t="s">
        <v>156</v>
      </c>
      <c r="C82" s="297">
        <v>5429.6870666666664</v>
      </c>
      <c r="D82" s="28">
        <f>C82/C$145</f>
        <v>-13.351753426006873</v>
      </c>
      <c r="E82" s="297">
        <v>5429.6870666666664</v>
      </c>
      <c r="F82" s="28">
        <f>E82/E$145</f>
        <v>-13.351753426006873</v>
      </c>
      <c r="G82" s="297">
        <v>5429.6870666666664</v>
      </c>
      <c r="H82" s="28">
        <f>G82/G$145</f>
        <v>-13.351753426006873</v>
      </c>
      <c r="I82" s="297">
        <v>5429.6870666666664</v>
      </c>
      <c r="J82" s="28">
        <f>I82/I$145</f>
        <v>-13.351753426006873</v>
      </c>
      <c r="K82" s="297">
        <v>5429.6870666666664</v>
      </c>
      <c r="L82" s="28">
        <f>K82/K$145</f>
        <v>-13.351753426006873</v>
      </c>
      <c r="M82" s="297">
        <v>5429.6870666666664</v>
      </c>
      <c r="N82" s="28">
        <f>M82/M$145</f>
        <v>1.8863983998445768</v>
      </c>
      <c r="O82" s="297">
        <v>5429.6870666666664</v>
      </c>
      <c r="P82" s="28">
        <f>O82/O$145</f>
        <v>-13.351753426006873</v>
      </c>
      <c r="Q82" s="297">
        <v>5429.6870666666664</v>
      </c>
      <c r="R82" s="28">
        <f>Q82/Q$145</f>
        <v>-13.351753426006873</v>
      </c>
      <c r="S82" s="297">
        <v>5429.6870666666664</v>
      </c>
      <c r="T82" s="28">
        <f t="shared" si="62"/>
        <v>-13.351753426006873</v>
      </c>
      <c r="U82" s="297">
        <v>5429.6870666666664</v>
      </c>
      <c r="V82" s="28">
        <f>U82/U$145</f>
        <v>-13.351753426006873</v>
      </c>
      <c r="W82" s="297">
        <v>5429.6870666666664</v>
      </c>
      <c r="X82" s="28">
        <f>W82/W$145</f>
        <v>-13.351753426006873</v>
      </c>
      <c r="Y82" s="297">
        <v>5429.6870666666664</v>
      </c>
      <c r="Z82" s="28">
        <f t="shared" si="65"/>
        <v>-13.351753426006873</v>
      </c>
      <c r="AA82" s="59">
        <f t="shared" si="68"/>
        <v>65156.244799999993</v>
      </c>
      <c r="AB82" s="60">
        <f t="shared" si="62"/>
        <v>-40.850908554466194</v>
      </c>
      <c r="AC82" s="67">
        <f t="shared" si="69"/>
        <v>5429.6870666666664</v>
      </c>
      <c r="AD82" s="68">
        <f t="shared" si="62"/>
        <v>-40.850908554466201</v>
      </c>
      <c r="AE82" s="44">
        <f t="shared" si="66"/>
        <v>65156.244799999993</v>
      </c>
      <c r="AF82" s="21">
        <f t="shared" si="67"/>
        <v>0</v>
      </c>
      <c r="AG82" s="16">
        <v>1579.47</v>
      </c>
      <c r="AH82" s="1" t="s">
        <v>203</v>
      </c>
      <c r="AW82" s="99"/>
      <c r="AX82" s="99"/>
    </row>
    <row r="83" spans="1:50">
      <c r="A83" s="2">
        <v>6207</v>
      </c>
      <c r="B83" s="2" t="s">
        <v>157</v>
      </c>
      <c r="C83" s="19">
        <v>3552.5</v>
      </c>
      <c r="D83" s="28">
        <f t="shared" si="54"/>
        <v>-8.7356975574300293</v>
      </c>
      <c r="E83" s="19">
        <v>3552.5</v>
      </c>
      <c r="F83" s="28">
        <f t="shared" ref="F83:F90" si="70">E83/E$145</f>
        <v>-8.7356975574300293</v>
      </c>
      <c r="G83" s="19">
        <v>3552.5</v>
      </c>
      <c r="H83" s="28">
        <f t="shared" ref="H83:H90" si="71">G83/G$145</f>
        <v>-8.7356975574300293</v>
      </c>
      <c r="I83" s="19">
        <v>3552.5</v>
      </c>
      <c r="J83" s="28">
        <f t="shared" ref="J83:J90" si="72">I83/I$145</f>
        <v>-8.7356975574300293</v>
      </c>
      <c r="K83" s="19">
        <v>3552.5</v>
      </c>
      <c r="L83" s="28">
        <f t="shared" ref="L83:L90" si="73">K83/K$145</f>
        <v>-8.7356975574300293</v>
      </c>
      <c r="M83" s="19">
        <v>3552.5</v>
      </c>
      <c r="N83" s="28">
        <f t="shared" ref="N83:N90" si="74">M83/M$145</f>
        <v>1.2342203580365685</v>
      </c>
      <c r="O83" s="19">
        <v>3552.5</v>
      </c>
      <c r="P83" s="28">
        <f t="shared" si="60"/>
        <v>-8.7356975574300293</v>
      </c>
      <c r="Q83" s="19">
        <v>3552.5</v>
      </c>
      <c r="R83" s="28">
        <f t="shared" ref="R83:R90" si="75">Q83/Q$145</f>
        <v>-8.7356975574300293</v>
      </c>
      <c r="S83" s="19">
        <v>3552.5</v>
      </c>
      <c r="T83" s="28">
        <f t="shared" si="62"/>
        <v>-8.7356975574300293</v>
      </c>
      <c r="U83" s="19">
        <v>3552.5</v>
      </c>
      <c r="V83" s="28">
        <f t="shared" ref="V83:V90" si="76">U83/U$145</f>
        <v>-8.7356975574300293</v>
      </c>
      <c r="W83" s="19">
        <v>3552.5</v>
      </c>
      <c r="X83" s="28">
        <f t="shared" ref="X83:X90" si="77">W83/W$145</f>
        <v>-8.7356975574300293</v>
      </c>
      <c r="Y83" s="19">
        <v>3552.5</v>
      </c>
      <c r="Z83" s="28">
        <f t="shared" si="65"/>
        <v>-8.7356975574300293</v>
      </c>
      <c r="AA83" s="59">
        <f t="shared" si="68"/>
        <v>42630</v>
      </c>
      <c r="AB83" s="60">
        <f t="shared" si="62"/>
        <v>-26.727664201987498</v>
      </c>
      <c r="AC83" s="67">
        <f t="shared" si="69"/>
        <v>3552.5</v>
      </c>
      <c r="AD83" s="68">
        <f t="shared" si="62"/>
        <v>-26.727664201987501</v>
      </c>
      <c r="AE83" s="44">
        <f t="shared" si="66"/>
        <v>42630</v>
      </c>
      <c r="AF83" s="21">
        <f t="shared" si="67"/>
        <v>0</v>
      </c>
      <c r="AG83" s="16">
        <v>15391.52</v>
      </c>
      <c r="AW83" s="99"/>
      <c r="AX83" s="99"/>
    </row>
    <row r="84" spans="1:50">
      <c r="A84" s="2">
        <v>6208</v>
      </c>
      <c r="B84" s="2" t="s">
        <v>158</v>
      </c>
      <c r="C84" s="16"/>
      <c r="D84" s="28">
        <f t="shared" si="54"/>
        <v>0</v>
      </c>
      <c r="E84" s="16"/>
      <c r="F84" s="28">
        <f t="shared" si="70"/>
        <v>0</v>
      </c>
      <c r="G84" s="16"/>
      <c r="H84" s="28">
        <f t="shared" si="71"/>
        <v>0</v>
      </c>
      <c r="I84" s="16"/>
      <c r="J84" s="28">
        <f t="shared" si="72"/>
        <v>0</v>
      </c>
      <c r="K84" s="16"/>
      <c r="L84" s="28">
        <f t="shared" si="73"/>
        <v>0</v>
      </c>
      <c r="M84" s="16"/>
      <c r="N84" s="28">
        <f t="shared" si="74"/>
        <v>0</v>
      </c>
      <c r="O84" s="16"/>
      <c r="P84" s="28">
        <f t="shared" si="60"/>
        <v>0</v>
      </c>
      <c r="Q84" s="16"/>
      <c r="R84" s="28">
        <f t="shared" si="75"/>
        <v>0</v>
      </c>
      <c r="S84" s="16"/>
      <c r="T84" s="28">
        <f t="shared" si="62"/>
        <v>0</v>
      </c>
      <c r="U84" s="16"/>
      <c r="V84" s="28">
        <f t="shared" si="76"/>
        <v>0</v>
      </c>
      <c r="W84" s="16"/>
      <c r="X84" s="28">
        <f t="shared" si="77"/>
        <v>0</v>
      </c>
      <c r="Y84" s="16"/>
      <c r="Z84" s="28">
        <f t="shared" si="65"/>
        <v>0</v>
      </c>
      <c r="AA84" s="59">
        <f t="shared" si="68"/>
        <v>0</v>
      </c>
      <c r="AB84" s="60">
        <f t="shared" si="62"/>
        <v>0</v>
      </c>
      <c r="AC84" s="67">
        <f t="shared" si="69"/>
        <v>0</v>
      </c>
      <c r="AD84" s="68">
        <f t="shared" si="62"/>
        <v>0</v>
      </c>
      <c r="AE84" s="44">
        <f t="shared" si="66"/>
        <v>0</v>
      </c>
      <c r="AF84" s="21">
        <f t="shared" si="67"/>
        <v>0</v>
      </c>
      <c r="AG84" s="16"/>
      <c r="AW84" s="99"/>
      <c r="AX84" s="99"/>
    </row>
    <row r="85" spans="1:50">
      <c r="A85" s="2">
        <v>6209</v>
      </c>
      <c r="B85" s="2" t="s">
        <v>29</v>
      </c>
      <c r="C85" s="16">
        <v>15187.91666666667</v>
      </c>
      <c r="D85" s="28">
        <f t="shared" si="54"/>
        <v>-37.347514856425292</v>
      </c>
      <c r="E85" s="16">
        <v>15187.91666666667</v>
      </c>
      <c r="F85" s="28">
        <f t="shared" si="70"/>
        <v>-37.347514856425292</v>
      </c>
      <c r="G85" s="16">
        <v>15187.91666666667</v>
      </c>
      <c r="H85" s="28">
        <f t="shared" si="71"/>
        <v>-37.347514856425292</v>
      </c>
      <c r="I85" s="16">
        <v>15187.91666666667</v>
      </c>
      <c r="J85" s="28">
        <f t="shared" si="72"/>
        <v>-37.347514856425292</v>
      </c>
      <c r="K85" s="16">
        <v>15187.91666666667</v>
      </c>
      <c r="L85" s="28">
        <f t="shared" si="73"/>
        <v>-37.347514856425292</v>
      </c>
      <c r="M85" s="16">
        <v>15187.91666666667</v>
      </c>
      <c r="N85" s="28">
        <f t="shared" si="74"/>
        <v>5.2766322156686574</v>
      </c>
      <c r="O85" s="16">
        <v>15187.91666666667</v>
      </c>
      <c r="P85" s="28">
        <f t="shared" si="60"/>
        <v>-37.347514856425292</v>
      </c>
      <c r="Q85" s="16">
        <v>15187.91666666667</v>
      </c>
      <c r="R85" s="28">
        <f t="shared" si="75"/>
        <v>-37.347514856425292</v>
      </c>
      <c r="S85" s="16">
        <v>15187.91666666667</v>
      </c>
      <c r="T85" s="28">
        <f t="shared" si="62"/>
        <v>-37.347514856425292</v>
      </c>
      <c r="U85" s="16">
        <v>15187.91666666667</v>
      </c>
      <c r="V85" s="28">
        <f t="shared" si="76"/>
        <v>-37.347514856425292</v>
      </c>
      <c r="W85" s="16">
        <v>15187.91666666667</v>
      </c>
      <c r="X85" s="28">
        <f t="shared" si="77"/>
        <v>-37.347514856425292</v>
      </c>
      <c r="Y85" s="16">
        <v>15187.91666666667</v>
      </c>
      <c r="Z85" s="28">
        <f t="shared" si="65"/>
        <v>-37.347514856425292</v>
      </c>
      <c r="AA85" s="59">
        <f t="shared" si="68"/>
        <v>182255</v>
      </c>
      <c r="AB85" s="60">
        <f t="shared" si="62"/>
        <v>-114.26813134255762</v>
      </c>
      <c r="AC85" s="67">
        <f t="shared" si="69"/>
        <v>15187.916666666666</v>
      </c>
      <c r="AD85" s="68">
        <f t="shared" si="62"/>
        <v>-114.26813134255762</v>
      </c>
      <c r="AE85" s="44">
        <f t="shared" si="66"/>
        <v>182255</v>
      </c>
      <c r="AF85" s="21">
        <f t="shared" si="67"/>
        <v>0</v>
      </c>
      <c r="AG85" s="16">
        <v>31732.21</v>
      </c>
      <c r="AW85" s="99"/>
      <c r="AX85" s="99"/>
    </row>
    <row r="86" spans="1:50">
      <c r="A86" s="2">
        <v>6210</v>
      </c>
      <c r="B86" s="2" t="s">
        <v>30</v>
      </c>
      <c r="C86" s="16">
        <v>7994.4986301369863</v>
      </c>
      <c r="D86" s="28">
        <f t="shared" si="54"/>
        <v>-19.658697299413198</v>
      </c>
      <c r="E86" s="16">
        <v>7994.4986301369863</v>
      </c>
      <c r="F86" s="28">
        <f t="shared" si="70"/>
        <v>-19.658697299413198</v>
      </c>
      <c r="G86" s="16">
        <v>7994.4986301369863</v>
      </c>
      <c r="H86" s="28">
        <f t="shared" si="71"/>
        <v>-19.658697299413198</v>
      </c>
      <c r="I86" s="16">
        <v>7994.4986301369863</v>
      </c>
      <c r="J86" s="28">
        <f t="shared" si="72"/>
        <v>-19.658697299413198</v>
      </c>
      <c r="K86" s="16">
        <v>7994.4986301369863</v>
      </c>
      <c r="L86" s="28">
        <f t="shared" si="73"/>
        <v>-19.658697299413198</v>
      </c>
      <c r="M86" s="16">
        <v>7994.4986301369863</v>
      </c>
      <c r="N86" s="28">
        <f t="shared" si="74"/>
        <v>2.7774730363435687</v>
      </c>
      <c r="O86" s="16">
        <v>7994.4986301369863</v>
      </c>
      <c r="P86" s="28">
        <f t="shared" si="60"/>
        <v>-19.658697299413198</v>
      </c>
      <c r="Q86" s="16">
        <v>7994.4986301369863</v>
      </c>
      <c r="R86" s="28">
        <f t="shared" si="75"/>
        <v>-19.658697299413198</v>
      </c>
      <c r="S86" s="16">
        <v>7994.4986301369863</v>
      </c>
      <c r="T86" s="28">
        <f t="shared" si="62"/>
        <v>-19.658697299413198</v>
      </c>
      <c r="U86" s="16">
        <v>7994.4986301369863</v>
      </c>
      <c r="V86" s="28">
        <f t="shared" si="76"/>
        <v>-19.658697299413198</v>
      </c>
      <c r="W86" s="16">
        <v>7994.4986301369863</v>
      </c>
      <c r="X86" s="28">
        <f t="shared" si="77"/>
        <v>-19.658697299413198</v>
      </c>
      <c r="Y86" s="16">
        <v>7994.4986301369863</v>
      </c>
      <c r="Z86" s="28">
        <f t="shared" si="65"/>
        <v>-19.658697299413198</v>
      </c>
      <c r="AA86" s="59">
        <f t="shared" si="68"/>
        <v>95933.983561643807</v>
      </c>
      <c r="AB86" s="60">
        <f t="shared" si="62"/>
        <v>-60.14757912724852</v>
      </c>
      <c r="AC86" s="67">
        <f t="shared" si="69"/>
        <v>7994.4986301369836</v>
      </c>
      <c r="AD86" s="68">
        <f t="shared" si="62"/>
        <v>-60.14757912724852</v>
      </c>
      <c r="AE86" s="44">
        <f t="shared" si="66"/>
        <v>95933.983561643807</v>
      </c>
      <c r="AF86" s="21">
        <f t="shared" si="67"/>
        <v>0</v>
      </c>
      <c r="AG86" s="16">
        <v>10667.42</v>
      </c>
      <c r="AW86" s="99"/>
      <c r="AX86" s="99"/>
    </row>
    <row r="87" spans="1:50">
      <c r="A87" s="2">
        <v>6211</v>
      </c>
      <c r="B87" s="2" t="s">
        <v>31</v>
      </c>
      <c r="C87" s="16">
        <v>5500</v>
      </c>
      <c r="D87" s="28">
        <f t="shared" si="54"/>
        <v>-13.524654909462395</v>
      </c>
      <c r="E87" s="16">
        <v>5500</v>
      </c>
      <c r="F87" s="28">
        <f t="shared" si="70"/>
        <v>-13.524654909462395</v>
      </c>
      <c r="G87" s="16">
        <v>5500</v>
      </c>
      <c r="H87" s="28">
        <f t="shared" si="71"/>
        <v>-13.524654909462395</v>
      </c>
      <c r="I87" s="16">
        <v>5500</v>
      </c>
      <c r="J87" s="28">
        <f t="shared" si="72"/>
        <v>-13.524654909462395</v>
      </c>
      <c r="K87" s="16">
        <v>5500</v>
      </c>
      <c r="L87" s="28">
        <f t="shared" si="73"/>
        <v>-13.524654909462395</v>
      </c>
      <c r="M87" s="16">
        <v>5500</v>
      </c>
      <c r="N87" s="28">
        <f t="shared" si="74"/>
        <v>1.9108267330615418</v>
      </c>
      <c r="O87" s="16">
        <v>5500</v>
      </c>
      <c r="P87" s="28">
        <f t="shared" si="60"/>
        <v>-13.524654909462395</v>
      </c>
      <c r="Q87" s="16">
        <v>5500</v>
      </c>
      <c r="R87" s="28">
        <f t="shared" si="75"/>
        <v>-13.524654909462395</v>
      </c>
      <c r="S87" s="16">
        <v>5500</v>
      </c>
      <c r="T87" s="28">
        <f t="shared" si="62"/>
        <v>-13.524654909462395</v>
      </c>
      <c r="U87" s="16">
        <v>5500</v>
      </c>
      <c r="V87" s="28">
        <f t="shared" si="76"/>
        <v>-13.524654909462395</v>
      </c>
      <c r="W87" s="16">
        <v>5500</v>
      </c>
      <c r="X87" s="28">
        <f t="shared" si="77"/>
        <v>-13.524654909462395</v>
      </c>
      <c r="Y87" s="16">
        <v>5500</v>
      </c>
      <c r="Z87" s="28">
        <f t="shared" si="65"/>
        <v>-13.524654909462395</v>
      </c>
      <c r="AA87" s="59">
        <f t="shared" si="68"/>
        <v>66000</v>
      </c>
      <c r="AB87" s="60">
        <f t="shared" si="62"/>
        <v>-41.379916428129832</v>
      </c>
      <c r="AC87" s="67">
        <f t="shared" si="69"/>
        <v>5500</v>
      </c>
      <c r="AD87" s="68">
        <f t="shared" si="62"/>
        <v>-41.379916428129839</v>
      </c>
      <c r="AE87" s="44">
        <f t="shared" si="66"/>
        <v>66000</v>
      </c>
      <c r="AF87" s="21">
        <f t="shared" si="67"/>
        <v>0</v>
      </c>
      <c r="AG87" s="16">
        <v>17461.91</v>
      </c>
      <c r="AW87" s="99"/>
      <c r="AX87" s="99"/>
    </row>
    <row r="88" spans="1:50">
      <c r="A88" s="2">
        <v>6212</v>
      </c>
      <c r="B88" s="2" t="s">
        <v>32</v>
      </c>
      <c r="C88" s="19"/>
      <c r="D88" s="28">
        <f t="shared" si="54"/>
        <v>0</v>
      </c>
      <c r="E88" s="19"/>
      <c r="F88" s="28">
        <f t="shared" si="70"/>
        <v>0</v>
      </c>
      <c r="G88" s="19"/>
      <c r="H88" s="28">
        <f t="shared" si="71"/>
        <v>0</v>
      </c>
      <c r="I88" s="19"/>
      <c r="J88" s="28">
        <f t="shared" si="72"/>
        <v>0</v>
      </c>
      <c r="K88" s="19"/>
      <c r="L88" s="28">
        <f t="shared" si="73"/>
        <v>0</v>
      </c>
      <c r="M88" s="19"/>
      <c r="N88" s="28">
        <f t="shared" si="74"/>
        <v>0</v>
      </c>
      <c r="O88" s="19"/>
      <c r="P88" s="28">
        <f t="shared" si="60"/>
        <v>0</v>
      </c>
      <c r="Q88" s="19"/>
      <c r="R88" s="28">
        <f t="shared" si="75"/>
        <v>0</v>
      </c>
      <c r="S88" s="19"/>
      <c r="T88" s="28">
        <f t="shared" si="62"/>
        <v>0</v>
      </c>
      <c r="U88" s="19"/>
      <c r="V88" s="28">
        <f t="shared" si="76"/>
        <v>0</v>
      </c>
      <c r="W88" s="19"/>
      <c r="X88" s="28">
        <f t="shared" si="77"/>
        <v>0</v>
      </c>
      <c r="Y88" s="19"/>
      <c r="Z88" s="28">
        <f t="shared" si="65"/>
        <v>0</v>
      </c>
      <c r="AA88" s="59">
        <f t="shared" si="68"/>
        <v>0</v>
      </c>
      <c r="AB88" s="60">
        <f t="shared" si="62"/>
        <v>0</v>
      </c>
      <c r="AC88" s="67">
        <f t="shared" si="69"/>
        <v>0</v>
      </c>
      <c r="AD88" s="68">
        <f t="shared" si="62"/>
        <v>0</v>
      </c>
      <c r="AE88" s="44">
        <f t="shared" si="66"/>
        <v>0</v>
      </c>
      <c r="AF88" s="21">
        <f t="shared" si="67"/>
        <v>0</v>
      </c>
      <c r="AG88" s="19"/>
      <c r="AW88" s="99"/>
      <c r="AX88" s="99"/>
    </row>
    <row r="89" spans="1:50">
      <c r="A89" s="2">
        <v>6213</v>
      </c>
      <c r="B89" s="2" t="s">
        <v>33</v>
      </c>
      <c r="C89" s="19"/>
      <c r="D89" s="28">
        <f t="shared" si="54"/>
        <v>0</v>
      </c>
      <c r="E89" s="19"/>
      <c r="F89" s="28">
        <f t="shared" si="70"/>
        <v>0</v>
      </c>
      <c r="G89" s="19"/>
      <c r="H89" s="28">
        <f t="shared" si="71"/>
        <v>0</v>
      </c>
      <c r="I89" s="19"/>
      <c r="J89" s="28">
        <f t="shared" si="72"/>
        <v>0</v>
      </c>
      <c r="K89" s="19"/>
      <c r="L89" s="28">
        <f t="shared" si="73"/>
        <v>0</v>
      </c>
      <c r="M89" s="19"/>
      <c r="N89" s="28">
        <f t="shared" si="74"/>
        <v>0</v>
      </c>
      <c r="O89" s="19"/>
      <c r="P89" s="28">
        <f t="shared" si="60"/>
        <v>0</v>
      </c>
      <c r="Q89" s="19"/>
      <c r="R89" s="28">
        <f t="shared" si="75"/>
        <v>0</v>
      </c>
      <c r="S89" s="19"/>
      <c r="T89" s="28">
        <f t="shared" si="62"/>
        <v>0</v>
      </c>
      <c r="U89" s="19"/>
      <c r="V89" s="28">
        <f t="shared" si="76"/>
        <v>0</v>
      </c>
      <c r="W89" s="19"/>
      <c r="X89" s="28">
        <f t="shared" si="77"/>
        <v>0</v>
      </c>
      <c r="Y89" s="19"/>
      <c r="Z89" s="28">
        <f t="shared" si="65"/>
        <v>0</v>
      </c>
      <c r="AA89" s="59">
        <f t="shared" si="68"/>
        <v>0</v>
      </c>
      <c r="AB89" s="60">
        <f t="shared" si="62"/>
        <v>0</v>
      </c>
      <c r="AC89" s="67">
        <f t="shared" si="69"/>
        <v>0</v>
      </c>
      <c r="AD89" s="68">
        <f t="shared" si="62"/>
        <v>0</v>
      </c>
      <c r="AE89" s="44">
        <f t="shared" si="66"/>
        <v>0</v>
      </c>
      <c r="AF89" s="21">
        <f t="shared" si="67"/>
        <v>0</v>
      </c>
      <c r="AG89" s="19"/>
      <c r="AW89" s="99"/>
      <c r="AX89" s="99"/>
    </row>
    <row r="90" spans="1:50">
      <c r="A90" s="82">
        <v>6214</v>
      </c>
      <c r="B90" s="2" t="s">
        <v>34</v>
      </c>
      <c r="C90" s="19">
        <v>13636.541666666668</v>
      </c>
      <c r="D90" s="28">
        <f t="shared" si="54"/>
        <v>-33.532640036394888</v>
      </c>
      <c r="E90" s="19">
        <v>13636.541666666668</v>
      </c>
      <c r="F90" s="28">
        <f t="shared" si="70"/>
        <v>-33.532640036394888</v>
      </c>
      <c r="G90" s="19">
        <v>13636.541666666668</v>
      </c>
      <c r="H90" s="28">
        <f t="shared" si="71"/>
        <v>-33.532640036394888</v>
      </c>
      <c r="I90" s="19">
        <v>13636.541666666668</v>
      </c>
      <c r="J90" s="28">
        <f t="shared" si="72"/>
        <v>-33.532640036394888</v>
      </c>
      <c r="K90" s="19">
        <v>13636.541666666668</v>
      </c>
      <c r="L90" s="28">
        <f t="shared" si="73"/>
        <v>-33.532640036394888</v>
      </c>
      <c r="M90" s="19">
        <v>13636.541666666668</v>
      </c>
      <c r="N90" s="28">
        <f t="shared" si="74"/>
        <v>4.7376487933044116</v>
      </c>
      <c r="O90" s="19">
        <v>13636.541666666668</v>
      </c>
      <c r="P90" s="28">
        <f t="shared" si="60"/>
        <v>-33.532640036394888</v>
      </c>
      <c r="Q90" s="19">
        <v>13636.541666666668</v>
      </c>
      <c r="R90" s="28">
        <f t="shared" si="75"/>
        <v>-33.532640036394888</v>
      </c>
      <c r="S90" s="19">
        <v>13636.541666666668</v>
      </c>
      <c r="T90" s="28">
        <f t="shared" si="62"/>
        <v>-33.532640036394888</v>
      </c>
      <c r="U90" s="19">
        <v>13636.541666666668</v>
      </c>
      <c r="V90" s="28">
        <f t="shared" si="76"/>
        <v>-33.532640036394888</v>
      </c>
      <c r="W90" s="19">
        <v>13636.541666666668</v>
      </c>
      <c r="X90" s="28">
        <f t="shared" si="77"/>
        <v>-33.532640036394888</v>
      </c>
      <c r="Y90" s="19">
        <v>13636.541666666668</v>
      </c>
      <c r="Z90" s="28">
        <f t="shared" si="65"/>
        <v>-33.532640036394888</v>
      </c>
      <c r="AA90" s="59">
        <f t="shared" si="68"/>
        <v>163638.5</v>
      </c>
      <c r="AB90" s="60">
        <f t="shared" si="62"/>
        <v>-102.59617355188672</v>
      </c>
      <c r="AC90" s="67">
        <f t="shared" si="69"/>
        <v>13636.541666666666</v>
      </c>
      <c r="AD90" s="68">
        <f t="shared" si="62"/>
        <v>-102.59617355188674</v>
      </c>
      <c r="AE90" s="44">
        <f t="shared" si="66"/>
        <v>163638.5</v>
      </c>
      <c r="AF90" s="21">
        <f t="shared" si="67"/>
        <v>0</v>
      </c>
      <c r="AG90" s="19">
        <v>13000</v>
      </c>
      <c r="AW90" s="99"/>
      <c r="AX90" s="99"/>
    </row>
    <row r="91" spans="1:50">
      <c r="A91" s="2">
        <v>6215</v>
      </c>
      <c r="B91" s="2" t="s">
        <v>35</v>
      </c>
      <c r="C91" s="16">
        <v>4708.6912499999999</v>
      </c>
      <c r="D91" s="28"/>
      <c r="E91" s="16">
        <v>4708.6912499999999</v>
      </c>
      <c r="F91" s="28"/>
      <c r="G91" s="16">
        <v>4708.6912499999999</v>
      </c>
      <c r="H91" s="28"/>
      <c r="I91" s="16">
        <v>4708.6912499999999</v>
      </c>
      <c r="J91" s="28"/>
      <c r="K91" s="16">
        <v>4708.6912499999999</v>
      </c>
      <c r="L91" s="28"/>
      <c r="M91" s="16">
        <v>4708.6912499999999</v>
      </c>
      <c r="N91" s="28"/>
      <c r="O91" s="16">
        <v>4708.6912499999999</v>
      </c>
      <c r="P91" s="28"/>
      <c r="Q91" s="16">
        <v>4708.6912499999999</v>
      </c>
      <c r="R91" s="28"/>
      <c r="S91" s="16">
        <v>4708.6912499999999</v>
      </c>
      <c r="T91" s="28">
        <f t="shared" si="62"/>
        <v>-11.578804405719113</v>
      </c>
      <c r="U91" s="16">
        <v>4708.6912499999999</v>
      </c>
      <c r="V91" s="28"/>
      <c r="W91" s="16">
        <v>4708.6912499999999</v>
      </c>
      <c r="X91" s="28"/>
      <c r="Y91" s="16">
        <v>4708.6912499999999</v>
      </c>
      <c r="Z91" s="28">
        <f t="shared" si="65"/>
        <v>-11.578804405719113</v>
      </c>
      <c r="AA91" s="59">
        <f t="shared" si="68"/>
        <v>56504.295000000013</v>
      </c>
      <c r="AB91" s="60">
        <f t="shared" si="62"/>
        <v>-35.426409165612043</v>
      </c>
      <c r="AC91" s="67">
        <f t="shared" si="69"/>
        <v>4708.6912500000008</v>
      </c>
      <c r="AD91" s="68">
        <f t="shared" si="62"/>
        <v>-35.426409165612043</v>
      </c>
      <c r="AE91" s="44">
        <f t="shared" si="66"/>
        <v>56504.295000000013</v>
      </c>
      <c r="AF91" s="21">
        <f t="shared" si="67"/>
        <v>0</v>
      </c>
      <c r="AG91" s="16">
        <v>0</v>
      </c>
      <c r="AW91" s="99"/>
      <c r="AX91" s="99"/>
    </row>
    <row r="92" spans="1:50">
      <c r="A92" s="2">
        <v>6216</v>
      </c>
      <c r="B92" s="2" t="s">
        <v>91</v>
      </c>
      <c r="C92" s="16"/>
      <c r="D92" s="28">
        <f>C92/C$145</f>
        <v>0</v>
      </c>
      <c r="E92" s="16"/>
      <c r="F92" s="28">
        <f>E92/E$145</f>
        <v>0</v>
      </c>
      <c r="G92" s="16"/>
      <c r="H92" s="28">
        <f>G92/G$145</f>
        <v>0</v>
      </c>
      <c r="I92" s="16"/>
      <c r="J92" s="28">
        <f>I92/I$145</f>
        <v>0</v>
      </c>
      <c r="K92" s="16"/>
      <c r="L92" s="28">
        <f>K92/K$145</f>
        <v>0</v>
      </c>
      <c r="M92" s="1"/>
      <c r="N92" s="28">
        <f>M92/M$145</f>
        <v>0</v>
      </c>
      <c r="O92" s="16"/>
      <c r="P92" s="28">
        <f>O92/O$145</f>
        <v>0</v>
      </c>
      <c r="Q92" s="16"/>
      <c r="R92" s="28">
        <f>Q92/Q$145</f>
        <v>0</v>
      </c>
      <c r="S92" s="16"/>
      <c r="T92" s="28">
        <f t="shared" ref="T92:AD93" si="78">S92/S$145</f>
        <v>0</v>
      </c>
      <c r="U92" s="16"/>
      <c r="V92" s="28">
        <f>U92/U$145</f>
        <v>0</v>
      </c>
      <c r="W92" s="16"/>
      <c r="X92" s="28">
        <f>W92/W$145</f>
        <v>0</v>
      </c>
      <c r="Y92" s="16"/>
      <c r="Z92" s="28">
        <f t="shared" si="65"/>
        <v>0</v>
      </c>
      <c r="AA92" s="59">
        <f t="shared" si="68"/>
        <v>0</v>
      </c>
      <c r="AB92" s="60">
        <f t="shared" si="78"/>
        <v>0</v>
      </c>
      <c r="AC92" s="67">
        <f t="shared" si="69"/>
        <v>0</v>
      </c>
      <c r="AD92" s="68">
        <f t="shared" si="78"/>
        <v>0</v>
      </c>
      <c r="AE92" s="44">
        <f t="shared" si="66"/>
        <v>0</v>
      </c>
      <c r="AF92" s="21">
        <f t="shared" si="67"/>
        <v>0</v>
      </c>
      <c r="AG92" s="16"/>
      <c r="AW92" s="99"/>
      <c r="AX92" s="99"/>
    </row>
    <row r="93" spans="1:50" ht="15.75" thickBot="1">
      <c r="A93" s="39">
        <v>6299</v>
      </c>
      <c r="B93" s="39" t="s">
        <v>102</v>
      </c>
      <c r="C93" s="31">
        <f>SUM(C77:C92)</f>
        <v>297056.33528013702</v>
      </c>
      <c r="D93" s="52">
        <f>C93/C$145</f>
        <v>-730.4698951515295</v>
      </c>
      <c r="E93" s="31">
        <f>SUM(E77:E92)</f>
        <v>297056.33528013702</v>
      </c>
      <c r="F93" s="52">
        <f>E93/E$145</f>
        <v>-730.4698951515295</v>
      </c>
      <c r="G93" s="31">
        <f>SUM(G77:G92)</f>
        <v>297056.33528013702</v>
      </c>
      <c r="H93" s="52">
        <f>G93/G$145</f>
        <v>-730.4698951515295</v>
      </c>
      <c r="I93" s="31">
        <f>SUM(I77:I92)</f>
        <v>297056.33528013702</v>
      </c>
      <c r="J93" s="52">
        <f>I93/I$145</f>
        <v>-730.4698951515295</v>
      </c>
      <c r="K93" s="31">
        <f>SUM(K77:K92)</f>
        <v>297056.33528013702</v>
      </c>
      <c r="L93" s="52">
        <f>K93/K$145</f>
        <v>-730.4698951515295</v>
      </c>
      <c r="M93" s="31">
        <f>SUM(M77:M92)</f>
        <v>297056.33528013702</v>
      </c>
      <c r="N93" s="52">
        <f>M93/M$145</f>
        <v>103.2042157597415</v>
      </c>
      <c r="O93" s="31">
        <f>SUM(O77:O92)</f>
        <v>297056.33528013702</v>
      </c>
      <c r="P93" s="52">
        <f>O93/O$145</f>
        <v>-730.4698951515295</v>
      </c>
      <c r="Q93" s="31">
        <f>SUM(Q77:Q92)</f>
        <v>297056.33528013702</v>
      </c>
      <c r="R93" s="52">
        <f>Q93/Q$145</f>
        <v>-730.4698951515295</v>
      </c>
      <c r="S93" s="31">
        <f>SUM(S77:S92)</f>
        <v>297056.33528013702</v>
      </c>
      <c r="T93" s="52">
        <f t="shared" si="78"/>
        <v>-730.4698951515295</v>
      </c>
      <c r="U93" s="31">
        <f>SUM(U77:U92)</f>
        <v>297056.33528013702</v>
      </c>
      <c r="V93" s="52">
        <f>U93/U$145</f>
        <v>-730.4698951515295</v>
      </c>
      <c r="W93" s="31">
        <f>SUM(W77:W92)</f>
        <v>297056.33528013702</v>
      </c>
      <c r="X93" s="52">
        <f>W93/W$145</f>
        <v>-730.4698951515295</v>
      </c>
      <c r="Y93" s="31">
        <f>SUM(Y77:Y92)</f>
        <v>297056.33528013702</v>
      </c>
      <c r="Z93" s="52">
        <f t="shared" si="65"/>
        <v>-730.4698951515295</v>
      </c>
      <c r="AA93" s="61">
        <f>SUM(AA77:AA92)</f>
        <v>3564676.0233616438</v>
      </c>
      <c r="AB93" s="74">
        <f t="shared" si="78"/>
        <v>-2234.9393324251973</v>
      </c>
      <c r="AC93" s="24">
        <f t="shared" si="69"/>
        <v>297056.33528013696</v>
      </c>
      <c r="AD93" s="77">
        <f t="shared" si="78"/>
        <v>-2234.9393324251973</v>
      </c>
      <c r="AE93" s="44">
        <f t="shared" si="66"/>
        <v>3564676.0233616452</v>
      </c>
      <c r="AF93" s="21">
        <f t="shared" si="67"/>
        <v>0</v>
      </c>
      <c r="AG93" s="115">
        <f>SUM(AG77:AG92)</f>
        <v>396207.26999999996</v>
      </c>
      <c r="AH93" s="1" t="s">
        <v>141</v>
      </c>
      <c r="AW93" s="99"/>
      <c r="AX93" s="99"/>
    </row>
    <row r="94" spans="1:50" ht="15.75" thickTop="1">
      <c r="A94" s="2">
        <v>6301</v>
      </c>
      <c r="B94" s="2" t="s">
        <v>36</v>
      </c>
      <c r="C94" s="283"/>
      <c r="D94" s="316" t="e">
        <f>C94/C12</f>
        <v>#DIV/0!</v>
      </c>
      <c r="E94" s="283"/>
      <c r="F94" s="316" t="e">
        <f>E94/E12</f>
        <v>#DIV/0!</v>
      </c>
      <c r="G94" s="283"/>
      <c r="H94" s="316" t="e">
        <f>G94/G12</f>
        <v>#DIV/0!</v>
      </c>
      <c r="I94" s="283"/>
      <c r="J94" s="316" t="e">
        <f>I94/I12</f>
        <v>#DIV/0!</v>
      </c>
      <c r="K94" s="283"/>
      <c r="L94" s="316" t="e">
        <f>K94/K12</f>
        <v>#DIV/0!</v>
      </c>
      <c r="M94" s="283"/>
      <c r="N94" s="316" t="e">
        <f>M94/M12</f>
        <v>#DIV/0!</v>
      </c>
      <c r="O94" s="283"/>
      <c r="P94" s="316" t="e">
        <f>O94/O12</f>
        <v>#DIV/0!</v>
      </c>
      <c r="Q94" s="283"/>
      <c r="R94" s="316" t="e">
        <f>Q94/Q12</f>
        <v>#DIV/0!</v>
      </c>
      <c r="S94" s="283"/>
      <c r="T94" s="318" t="e">
        <f>S94/S12</f>
        <v>#DIV/0!</v>
      </c>
      <c r="U94" s="283"/>
      <c r="V94" s="318" t="e">
        <f>U94/U12</f>
        <v>#DIV/0!</v>
      </c>
      <c r="W94" s="283"/>
      <c r="X94" s="318" t="e">
        <f>W94/W12</f>
        <v>#DIV/0!</v>
      </c>
      <c r="Y94" s="283"/>
      <c r="Z94" s="316" t="e">
        <f>Y94/Y12</f>
        <v>#DIV/0!</v>
      </c>
      <c r="AA94" s="319">
        <f t="shared" ref="AA94:AA114" si="79">C94+E94+G94+I94+K94+M94+O94+Q94+S94+U94+W94+Y94</f>
        <v>0</v>
      </c>
      <c r="AB94" s="316" t="e">
        <f>AA94/AA$12</f>
        <v>#DIV/0!</v>
      </c>
      <c r="AC94" s="317">
        <f t="shared" si="69"/>
        <v>0</v>
      </c>
      <c r="AD94" s="316" t="e">
        <f>AC94/AC$12</f>
        <v>#DIV/0!</v>
      </c>
      <c r="AE94" s="44">
        <f t="shared" si="66"/>
        <v>0</v>
      </c>
      <c r="AF94" s="21">
        <f t="shared" si="67"/>
        <v>0</v>
      </c>
      <c r="AW94" s="99"/>
      <c r="AX94" s="99"/>
    </row>
    <row r="95" spans="1:50">
      <c r="A95" s="2">
        <v>6302</v>
      </c>
      <c r="B95" s="2" t="s">
        <v>37</v>
      </c>
      <c r="C95" s="283"/>
      <c r="D95" s="316" t="e">
        <f>C95/C12</f>
        <v>#DIV/0!</v>
      </c>
      <c r="E95" s="283"/>
      <c r="F95" s="316" t="e">
        <f>E95/E12</f>
        <v>#DIV/0!</v>
      </c>
      <c r="G95" s="283"/>
      <c r="H95" s="316" t="e">
        <f>G95/G12</f>
        <v>#DIV/0!</v>
      </c>
      <c r="I95" s="283"/>
      <c r="J95" s="316" t="e">
        <f>I95/I12</f>
        <v>#DIV/0!</v>
      </c>
      <c r="K95" s="283"/>
      <c r="L95" s="316" t="e">
        <f>K95/K12</f>
        <v>#DIV/0!</v>
      </c>
      <c r="M95" s="283"/>
      <c r="N95" s="316" t="e">
        <f>M95/M12</f>
        <v>#DIV/0!</v>
      </c>
      <c r="O95" s="283"/>
      <c r="P95" s="316" t="e">
        <f>O95/O12</f>
        <v>#DIV/0!</v>
      </c>
      <c r="Q95" s="283"/>
      <c r="R95" s="316" t="e">
        <f>Q95/Q12</f>
        <v>#DIV/0!</v>
      </c>
      <c r="S95" s="283"/>
      <c r="T95" s="316" t="e">
        <f>S95/S12</f>
        <v>#DIV/0!</v>
      </c>
      <c r="U95" s="283"/>
      <c r="V95" s="316" t="e">
        <f>U95/U12</f>
        <v>#DIV/0!</v>
      </c>
      <c r="W95" s="283"/>
      <c r="X95" s="316" t="e">
        <f>W95/W12</f>
        <v>#DIV/0!</v>
      </c>
      <c r="Y95" s="283"/>
      <c r="Z95" s="316" t="e">
        <f>Y95/Y12</f>
        <v>#DIV/0!</v>
      </c>
      <c r="AA95" s="319">
        <f t="shared" si="79"/>
        <v>0</v>
      </c>
      <c r="AB95" s="316" t="e">
        <f t="shared" ref="AB95:AB99" si="80">AA95/AA$12</f>
        <v>#DIV/0!</v>
      </c>
      <c r="AC95" s="317">
        <f t="shared" si="69"/>
        <v>0</v>
      </c>
      <c r="AD95" s="316" t="e">
        <f t="shared" ref="AD95:AD99" si="81">AC95/AC$12</f>
        <v>#DIV/0!</v>
      </c>
      <c r="AE95" s="44">
        <f t="shared" si="66"/>
        <v>0</v>
      </c>
      <c r="AF95" s="21">
        <f t="shared" si="67"/>
        <v>0</v>
      </c>
      <c r="AW95" s="99"/>
      <c r="AX95" s="99"/>
    </row>
    <row r="96" spans="1:50">
      <c r="A96" s="2">
        <v>6303</v>
      </c>
      <c r="B96" s="2" t="s">
        <v>115</v>
      </c>
      <c r="C96" s="283"/>
      <c r="D96" s="316" t="e">
        <f>C96/C12</f>
        <v>#DIV/0!</v>
      </c>
      <c r="E96" s="283"/>
      <c r="F96" s="316" t="e">
        <f>E96/E12</f>
        <v>#DIV/0!</v>
      </c>
      <c r="G96" s="283"/>
      <c r="H96" s="316" t="e">
        <f>G96/G12</f>
        <v>#DIV/0!</v>
      </c>
      <c r="I96" s="283"/>
      <c r="J96" s="316" t="e">
        <f>I96/I12</f>
        <v>#DIV/0!</v>
      </c>
      <c r="K96" s="283">
        <v>0</v>
      </c>
      <c r="L96" s="316" t="e">
        <f>K96/K12</f>
        <v>#DIV/0!</v>
      </c>
      <c r="M96" s="283"/>
      <c r="N96" s="316" t="e">
        <f>M96/M12</f>
        <v>#DIV/0!</v>
      </c>
      <c r="O96" s="283"/>
      <c r="P96" s="316" t="e">
        <f>O96/O12</f>
        <v>#DIV/0!</v>
      </c>
      <c r="Q96" s="283"/>
      <c r="R96" s="316" t="e">
        <f>Q96/Q12</f>
        <v>#DIV/0!</v>
      </c>
      <c r="S96" s="283"/>
      <c r="T96" s="316" t="e">
        <f>S96/S12</f>
        <v>#DIV/0!</v>
      </c>
      <c r="U96" s="283"/>
      <c r="V96" s="316" t="e">
        <f>U96/U12</f>
        <v>#DIV/0!</v>
      </c>
      <c r="W96" s="283"/>
      <c r="X96" s="316" t="e">
        <f>W96/W12</f>
        <v>#DIV/0!</v>
      </c>
      <c r="Y96" s="283"/>
      <c r="Z96" s="316" t="e">
        <f>Y96/Y12</f>
        <v>#DIV/0!</v>
      </c>
      <c r="AA96" s="319">
        <f t="shared" si="79"/>
        <v>0</v>
      </c>
      <c r="AB96" s="316" t="e">
        <f t="shared" si="80"/>
        <v>#DIV/0!</v>
      </c>
      <c r="AC96" s="317">
        <f t="shared" si="69"/>
        <v>0</v>
      </c>
      <c r="AD96" s="316" t="e">
        <f t="shared" si="81"/>
        <v>#DIV/0!</v>
      </c>
      <c r="AE96" s="44">
        <f t="shared" si="66"/>
        <v>0</v>
      </c>
      <c r="AF96" s="21">
        <f t="shared" si="67"/>
        <v>0</v>
      </c>
      <c r="AW96" s="99"/>
      <c r="AX96" s="99"/>
    </row>
    <row r="97" spans="1:50">
      <c r="A97" s="2">
        <v>6304</v>
      </c>
      <c r="B97" s="2" t="s">
        <v>38</v>
      </c>
      <c r="C97" s="283"/>
      <c r="D97" s="316" t="e">
        <f>C97/C12</f>
        <v>#DIV/0!</v>
      </c>
      <c r="E97" s="283"/>
      <c r="F97" s="316" t="e">
        <f>E97/E12</f>
        <v>#DIV/0!</v>
      </c>
      <c r="G97" s="283"/>
      <c r="H97" s="316" t="e">
        <f>G97/G12</f>
        <v>#DIV/0!</v>
      </c>
      <c r="I97" s="283"/>
      <c r="J97" s="316" t="e">
        <f>I97/I12</f>
        <v>#DIV/0!</v>
      </c>
      <c r="K97" s="283"/>
      <c r="L97" s="316" t="e">
        <f>K97/K12</f>
        <v>#DIV/0!</v>
      </c>
      <c r="M97" s="283"/>
      <c r="N97" s="316" t="e">
        <f>M97/M12</f>
        <v>#DIV/0!</v>
      </c>
      <c r="O97" s="283"/>
      <c r="P97" s="316" t="e">
        <f>O97/O12</f>
        <v>#DIV/0!</v>
      </c>
      <c r="Q97" s="283"/>
      <c r="R97" s="316" t="e">
        <f>Q97/Q12</f>
        <v>#DIV/0!</v>
      </c>
      <c r="S97" s="283"/>
      <c r="T97" s="316" t="e">
        <f>S97/S12</f>
        <v>#DIV/0!</v>
      </c>
      <c r="U97" s="283"/>
      <c r="V97" s="316" t="e">
        <f>U97/U12</f>
        <v>#DIV/0!</v>
      </c>
      <c r="W97" s="283"/>
      <c r="X97" s="316" t="e">
        <f>W97/W12</f>
        <v>#DIV/0!</v>
      </c>
      <c r="Y97" s="283"/>
      <c r="Z97" s="316" t="e">
        <f>Y97/Y12</f>
        <v>#DIV/0!</v>
      </c>
      <c r="AA97" s="319">
        <f t="shared" si="79"/>
        <v>0</v>
      </c>
      <c r="AB97" s="316" t="e">
        <f t="shared" si="80"/>
        <v>#DIV/0!</v>
      </c>
      <c r="AC97" s="317">
        <f t="shared" si="69"/>
        <v>0</v>
      </c>
      <c r="AD97" s="316" t="e">
        <f t="shared" si="81"/>
        <v>#DIV/0!</v>
      </c>
      <c r="AE97" s="44">
        <f t="shared" si="66"/>
        <v>0</v>
      </c>
      <c r="AF97" s="21">
        <f t="shared" si="67"/>
        <v>0</v>
      </c>
      <c r="AW97" s="99"/>
      <c r="AX97" s="99"/>
    </row>
    <row r="98" spans="1:50">
      <c r="A98" s="2">
        <v>6305</v>
      </c>
      <c r="B98" s="2" t="s">
        <v>39</v>
      </c>
      <c r="C98" s="283"/>
      <c r="D98" s="316" t="e">
        <f>C98/C12</f>
        <v>#DIV/0!</v>
      </c>
      <c r="E98" s="283"/>
      <c r="F98" s="316" t="e">
        <f>E98/E12</f>
        <v>#DIV/0!</v>
      </c>
      <c r="G98" s="283"/>
      <c r="H98" s="316">
        <v>2.4172858107885053E-3</v>
      </c>
      <c r="I98" s="283"/>
      <c r="J98" s="316">
        <v>2.282921148507532E-3</v>
      </c>
      <c r="K98" s="283"/>
      <c r="L98" s="316">
        <v>1.4480363095715567E-3</v>
      </c>
      <c r="M98" s="283"/>
      <c r="N98" s="316">
        <v>1.4265472348621291E-3</v>
      </c>
      <c r="O98" s="283"/>
      <c r="P98" s="316">
        <v>0</v>
      </c>
      <c r="Q98" s="283"/>
      <c r="R98" s="316">
        <v>0</v>
      </c>
      <c r="S98" s="283"/>
      <c r="T98" s="316" t="e">
        <f>S98/S12</f>
        <v>#DIV/0!</v>
      </c>
      <c r="U98" s="283"/>
      <c r="V98" s="316" t="e">
        <f>U98/U12</f>
        <v>#DIV/0!</v>
      </c>
      <c r="W98" s="283"/>
      <c r="X98" s="316" t="e">
        <f>W98/W12</f>
        <v>#DIV/0!</v>
      </c>
      <c r="Y98" s="283"/>
      <c r="Z98" s="316" t="e">
        <f>Y98/Y12</f>
        <v>#DIV/0!</v>
      </c>
      <c r="AA98" s="319">
        <f t="shared" si="79"/>
        <v>0</v>
      </c>
      <c r="AB98" s="316" t="e">
        <f t="shared" si="80"/>
        <v>#DIV/0!</v>
      </c>
      <c r="AC98" s="317">
        <f t="shared" si="69"/>
        <v>0</v>
      </c>
      <c r="AD98" s="316" t="e">
        <f t="shared" si="81"/>
        <v>#DIV/0!</v>
      </c>
      <c r="AE98" s="44">
        <f t="shared" si="66"/>
        <v>0</v>
      </c>
      <c r="AF98" s="21">
        <f t="shared" si="67"/>
        <v>0</v>
      </c>
      <c r="AW98" s="99"/>
      <c r="AX98" s="99"/>
    </row>
    <row r="99" spans="1:50">
      <c r="A99" s="2">
        <v>6306</v>
      </c>
      <c r="B99" s="2" t="s">
        <v>40</v>
      </c>
      <c r="C99" s="283"/>
      <c r="D99" s="316" t="e">
        <f>C99/C12</f>
        <v>#DIV/0!</v>
      </c>
      <c r="E99" s="283"/>
      <c r="F99" s="316" t="e">
        <f>E99/E12</f>
        <v>#DIV/0!</v>
      </c>
      <c r="G99" s="283"/>
      <c r="H99" s="316" t="e">
        <f>G99/G12</f>
        <v>#DIV/0!</v>
      </c>
      <c r="I99" s="283"/>
      <c r="J99" s="316" t="e">
        <f>I99/I12</f>
        <v>#DIV/0!</v>
      </c>
      <c r="K99" s="283"/>
      <c r="L99" s="316" t="e">
        <f>K99/K12</f>
        <v>#DIV/0!</v>
      </c>
      <c r="M99" s="283"/>
      <c r="N99" s="316" t="e">
        <f>M99/M12</f>
        <v>#DIV/0!</v>
      </c>
      <c r="O99" s="283"/>
      <c r="P99" s="316" t="e">
        <f>O99/O12</f>
        <v>#DIV/0!</v>
      </c>
      <c r="Q99" s="283"/>
      <c r="R99" s="316" t="e">
        <f>Q99/Q12</f>
        <v>#DIV/0!</v>
      </c>
      <c r="S99" s="283"/>
      <c r="T99" s="316" t="e">
        <f>S99/S12</f>
        <v>#DIV/0!</v>
      </c>
      <c r="U99" s="283"/>
      <c r="V99" s="316" t="e">
        <f>U99/U12</f>
        <v>#DIV/0!</v>
      </c>
      <c r="W99" s="283"/>
      <c r="X99" s="316" t="e">
        <f>W99/W12</f>
        <v>#DIV/0!</v>
      </c>
      <c r="Y99" s="283"/>
      <c r="Z99" s="316" t="e">
        <f>Y99/Y12</f>
        <v>#DIV/0!</v>
      </c>
      <c r="AA99" s="319">
        <f t="shared" si="79"/>
        <v>0</v>
      </c>
      <c r="AB99" s="316" t="e">
        <f t="shared" si="80"/>
        <v>#DIV/0!</v>
      </c>
      <c r="AC99" s="317">
        <f t="shared" si="69"/>
        <v>0</v>
      </c>
      <c r="AD99" s="316" t="e">
        <f t="shared" si="81"/>
        <v>#DIV/0!</v>
      </c>
      <c r="AE99" s="44">
        <f t="shared" si="66"/>
        <v>0</v>
      </c>
      <c r="AF99" s="21">
        <f t="shared" si="67"/>
        <v>0</v>
      </c>
      <c r="AW99" s="99"/>
      <c r="AX99" s="99"/>
    </row>
    <row r="100" spans="1:50">
      <c r="A100" s="2">
        <v>6307</v>
      </c>
      <c r="B100" s="2" t="s">
        <v>248</v>
      </c>
      <c r="C100" s="283"/>
      <c r="D100" s="316" t="e">
        <f>C100/C$12</f>
        <v>#DIV/0!</v>
      </c>
      <c r="E100" s="283"/>
      <c r="F100" s="316" t="e">
        <f>E100/E$12</f>
        <v>#DIV/0!</v>
      </c>
      <c r="G100" s="283"/>
      <c r="H100" s="316" t="e">
        <f>G100/G$12</f>
        <v>#DIV/0!</v>
      </c>
      <c r="I100" s="283"/>
      <c r="J100" s="316" t="e">
        <f>I100/I$12</f>
        <v>#DIV/0!</v>
      </c>
      <c r="K100" s="283"/>
      <c r="L100" s="316" t="e">
        <f>K100/K$12</f>
        <v>#DIV/0!</v>
      </c>
      <c r="M100" s="283"/>
      <c r="N100" s="316" t="e">
        <f>M100/M$12</f>
        <v>#DIV/0!</v>
      </c>
      <c r="O100" s="283"/>
      <c r="P100" s="316" t="e">
        <f>O100/O$12</f>
        <v>#DIV/0!</v>
      </c>
      <c r="Q100" s="283"/>
      <c r="R100" s="316" t="e">
        <f>Q100/Q$12</f>
        <v>#DIV/0!</v>
      </c>
      <c r="S100" s="283"/>
      <c r="T100" s="316" t="e">
        <f>S100/S$12</f>
        <v>#DIV/0!</v>
      </c>
      <c r="U100" s="283"/>
      <c r="V100" s="316" t="e">
        <f>U100/U$12</f>
        <v>#DIV/0!</v>
      </c>
      <c r="W100" s="283"/>
      <c r="X100" s="316" t="e">
        <f>W100/W$12</f>
        <v>#DIV/0!</v>
      </c>
      <c r="Y100" s="283"/>
      <c r="Z100" s="316" t="e">
        <f>Y100/Y$12</f>
        <v>#DIV/0!</v>
      </c>
      <c r="AA100" s="319">
        <f t="shared" si="79"/>
        <v>0</v>
      </c>
      <c r="AB100" s="316" t="e">
        <f>AA100/AA$12</f>
        <v>#DIV/0!</v>
      </c>
      <c r="AC100" s="317">
        <f t="shared" si="69"/>
        <v>0</v>
      </c>
      <c r="AD100" s="316" t="e">
        <f>AC100/AC$12</f>
        <v>#DIV/0!</v>
      </c>
      <c r="AE100" s="44"/>
      <c r="AF100" s="21"/>
      <c r="AW100" s="99"/>
      <c r="AX100" s="99"/>
    </row>
    <row r="101" spans="1:50">
      <c r="A101" s="2">
        <v>6308</v>
      </c>
      <c r="B101" s="2" t="s">
        <v>126</v>
      </c>
      <c r="C101" s="283"/>
      <c r="D101" s="316" t="e">
        <f>C101/C$12</f>
        <v>#DIV/0!</v>
      </c>
      <c r="E101" s="283"/>
      <c r="F101" s="316" t="e">
        <f>E101/E$12</f>
        <v>#DIV/0!</v>
      </c>
      <c r="G101" s="283"/>
      <c r="H101" s="316" t="e">
        <f>G101/G$12</f>
        <v>#DIV/0!</v>
      </c>
      <c r="I101" s="283"/>
      <c r="J101" s="316" t="e">
        <f>I101/I$12</f>
        <v>#DIV/0!</v>
      </c>
      <c r="K101" s="283"/>
      <c r="L101" s="316" t="e">
        <f>K101/K$12</f>
        <v>#DIV/0!</v>
      </c>
      <c r="M101" s="283"/>
      <c r="N101" s="316" t="e">
        <f>M101/M$12</f>
        <v>#DIV/0!</v>
      </c>
      <c r="O101" s="283"/>
      <c r="P101" s="316" t="e">
        <f>O101/O$12</f>
        <v>#DIV/0!</v>
      </c>
      <c r="Q101" s="283"/>
      <c r="R101" s="316" t="e">
        <f>Q101/Q$12</f>
        <v>#DIV/0!</v>
      </c>
      <c r="S101" s="283"/>
      <c r="T101" s="316" t="e">
        <f>S101/S$12</f>
        <v>#DIV/0!</v>
      </c>
      <c r="U101" s="283"/>
      <c r="V101" s="316" t="e">
        <f>U101/U$12</f>
        <v>#DIV/0!</v>
      </c>
      <c r="W101" s="283"/>
      <c r="X101" s="316" t="e">
        <f>W101/W$12</f>
        <v>#DIV/0!</v>
      </c>
      <c r="Y101" s="283"/>
      <c r="Z101" s="316" t="e">
        <f>Y101/Y$12</f>
        <v>#DIV/0!</v>
      </c>
      <c r="AA101" s="319">
        <f t="shared" si="79"/>
        <v>0</v>
      </c>
      <c r="AB101" s="316" t="e">
        <f>AA101/AA$12</f>
        <v>#DIV/0!</v>
      </c>
      <c r="AC101" s="317">
        <f t="shared" si="69"/>
        <v>0</v>
      </c>
      <c r="AD101" s="316" t="e">
        <f>AC101/AC$12</f>
        <v>#DIV/0!</v>
      </c>
      <c r="AE101" s="44">
        <f t="shared" si="66"/>
        <v>0</v>
      </c>
      <c r="AF101" s="21">
        <f t="shared" si="67"/>
        <v>0</v>
      </c>
      <c r="AW101" s="99"/>
      <c r="AX101" s="99"/>
    </row>
    <row r="102" spans="1:50">
      <c r="A102" s="2">
        <v>6309</v>
      </c>
      <c r="B102" s="2" t="s">
        <v>127</v>
      </c>
      <c r="C102" s="282"/>
      <c r="D102" s="316" t="e">
        <f>C102/C$12</f>
        <v>#DIV/0!</v>
      </c>
      <c r="E102" s="282"/>
      <c r="F102" s="316" t="e">
        <f>E102/E$12</f>
        <v>#DIV/0!</v>
      </c>
      <c r="G102" s="282"/>
      <c r="H102" s="316" t="e">
        <f>G102/G$12</f>
        <v>#DIV/0!</v>
      </c>
      <c r="I102" s="282"/>
      <c r="J102" s="316" t="e">
        <f>I102/I$12</f>
        <v>#DIV/0!</v>
      </c>
      <c r="K102" s="282"/>
      <c r="L102" s="316" t="e">
        <f>K102/K$12</f>
        <v>#DIV/0!</v>
      </c>
      <c r="M102" s="282"/>
      <c r="N102" s="316" t="e">
        <f>M102/M$12</f>
        <v>#DIV/0!</v>
      </c>
      <c r="O102" s="282"/>
      <c r="P102" s="316" t="e">
        <f>O102/O$12</f>
        <v>#DIV/0!</v>
      </c>
      <c r="Q102" s="282"/>
      <c r="R102" s="316" t="e">
        <f>Q102/Q$12</f>
        <v>#DIV/0!</v>
      </c>
      <c r="S102" s="282"/>
      <c r="T102" s="316" t="e">
        <f>S102/S$12</f>
        <v>#DIV/0!</v>
      </c>
      <c r="U102" s="282"/>
      <c r="V102" s="316" t="e">
        <f>U102/U$12</f>
        <v>#DIV/0!</v>
      </c>
      <c r="W102" s="282"/>
      <c r="X102" s="316" t="e">
        <f>W102/W$12</f>
        <v>#DIV/0!</v>
      </c>
      <c r="Y102" s="282"/>
      <c r="Z102" s="316" t="e">
        <f>Y102/Y$12</f>
        <v>#DIV/0!</v>
      </c>
      <c r="AA102" s="319">
        <f t="shared" si="79"/>
        <v>0</v>
      </c>
      <c r="AB102" s="316" t="e">
        <f>AA102/AA$12</f>
        <v>#DIV/0!</v>
      </c>
      <c r="AC102" s="317">
        <f t="shared" si="69"/>
        <v>0</v>
      </c>
      <c r="AD102" s="316" t="e">
        <f>AC102/AC$12</f>
        <v>#DIV/0!</v>
      </c>
      <c r="AE102" s="44">
        <f t="shared" si="66"/>
        <v>0</v>
      </c>
      <c r="AF102" s="21">
        <f t="shared" si="67"/>
        <v>0</v>
      </c>
      <c r="AW102" s="99"/>
      <c r="AX102" s="99"/>
    </row>
    <row r="103" spans="1:50">
      <c r="A103" s="2">
        <v>6310</v>
      </c>
      <c r="B103" s="2" t="s">
        <v>128</v>
      </c>
      <c r="C103" s="283"/>
      <c r="D103" s="316" t="e">
        <f t="shared" ref="D103:F114" si="82">C103/C$12</f>
        <v>#DIV/0!</v>
      </c>
      <c r="E103" s="283"/>
      <c r="F103" s="316" t="e">
        <f t="shared" si="82"/>
        <v>#DIV/0!</v>
      </c>
      <c r="G103" s="283"/>
      <c r="H103" s="316" t="e">
        <f t="shared" ref="H103:H114" si="83">G103/G$12</f>
        <v>#DIV/0!</v>
      </c>
      <c r="I103" s="283"/>
      <c r="J103" s="316" t="e">
        <f t="shared" ref="J103:J114" si="84">I103/I$12</f>
        <v>#DIV/0!</v>
      </c>
      <c r="K103" s="283"/>
      <c r="L103" s="316" t="e">
        <f t="shared" ref="L103:L114" si="85">K103/K$12</f>
        <v>#DIV/0!</v>
      </c>
      <c r="M103" s="283"/>
      <c r="N103" s="316" t="e">
        <f t="shared" ref="N103:N114" si="86">M103/M$12</f>
        <v>#DIV/0!</v>
      </c>
      <c r="O103" s="283"/>
      <c r="P103" s="326" t="e">
        <f>O103/O$12</f>
        <v>#DIV/0!</v>
      </c>
      <c r="Q103" s="283"/>
      <c r="R103" s="316" t="e">
        <f t="shared" ref="R103:R114" si="87">Q103/Q$12</f>
        <v>#DIV/0!</v>
      </c>
      <c r="S103" s="283"/>
      <c r="T103" s="316" t="e">
        <f t="shared" ref="T103:T114" si="88">S103/S$12</f>
        <v>#DIV/0!</v>
      </c>
      <c r="U103" s="283"/>
      <c r="V103" s="316" t="e">
        <f t="shared" ref="V103:V114" si="89">U103/U$12</f>
        <v>#DIV/0!</v>
      </c>
      <c r="W103" s="283"/>
      <c r="X103" s="316" t="e">
        <f t="shared" ref="X103:X114" si="90">W103/W$12</f>
        <v>#DIV/0!</v>
      </c>
      <c r="Y103" s="283"/>
      <c r="Z103" s="316" t="e">
        <f t="shared" ref="Z103:Z114" si="91">Y103/Y$12</f>
        <v>#DIV/0!</v>
      </c>
      <c r="AA103" s="319">
        <f t="shared" si="79"/>
        <v>0</v>
      </c>
      <c r="AB103" s="316" t="e">
        <f t="shared" ref="AB103:AB114" si="92">AA103/AA$12</f>
        <v>#DIV/0!</v>
      </c>
      <c r="AC103" s="317">
        <f t="shared" si="69"/>
        <v>0</v>
      </c>
      <c r="AD103" s="316" t="e">
        <f t="shared" ref="AD103:AD114" si="93">AC103/AC$12</f>
        <v>#DIV/0!</v>
      </c>
      <c r="AE103" s="44">
        <f t="shared" si="66"/>
        <v>0</v>
      </c>
      <c r="AF103" s="21">
        <f t="shared" si="67"/>
        <v>0</v>
      </c>
      <c r="AW103" s="99"/>
      <c r="AX103" s="99"/>
    </row>
    <row r="104" spans="1:50">
      <c r="A104" s="2">
        <v>6311</v>
      </c>
      <c r="B104" s="2" t="s">
        <v>129</v>
      </c>
      <c r="C104" s="283"/>
      <c r="D104" s="316" t="e">
        <f t="shared" si="82"/>
        <v>#DIV/0!</v>
      </c>
      <c r="E104" s="283"/>
      <c r="F104" s="316" t="e">
        <f t="shared" si="82"/>
        <v>#DIV/0!</v>
      </c>
      <c r="G104" s="283"/>
      <c r="H104" s="316" t="e">
        <f t="shared" si="83"/>
        <v>#DIV/0!</v>
      </c>
      <c r="I104" s="283"/>
      <c r="J104" s="316" t="e">
        <f t="shared" si="84"/>
        <v>#DIV/0!</v>
      </c>
      <c r="K104" s="283"/>
      <c r="L104" s="316" t="e">
        <f t="shared" si="85"/>
        <v>#DIV/0!</v>
      </c>
      <c r="M104" s="283"/>
      <c r="N104" s="316" t="e">
        <f t="shared" si="86"/>
        <v>#DIV/0!</v>
      </c>
      <c r="O104" s="283"/>
      <c r="P104" s="316" t="e">
        <f t="shared" ref="P104:P114" si="94">O104/O$12</f>
        <v>#DIV/0!</v>
      </c>
      <c r="Q104" s="283"/>
      <c r="R104" s="316" t="e">
        <f t="shared" si="87"/>
        <v>#DIV/0!</v>
      </c>
      <c r="S104" s="283"/>
      <c r="T104" s="316" t="e">
        <f t="shared" si="88"/>
        <v>#DIV/0!</v>
      </c>
      <c r="U104" s="283"/>
      <c r="V104" s="316" t="e">
        <f t="shared" si="89"/>
        <v>#DIV/0!</v>
      </c>
      <c r="W104" s="283"/>
      <c r="X104" s="316" t="e">
        <f t="shared" si="90"/>
        <v>#DIV/0!</v>
      </c>
      <c r="Y104" s="283"/>
      <c r="Z104" s="316" t="e">
        <f t="shared" si="91"/>
        <v>#DIV/0!</v>
      </c>
      <c r="AA104" s="319">
        <f t="shared" si="79"/>
        <v>0</v>
      </c>
      <c r="AB104" s="316" t="e">
        <f t="shared" si="92"/>
        <v>#DIV/0!</v>
      </c>
      <c r="AC104" s="317">
        <f t="shared" si="69"/>
        <v>0</v>
      </c>
      <c r="AD104" s="316" t="e">
        <f t="shared" si="93"/>
        <v>#DIV/0!</v>
      </c>
      <c r="AE104" s="44">
        <f t="shared" si="66"/>
        <v>0</v>
      </c>
      <c r="AF104" s="21">
        <f t="shared" si="67"/>
        <v>0</v>
      </c>
      <c r="AW104" s="99"/>
      <c r="AX104" s="99"/>
    </row>
    <row r="105" spans="1:50">
      <c r="A105" s="2">
        <v>6312</v>
      </c>
      <c r="B105" s="2" t="s">
        <v>130</v>
      </c>
      <c r="C105" s="283"/>
      <c r="D105" s="316" t="e">
        <f t="shared" si="82"/>
        <v>#DIV/0!</v>
      </c>
      <c r="E105" s="283"/>
      <c r="F105" s="316" t="e">
        <f t="shared" si="82"/>
        <v>#DIV/0!</v>
      </c>
      <c r="G105" s="283"/>
      <c r="H105" s="316" t="e">
        <f t="shared" si="83"/>
        <v>#DIV/0!</v>
      </c>
      <c r="I105" s="283"/>
      <c r="J105" s="316" t="e">
        <f t="shared" si="84"/>
        <v>#DIV/0!</v>
      </c>
      <c r="K105" s="283"/>
      <c r="L105" s="316" t="e">
        <f t="shared" si="85"/>
        <v>#DIV/0!</v>
      </c>
      <c r="M105" s="283"/>
      <c r="N105" s="316" t="e">
        <f t="shared" si="86"/>
        <v>#DIV/0!</v>
      </c>
      <c r="O105" s="283"/>
      <c r="P105" s="316" t="e">
        <f t="shared" si="94"/>
        <v>#DIV/0!</v>
      </c>
      <c r="Q105" s="283"/>
      <c r="R105" s="316" t="e">
        <f t="shared" si="87"/>
        <v>#DIV/0!</v>
      </c>
      <c r="S105" s="283"/>
      <c r="T105" s="316" t="e">
        <f t="shared" si="88"/>
        <v>#DIV/0!</v>
      </c>
      <c r="U105" s="283"/>
      <c r="V105" s="316" t="e">
        <f t="shared" si="89"/>
        <v>#DIV/0!</v>
      </c>
      <c r="W105" s="283"/>
      <c r="X105" s="316" t="e">
        <f t="shared" si="90"/>
        <v>#DIV/0!</v>
      </c>
      <c r="Y105" s="283"/>
      <c r="Z105" s="316" t="e">
        <f t="shared" si="91"/>
        <v>#DIV/0!</v>
      </c>
      <c r="AA105" s="319">
        <f t="shared" si="79"/>
        <v>0</v>
      </c>
      <c r="AB105" s="316" t="e">
        <f t="shared" si="92"/>
        <v>#DIV/0!</v>
      </c>
      <c r="AC105" s="317">
        <f t="shared" si="69"/>
        <v>0</v>
      </c>
      <c r="AD105" s="316" t="e">
        <f t="shared" si="93"/>
        <v>#DIV/0!</v>
      </c>
      <c r="AE105" s="44">
        <f t="shared" si="66"/>
        <v>0</v>
      </c>
      <c r="AF105" s="21">
        <f t="shared" si="67"/>
        <v>0</v>
      </c>
      <c r="AW105" s="99"/>
      <c r="AX105" s="99"/>
    </row>
    <row r="106" spans="1:50">
      <c r="A106" s="2">
        <v>6313</v>
      </c>
      <c r="B106" s="2" t="s">
        <v>131</v>
      </c>
      <c r="C106" s="283"/>
      <c r="D106" s="316" t="e">
        <f t="shared" si="82"/>
        <v>#DIV/0!</v>
      </c>
      <c r="E106" s="283"/>
      <c r="F106" s="316" t="e">
        <f t="shared" si="82"/>
        <v>#DIV/0!</v>
      </c>
      <c r="G106" s="283"/>
      <c r="H106" s="316" t="e">
        <f t="shared" si="83"/>
        <v>#DIV/0!</v>
      </c>
      <c r="I106" s="283"/>
      <c r="J106" s="316" t="e">
        <f t="shared" si="84"/>
        <v>#DIV/0!</v>
      </c>
      <c r="K106" s="283"/>
      <c r="L106" s="316" t="e">
        <f t="shared" si="85"/>
        <v>#DIV/0!</v>
      </c>
      <c r="M106" s="283"/>
      <c r="N106" s="316" t="e">
        <f t="shared" si="86"/>
        <v>#DIV/0!</v>
      </c>
      <c r="O106" s="283"/>
      <c r="P106" s="316" t="e">
        <f t="shared" si="94"/>
        <v>#DIV/0!</v>
      </c>
      <c r="Q106" s="283"/>
      <c r="R106" s="316" t="e">
        <f t="shared" si="87"/>
        <v>#DIV/0!</v>
      </c>
      <c r="S106" s="283"/>
      <c r="T106" s="316" t="e">
        <f t="shared" si="88"/>
        <v>#DIV/0!</v>
      </c>
      <c r="U106" s="283"/>
      <c r="V106" s="316" t="e">
        <f t="shared" si="89"/>
        <v>#DIV/0!</v>
      </c>
      <c r="W106" s="283"/>
      <c r="X106" s="316" t="e">
        <f t="shared" si="90"/>
        <v>#DIV/0!</v>
      </c>
      <c r="Y106" s="283"/>
      <c r="Z106" s="316" t="e">
        <f t="shared" si="91"/>
        <v>#DIV/0!</v>
      </c>
      <c r="AA106" s="319">
        <f t="shared" si="79"/>
        <v>0</v>
      </c>
      <c r="AB106" s="316" t="e">
        <f t="shared" si="92"/>
        <v>#DIV/0!</v>
      </c>
      <c r="AC106" s="317">
        <f t="shared" si="69"/>
        <v>0</v>
      </c>
      <c r="AD106" s="316" t="e">
        <f t="shared" si="93"/>
        <v>#DIV/0!</v>
      </c>
      <c r="AE106" s="44"/>
      <c r="AF106" s="21"/>
      <c r="AW106" s="99"/>
      <c r="AX106" s="99"/>
    </row>
    <row r="107" spans="1:50">
      <c r="A107" s="2">
        <v>6314</v>
      </c>
      <c r="B107" s="2" t="s">
        <v>210</v>
      </c>
      <c r="C107" s="283"/>
      <c r="D107" s="316" t="e">
        <f t="shared" si="82"/>
        <v>#DIV/0!</v>
      </c>
      <c r="E107" s="283"/>
      <c r="F107" s="316" t="e">
        <f t="shared" si="82"/>
        <v>#DIV/0!</v>
      </c>
      <c r="G107" s="283"/>
      <c r="H107" s="316" t="e">
        <f t="shared" si="83"/>
        <v>#DIV/0!</v>
      </c>
      <c r="I107" s="283"/>
      <c r="J107" s="316" t="e">
        <f t="shared" si="84"/>
        <v>#DIV/0!</v>
      </c>
      <c r="K107" s="283"/>
      <c r="L107" s="316" t="e">
        <f t="shared" si="85"/>
        <v>#DIV/0!</v>
      </c>
      <c r="M107" s="283"/>
      <c r="N107" s="316" t="e">
        <f t="shared" si="86"/>
        <v>#DIV/0!</v>
      </c>
      <c r="O107" s="283"/>
      <c r="P107" s="316" t="e">
        <f t="shared" si="94"/>
        <v>#DIV/0!</v>
      </c>
      <c r="Q107" s="283"/>
      <c r="R107" s="316" t="e">
        <f t="shared" si="87"/>
        <v>#DIV/0!</v>
      </c>
      <c r="S107" s="283"/>
      <c r="T107" s="316" t="e">
        <f t="shared" si="88"/>
        <v>#DIV/0!</v>
      </c>
      <c r="U107" s="283"/>
      <c r="V107" s="316" t="e">
        <f t="shared" si="89"/>
        <v>#DIV/0!</v>
      </c>
      <c r="W107" s="283"/>
      <c r="X107" s="316" t="e">
        <f t="shared" si="90"/>
        <v>#DIV/0!</v>
      </c>
      <c r="Y107" s="283"/>
      <c r="Z107" s="316" t="e">
        <f t="shared" si="91"/>
        <v>#DIV/0!</v>
      </c>
      <c r="AA107" s="319">
        <f t="shared" si="79"/>
        <v>0</v>
      </c>
      <c r="AB107" s="316" t="e">
        <f t="shared" si="92"/>
        <v>#DIV/0!</v>
      </c>
      <c r="AC107" s="317">
        <f t="shared" si="69"/>
        <v>0</v>
      </c>
      <c r="AD107" s="316" t="e">
        <f t="shared" si="93"/>
        <v>#DIV/0!</v>
      </c>
      <c r="AE107" s="44">
        <f t="shared" si="66"/>
        <v>0</v>
      </c>
      <c r="AF107" s="21">
        <f t="shared" si="67"/>
        <v>0</v>
      </c>
      <c r="AW107" s="99"/>
      <c r="AX107" s="99"/>
    </row>
    <row r="108" spans="1:50">
      <c r="A108" s="2">
        <v>6315</v>
      </c>
      <c r="B108" s="2" t="s">
        <v>249</v>
      </c>
      <c r="C108" s="283"/>
      <c r="D108" s="316" t="e">
        <f t="shared" si="82"/>
        <v>#DIV/0!</v>
      </c>
      <c r="E108" s="283"/>
      <c r="F108" s="316" t="e">
        <f t="shared" si="82"/>
        <v>#DIV/0!</v>
      </c>
      <c r="G108" s="283"/>
      <c r="H108" s="316" t="e">
        <f t="shared" si="83"/>
        <v>#DIV/0!</v>
      </c>
      <c r="I108" s="283"/>
      <c r="J108" s="316" t="e">
        <f t="shared" si="84"/>
        <v>#DIV/0!</v>
      </c>
      <c r="K108" s="283"/>
      <c r="L108" s="316" t="e">
        <f t="shared" si="85"/>
        <v>#DIV/0!</v>
      </c>
      <c r="M108" s="283"/>
      <c r="N108" s="316" t="e">
        <f t="shared" si="86"/>
        <v>#DIV/0!</v>
      </c>
      <c r="O108" s="283"/>
      <c r="P108" s="316" t="e">
        <f t="shared" si="94"/>
        <v>#DIV/0!</v>
      </c>
      <c r="Q108" s="283"/>
      <c r="R108" s="316" t="e">
        <f t="shared" si="87"/>
        <v>#DIV/0!</v>
      </c>
      <c r="S108" s="283"/>
      <c r="T108" s="316" t="e">
        <f t="shared" si="88"/>
        <v>#DIV/0!</v>
      </c>
      <c r="U108" s="283"/>
      <c r="V108" s="316" t="e">
        <f t="shared" si="89"/>
        <v>#DIV/0!</v>
      </c>
      <c r="W108" s="283"/>
      <c r="X108" s="316" t="e">
        <f t="shared" si="90"/>
        <v>#DIV/0!</v>
      </c>
      <c r="Y108" s="283"/>
      <c r="Z108" s="316" t="e">
        <f t="shared" si="91"/>
        <v>#DIV/0!</v>
      </c>
      <c r="AA108" s="319">
        <f t="shared" si="79"/>
        <v>0</v>
      </c>
      <c r="AB108" s="316" t="e">
        <f t="shared" si="92"/>
        <v>#DIV/0!</v>
      </c>
      <c r="AC108" s="317">
        <f t="shared" si="69"/>
        <v>0</v>
      </c>
      <c r="AD108" s="316" t="e">
        <f t="shared" si="93"/>
        <v>#DIV/0!</v>
      </c>
      <c r="AE108" s="44"/>
      <c r="AF108" s="21"/>
      <c r="AW108" s="99"/>
      <c r="AX108" s="99"/>
    </row>
    <row r="109" spans="1:50">
      <c r="A109" s="2">
        <v>6316</v>
      </c>
      <c r="B109" s="2" t="s">
        <v>250</v>
      </c>
      <c r="C109" s="283"/>
      <c r="D109" s="316" t="e">
        <f t="shared" si="82"/>
        <v>#DIV/0!</v>
      </c>
      <c r="E109" s="283"/>
      <c r="F109" s="316" t="e">
        <f t="shared" si="82"/>
        <v>#DIV/0!</v>
      </c>
      <c r="G109" s="283"/>
      <c r="H109" s="316" t="e">
        <f t="shared" si="83"/>
        <v>#DIV/0!</v>
      </c>
      <c r="I109" s="283"/>
      <c r="J109" s="316" t="e">
        <f t="shared" si="84"/>
        <v>#DIV/0!</v>
      </c>
      <c r="K109" s="283"/>
      <c r="L109" s="316" t="e">
        <f t="shared" si="85"/>
        <v>#DIV/0!</v>
      </c>
      <c r="M109" s="283"/>
      <c r="N109" s="316" t="e">
        <f t="shared" si="86"/>
        <v>#DIV/0!</v>
      </c>
      <c r="O109" s="283"/>
      <c r="P109" s="316" t="e">
        <f t="shared" si="94"/>
        <v>#DIV/0!</v>
      </c>
      <c r="Q109" s="283"/>
      <c r="R109" s="316" t="e">
        <f t="shared" si="87"/>
        <v>#DIV/0!</v>
      </c>
      <c r="S109" s="283"/>
      <c r="T109" s="316" t="e">
        <f t="shared" si="88"/>
        <v>#DIV/0!</v>
      </c>
      <c r="U109" s="283"/>
      <c r="V109" s="316" t="e">
        <f t="shared" si="89"/>
        <v>#DIV/0!</v>
      </c>
      <c r="W109" s="283"/>
      <c r="X109" s="316" t="e">
        <f t="shared" si="90"/>
        <v>#DIV/0!</v>
      </c>
      <c r="Y109" s="283"/>
      <c r="Z109" s="316" t="e">
        <f t="shared" si="91"/>
        <v>#DIV/0!</v>
      </c>
      <c r="AA109" s="319">
        <f t="shared" si="79"/>
        <v>0</v>
      </c>
      <c r="AB109" s="316" t="e">
        <f t="shared" si="92"/>
        <v>#DIV/0!</v>
      </c>
      <c r="AC109" s="317">
        <f t="shared" si="69"/>
        <v>0</v>
      </c>
      <c r="AD109" s="316" t="e">
        <f t="shared" si="93"/>
        <v>#DIV/0!</v>
      </c>
      <c r="AE109" s="44"/>
      <c r="AF109" s="21"/>
      <c r="AW109" s="99"/>
      <c r="AX109" s="99"/>
    </row>
    <row r="110" spans="1:50">
      <c r="A110" s="2">
        <v>6317</v>
      </c>
      <c r="B110" s="2" t="s">
        <v>251</v>
      </c>
      <c r="C110" s="283"/>
      <c r="D110" s="316" t="e">
        <f t="shared" si="82"/>
        <v>#DIV/0!</v>
      </c>
      <c r="E110" s="283"/>
      <c r="F110" s="316" t="e">
        <f t="shared" si="82"/>
        <v>#DIV/0!</v>
      </c>
      <c r="G110" s="283"/>
      <c r="H110" s="316" t="e">
        <f t="shared" si="83"/>
        <v>#DIV/0!</v>
      </c>
      <c r="I110" s="283"/>
      <c r="J110" s="316" t="e">
        <f t="shared" si="84"/>
        <v>#DIV/0!</v>
      </c>
      <c r="K110" s="283"/>
      <c r="L110" s="316" t="e">
        <f t="shared" si="85"/>
        <v>#DIV/0!</v>
      </c>
      <c r="M110" s="283"/>
      <c r="N110" s="316" t="e">
        <f t="shared" si="86"/>
        <v>#DIV/0!</v>
      </c>
      <c r="O110" s="283"/>
      <c r="P110" s="316" t="e">
        <f t="shared" si="94"/>
        <v>#DIV/0!</v>
      </c>
      <c r="Q110" s="283"/>
      <c r="R110" s="316" t="e">
        <f t="shared" si="87"/>
        <v>#DIV/0!</v>
      </c>
      <c r="S110" s="283"/>
      <c r="T110" s="316" t="e">
        <f t="shared" si="88"/>
        <v>#DIV/0!</v>
      </c>
      <c r="U110" s="283"/>
      <c r="V110" s="316" t="e">
        <f t="shared" si="89"/>
        <v>#DIV/0!</v>
      </c>
      <c r="W110" s="283"/>
      <c r="X110" s="316" t="e">
        <f t="shared" si="90"/>
        <v>#DIV/0!</v>
      </c>
      <c r="Y110" s="283"/>
      <c r="Z110" s="316" t="e">
        <f t="shared" si="91"/>
        <v>#DIV/0!</v>
      </c>
      <c r="AA110" s="319">
        <f t="shared" si="79"/>
        <v>0</v>
      </c>
      <c r="AB110" s="316" t="e">
        <f t="shared" si="92"/>
        <v>#DIV/0!</v>
      </c>
      <c r="AC110" s="317">
        <f t="shared" si="69"/>
        <v>0</v>
      </c>
      <c r="AD110" s="316" t="e">
        <f t="shared" si="93"/>
        <v>#DIV/0!</v>
      </c>
      <c r="AE110" s="44"/>
      <c r="AF110" s="21"/>
      <c r="AW110" s="99"/>
      <c r="AX110" s="99"/>
    </row>
    <row r="111" spans="1:50">
      <c r="A111" s="2">
        <v>6318</v>
      </c>
      <c r="B111" s="2" t="s">
        <v>252</v>
      </c>
      <c r="C111" s="283"/>
      <c r="D111" s="316" t="e">
        <f t="shared" si="82"/>
        <v>#DIV/0!</v>
      </c>
      <c r="E111" s="283"/>
      <c r="F111" s="316" t="e">
        <f t="shared" si="82"/>
        <v>#DIV/0!</v>
      </c>
      <c r="G111" s="283"/>
      <c r="H111" s="316" t="e">
        <f t="shared" si="83"/>
        <v>#DIV/0!</v>
      </c>
      <c r="I111" s="283"/>
      <c r="J111" s="316" t="e">
        <f t="shared" si="84"/>
        <v>#DIV/0!</v>
      </c>
      <c r="K111" s="283"/>
      <c r="L111" s="316" t="e">
        <f t="shared" si="85"/>
        <v>#DIV/0!</v>
      </c>
      <c r="M111" s="283"/>
      <c r="N111" s="316" t="e">
        <f t="shared" si="86"/>
        <v>#DIV/0!</v>
      </c>
      <c r="O111" s="283"/>
      <c r="P111" s="316" t="e">
        <f t="shared" si="94"/>
        <v>#DIV/0!</v>
      </c>
      <c r="Q111" s="283"/>
      <c r="R111" s="316" t="e">
        <f t="shared" si="87"/>
        <v>#DIV/0!</v>
      </c>
      <c r="S111" s="283"/>
      <c r="T111" s="316" t="e">
        <f t="shared" si="88"/>
        <v>#DIV/0!</v>
      </c>
      <c r="U111" s="283"/>
      <c r="V111" s="316" t="e">
        <f t="shared" si="89"/>
        <v>#DIV/0!</v>
      </c>
      <c r="W111" s="283"/>
      <c r="X111" s="316" t="e">
        <f t="shared" si="90"/>
        <v>#DIV/0!</v>
      </c>
      <c r="Y111" s="283"/>
      <c r="Z111" s="316" t="e">
        <f t="shared" si="91"/>
        <v>#DIV/0!</v>
      </c>
      <c r="AA111" s="319">
        <f t="shared" si="79"/>
        <v>0</v>
      </c>
      <c r="AB111" s="316" t="e">
        <f t="shared" si="92"/>
        <v>#DIV/0!</v>
      </c>
      <c r="AC111" s="317">
        <f t="shared" si="69"/>
        <v>0</v>
      </c>
      <c r="AD111" s="316" t="e">
        <f t="shared" si="93"/>
        <v>#DIV/0!</v>
      </c>
      <c r="AE111" s="44"/>
      <c r="AF111" s="21"/>
      <c r="AW111" s="99"/>
      <c r="AX111" s="99"/>
    </row>
    <row r="112" spans="1:50">
      <c r="A112" s="2">
        <v>6319</v>
      </c>
      <c r="B112" s="2" t="s">
        <v>253</v>
      </c>
      <c r="C112" s="283"/>
      <c r="D112" s="316" t="e">
        <f t="shared" si="82"/>
        <v>#DIV/0!</v>
      </c>
      <c r="E112" s="283"/>
      <c r="F112" s="316" t="e">
        <f t="shared" si="82"/>
        <v>#DIV/0!</v>
      </c>
      <c r="G112" s="283"/>
      <c r="H112" s="316" t="e">
        <f t="shared" si="83"/>
        <v>#DIV/0!</v>
      </c>
      <c r="I112" s="283"/>
      <c r="J112" s="316" t="e">
        <f t="shared" si="84"/>
        <v>#DIV/0!</v>
      </c>
      <c r="K112" s="283"/>
      <c r="L112" s="316" t="e">
        <f t="shared" si="85"/>
        <v>#DIV/0!</v>
      </c>
      <c r="M112" s="283"/>
      <c r="N112" s="316" t="e">
        <f t="shared" si="86"/>
        <v>#DIV/0!</v>
      </c>
      <c r="O112" s="283"/>
      <c r="P112" s="316" t="e">
        <f t="shared" si="94"/>
        <v>#DIV/0!</v>
      </c>
      <c r="Q112" s="283"/>
      <c r="R112" s="316" t="e">
        <f t="shared" si="87"/>
        <v>#DIV/0!</v>
      </c>
      <c r="S112" s="283"/>
      <c r="T112" s="316" t="e">
        <f t="shared" si="88"/>
        <v>#DIV/0!</v>
      </c>
      <c r="U112" s="283"/>
      <c r="V112" s="316" t="e">
        <f t="shared" si="89"/>
        <v>#DIV/0!</v>
      </c>
      <c r="W112" s="283"/>
      <c r="X112" s="316" t="e">
        <f t="shared" si="90"/>
        <v>#DIV/0!</v>
      </c>
      <c r="Y112" s="283"/>
      <c r="Z112" s="316" t="e">
        <f t="shared" si="91"/>
        <v>#DIV/0!</v>
      </c>
      <c r="AA112" s="319">
        <f t="shared" si="79"/>
        <v>0</v>
      </c>
      <c r="AB112" s="316" t="e">
        <f t="shared" si="92"/>
        <v>#DIV/0!</v>
      </c>
      <c r="AC112" s="317">
        <f t="shared" si="69"/>
        <v>0</v>
      </c>
      <c r="AD112" s="316" t="e">
        <f t="shared" si="93"/>
        <v>#DIV/0!</v>
      </c>
      <c r="AE112" s="44"/>
      <c r="AF112" s="21"/>
      <c r="AW112" s="99"/>
      <c r="AX112" s="99"/>
    </row>
    <row r="113" spans="1:50">
      <c r="A113" s="2">
        <v>6320</v>
      </c>
      <c r="B113" s="2" t="s">
        <v>254</v>
      </c>
      <c r="C113" s="283"/>
      <c r="D113" s="316" t="e">
        <f t="shared" si="82"/>
        <v>#DIV/0!</v>
      </c>
      <c r="E113" s="283"/>
      <c r="F113" s="316" t="e">
        <f t="shared" si="82"/>
        <v>#DIV/0!</v>
      </c>
      <c r="G113" s="283"/>
      <c r="H113" s="316" t="e">
        <f t="shared" si="83"/>
        <v>#DIV/0!</v>
      </c>
      <c r="I113" s="283"/>
      <c r="J113" s="316" t="e">
        <f t="shared" si="84"/>
        <v>#DIV/0!</v>
      </c>
      <c r="K113" s="283"/>
      <c r="L113" s="316" t="e">
        <f t="shared" si="85"/>
        <v>#DIV/0!</v>
      </c>
      <c r="M113" s="283"/>
      <c r="N113" s="316" t="e">
        <f t="shared" si="86"/>
        <v>#DIV/0!</v>
      </c>
      <c r="O113" s="283"/>
      <c r="P113" s="316" t="e">
        <f t="shared" si="94"/>
        <v>#DIV/0!</v>
      </c>
      <c r="Q113" s="283"/>
      <c r="R113" s="316" t="e">
        <f t="shared" si="87"/>
        <v>#DIV/0!</v>
      </c>
      <c r="S113" s="283"/>
      <c r="T113" s="316" t="e">
        <f t="shared" si="88"/>
        <v>#DIV/0!</v>
      </c>
      <c r="U113" s="283"/>
      <c r="V113" s="316" t="e">
        <f t="shared" si="89"/>
        <v>#DIV/0!</v>
      </c>
      <c r="W113" s="283"/>
      <c r="X113" s="316" t="e">
        <f t="shared" si="90"/>
        <v>#DIV/0!</v>
      </c>
      <c r="Y113" s="283"/>
      <c r="Z113" s="316" t="e">
        <f t="shared" si="91"/>
        <v>#DIV/0!</v>
      </c>
      <c r="AA113" s="319">
        <f t="shared" si="79"/>
        <v>0</v>
      </c>
      <c r="AB113" s="316" t="e">
        <f t="shared" si="92"/>
        <v>#DIV/0!</v>
      </c>
      <c r="AC113" s="317">
        <f t="shared" si="69"/>
        <v>0</v>
      </c>
      <c r="AD113" s="316" t="e">
        <f t="shared" si="93"/>
        <v>#DIV/0!</v>
      </c>
      <c r="AE113" s="44"/>
      <c r="AF113" s="21"/>
      <c r="AW113" s="99"/>
      <c r="AX113" s="99"/>
    </row>
    <row r="114" spans="1:50">
      <c r="A114" s="2">
        <v>6321</v>
      </c>
      <c r="B114" s="2" t="s">
        <v>255</v>
      </c>
      <c r="C114" s="283"/>
      <c r="D114" s="316" t="e">
        <f t="shared" si="82"/>
        <v>#DIV/0!</v>
      </c>
      <c r="E114" s="283"/>
      <c r="F114" s="316" t="e">
        <f t="shared" si="82"/>
        <v>#DIV/0!</v>
      </c>
      <c r="G114" s="283"/>
      <c r="H114" s="316" t="e">
        <f t="shared" si="83"/>
        <v>#DIV/0!</v>
      </c>
      <c r="I114" s="283"/>
      <c r="J114" s="316" t="e">
        <f t="shared" si="84"/>
        <v>#DIV/0!</v>
      </c>
      <c r="K114" s="283"/>
      <c r="L114" s="316" t="e">
        <f t="shared" si="85"/>
        <v>#DIV/0!</v>
      </c>
      <c r="M114" s="283"/>
      <c r="N114" s="316" t="e">
        <f t="shared" si="86"/>
        <v>#DIV/0!</v>
      </c>
      <c r="O114" s="283"/>
      <c r="P114" s="316" t="e">
        <f t="shared" si="94"/>
        <v>#DIV/0!</v>
      </c>
      <c r="Q114" s="283"/>
      <c r="R114" s="316" t="e">
        <f t="shared" si="87"/>
        <v>#DIV/0!</v>
      </c>
      <c r="S114" s="283"/>
      <c r="T114" s="316" t="e">
        <f t="shared" si="88"/>
        <v>#DIV/0!</v>
      </c>
      <c r="U114" s="283"/>
      <c r="V114" s="316" t="e">
        <f t="shared" si="89"/>
        <v>#DIV/0!</v>
      </c>
      <c r="W114" s="283"/>
      <c r="X114" s="316" t="e">
        <f t="shared" si="90"/>
        <v>#DIV/0!</v>
      </c>
      <c r="Y114" s="283"/>
      <c r="Z114" s="316" t="e">
        <f t="shared" si="91"/>
        <v>#DIV/0!</v>
      </c>
      <c r="AA114" s="319">
        <f t="shared" si="79"/>
        <v>0</v>
      </c>
      <c r="AB114" s="316" t="e">
        <f t="shared" si="92"/>
        <v>#DIV/0!</v>
      </c>
      <c r="AC114" s="317">
        <f t="shared" si="69"/>
        <v>0</v>
      </c>
      <c r="AD114" s="316" t="e">
        <f t="shared" si="93"/>
        <v>#DIV/0!</v>
      </c>
      <c r="AE114" s="44"/>
      <c r="AF114" s="21"/>
      <c r="AW114" s="99"/>
      <c r="AX114" s="99"/>
    </row>
    <row r="115" spans="1:50" ht="15.75" thickBot="1">
      <c r="A115" s="4">
        <v>6399</v>
      </c>
      <c r="B115" s="39" t="s">
        <v>103</v>
      </c>
      <c r="C115" s="320">
        <f>SUM(C94:C114)</f>
        <v>0</v>
      </c>
      <c r="D115" s="321" t="e">
        <f>C115/C12</f>
        <v>#DIV/0!</v>
      </c>
      <c r="E115" s="320">
        <f>SUM(E94:E114)</f>
        <v>0</v>
      </c>
      <c r="F115" s="321" t="e">
        <f>E115/E12</f>
        <v>#DIV/0!</v>
      </c>
      <c r="G115" s="320">
        <f>SUM(G94:G114)</f>
        <v>0</v>
      </c>
      <c r="H115" s="321" t="e">
        <f>G115/G12</f>
        <v>#DIV/0!</v>
      </c>
      <c r="I115" s="320">
        <f>SUM(I94:I114)</f>
        <v>0</v>
      </c>
      <c r="J115" s="321" t="e">
        <f>I115/I12</f>
        <v>#DIV/0!</v>
      </c>
      <c r="K115" s="320">
        <f>SUM(K94:K114)</f>
        <v>0</v>
      </c>
      <c r="L115" s="321" t="e">
        <f>K115/K12</f>
        <v>#DIV/0!</v>
      </c>
      <c r="M115" s="320">
        <f>SUM(M94:M114)</f>
        <v>0</v>
      </c>
      <c r="N115" s="321" t="e">
        <f>M115/M12</f>
        <v>#DIV/0!</v>
      </c>
      <c r="O115" s="320">
        <f>SUM(O94:O114)</f>
        <v>0</v>
      </c>
      <c r="P115" s="321" t="e">
        <f>O115/O12</f>
        <v>#DIV/0!</v>
      </c>
      <c r="Q115" s="320">
        <f>SUM(Q94:Q114)</f>
        <v>0</v>
      </c>
      <c r="R115" s="321" t="e">
        <f>Q115/Q12</f>
        <v>#DIV/0!</v>
      </c>
      <c r="S115" s="320">
        <f>SUM(S94:S114)</f>
        <v>0</v>
      </c>
      <c r="T115" s="321" t="e">
        <f>S115/S12</f>
        <v>#DIV/0!</v>
      </c>
      <c r="U115" s="320">
        <f>SUM(U94:U114)</f>
        <v>0</v>
      </c>
      <c r="V115" s="321" t="e">
        <f>U115/U12</f>
        <v>#DIV/0!</v>
      </c>
      <c r="W115" s="320">
        <f>SUM(W94:W114)</f>
        <v>0</v>
      </c>
      <c r="X115" s="321" t="e">
        <f>W115/W12</f>
        <v>#DIV/0!</v>
      </c>
      <c r="Y115" s="320">
        <f>SUM(Y94:Y114)</f>
        <v>0</v>
      </c>
      <c r="Z115" s="321" t="e">
        <f>Y115/Y12</f>
        <v>#DIV/0!</v>
      </c>
      <c r="AA115" s="320">
        <f>SUM(AA94:AA114)</f>
        <v>0</v>
      </c>
      <c r="AB115" s="321" t="e">
        <f>AA115/AA12</f>
        <v>#DIV/0!</v>
      </c>
      <c r="AC115" s="322">
        <f t="shared" si="69"/>
        <v>0</v>
      </c>
      <c r="AD115" s="321" t="e">
        <f>AC115/AC12</f>
        <v>#DIV/0!</v>
      </c>
      <c r="AE115" s="44">
        <f t="shared" si="66"/>
        <v>0</v>
      </c>
      <c r="AF115" s="21">
        <f t="shared" si="67"/>
        <v>0</v>
      </c>
      <c r="AW115" s="99"/>
      <c r="AX115" s="99"/>
    </row>
    <row r="116" spans="1:50" ht="15.75" thickTop="1">
      <c r="A116" s="15">
        <v>6401</v>
      </c>
      <c r="B116" s="15" t="s">
        <v>89</v>
      </c>
      <c r="D116" s="28"/>
      <c r="E116" s="19"/>
      <c r="F116" s="28"/>
      <c r="H116" s="28"/>
      <c r="J116" s="28"/>
      <c r="L116" s="28"/>
      <c r="N116" s="28"/>
      <c r="O116" s="20">
        <v>0</v>
      </c>
      <c r="P116" s="28"/>
      <c r="Q116" s="20">
        <v>0</v>
      </c>
      <c r="R116" s="28"/>
      <c r="T116" s="28"/>
      <c r="V116" s="28"/>
      <c r="X116" s="28"/>
      <c r="Z116" s="28"/>
      <c r="AA116" s="59">
        <f t="shared" ref="AA116:AA128" si="95">C116+E116+G116+I116+K116+M116+O116+Q116+S116+U116+W116+Y116</f>
        <v>0</v>
      </c>
      <c r="AB116" s="60"/>
      <c r="AC116" s="67">
        <f t="shared" si="69"/>
        <v>0</v>
      </c>
      <c r="AD116" s="68"/>
      <c r="AE116" s="44">
        <f t="shared" si="66"/>
        <v>0</v>
      </c>
      <c r="AF116" s="21">
        <f t="shared" si="67"/>
        <v>0</v>
      </c>
      <c r="AW116" s="99"/>
      <c r="AX116" s="99"/>
    </row>
    <row r="117" spans="1:50">
      <c r="A117" s="2">
        <v>6402</v>
      </c>
      <c r="B117" s="2" t="s">
        <v>75</v>
      </c>
      <c r="C117" s="19">
        <v>250</v>
      </c>
      <c r="D117" s="28">
        <f t="shared" ref="D117:D145" si="96">C117/C$145</f>
        <v>-0.61475704133919984</v>
      </c>
      <c r="E117" s="19">
        <v>250</v>
      </c>
      <c r="F117" s="28">
        <f t="shared" ref="F117:F139" si="97">E117/E$145</f>
        <v>-0.61475704133919984</v>
      </c>
      <c r="G117" s="19">
        <v>250</v>
      </c>
      <c r="H117" s="28">
        <f t="shared" ref="H117:H139" si="98">G117/G$145</f>
        <v>-0.61475704133919984</v>
      </c>
      <c r="I117" s="19">
        <v>250</v>
      </c>
      <c r="J117" s="28">
        <f t="shared" ref="J117:J139" si="99">I117/I$145</f>
        <v>-0.61475704133919984</v>
      </c>
      <c r="K117" s="19">
        <v>250</v>
      </c>
      <c r="L117" s="28">
        <f t="shared" ref="L117:L139" si="100">K117/K$145</f>
        <v>-0.61475704133919984</v>
      </c>
      <c r="M117" s="19">
        <v>250</v>
      </c>
      <c r="N117" s="28">
        <f t="shared" ref="N117:N145" si="101">M117/M$145</f>
        <v>8.6855760593706449E-2</v>
      </c>
      <c r="O117" s="19">
        <v>250</v>
      </c>
      <c r="P117" s="28">
        <f t="shared" ref="P117:P139" si="102">O117/O$145</f>
        <v>-0.61475704133919984</v>
      </c>
      <c r="Q117" s="19">
        <v>250</v>
      </c>
      <c r="R117" s="28">
        <f t="shared" ref="R117:R139" si="103">Q117/Q$145</f>
        <v>-0.61475704133919984</v>
      </c>
      <c r="S117" s="19">
        <v>250</v>
      </c>
      <c r="T117" s="28">
        <f t="shared" ref="T117:AD142" si="104">S117/S$145</f>
        <v>-0.61475704133919984</v>
      </c>
      <c r="U117" s="19">
        <v>250</v>
      </c>
      <c r="V117" s="28">
        <f t="shared" ref="V117:V139" si="105">U117/U$145</f>
        <v>-0.61475704133919984</v>
      </c>
      <c r="W117" s="19">
        <v>250</v>
      </c>
      <c r="X117" s="28">
        <f t="shared" ref="X117:X139" si="106">W117/W$145</f>
        <v>-0.61475704133919984</v>
      </c>
      <c r="Y117" s="19">
        <v>250</v>
      </c>
      <c r="Z117" s="28">
        <f t="shared" ref="Z117:Z139" si="107">Y117/Y$145</f>
        <v>-0.61475704133919984</v>
      </c>
      <c r="AA117" s="59">
        <f t="shared" si="95"/>
        <v>3000</v>
      </c>
      <c r="AB117" s="60">
        <f t="shared" si="104"/>
        <v>-1.8809052921877198</v>
      </c>
      <c r="AC117" s="67">
        <f t="shared" si="69"/>
        <v>250</v>
      </c>
      <c r="AD117" s="68">
        <f t="shared" si="104"/>
        <v>-1.8809052921877198</v>
      </c>
      <c r="AE117" s="44">
        <f t="shared" si="66"/>
        <v>3000</v>
      </c>
      <c r="AF117" s="21">
        <f t="shared" si="67"/>
        <v>0</v>
      </c>
      <c r="AG117" s="114">
        <v>1000</v>
      </c>
      <c r="AH117" s="1" t="s">
        <v>139</v>
      </c>
      <c r="AW117" s="99"/>
      <c r="AX117" s="99"/>
    </row>
    <row r="118" spans="1:50">
      <c r="A118" s="2">
        <v>6403</v>
      </c>
      <c r="B118" s="2" t="s">
        <v>260</v>
      </c>
      <c r="C118" s="19">
        <v>0</v>
      </c>
      <c r="D118" s="28">
        <f t="shared" si="96"/>
        <v>0</v>
      </c>
      <c r="E118" s="19">
        <v>0</v>
      </c>
      <c r="F118" s="28">
        <f t="shared" si="97"/>
        <v>0</v>
      </c>
      <c r="G118" s="19">
        <v>0</v>
      </c>
      <c r="H118" s="28">
        <f t="shared" si="98"/>
        <v>0</v>
      </c>
      <c r="I118" s="19">
        <v>0</v>
      </c>
      <c r="J118" s="28">
        <f t="shared" si="99"/>
        <v>0</v>
      </c>
      <c r="K118" s="19">
        <v>0</v>
      </c>
      <c r="L118" s="28">
        <f t="shared" si="100"/>
        <v>0</v>
      </c>
      <c r="M118" s="19">
        <v>0</v>
      </c>
      <c r="N118" s="28">
        <f t="shared" si="101"/>
        <v>0</v>
      </c>
      <c r="O118" s="19">
        <v>0</v>
      </c>
      <c r="P118" s="28">
        <f t="shared" si="102"/>
        <v>0</v>
      </c>
      <c r="Q118" s="19">
        <v>0</v>
      </c>
      <c r="R118" s="28">
        <f t="shared" si="103"/>
        <v>0</v>
      </c>
      <c r="S118" s="19">
        <v>0</v>
      </c>
      <c r="T118" s="28">
        <f t="shared" si="104"/>
        <v>0</v>
      </c>
      <c r="U118" s="19">
        <v>0</v>
      </c>
      <c r="V118" s="28">
        <f t="shared" si="105"/>
        <v>0</v>
      </c>
      <c r="W118" s="19">
        <v>0</v>
      </c>
      <c r="X118" s="28">
        <f t="shared" si="106"/>
        <v>0</v>
      </c>
      <c r="Y118" s="19">
        <v>0</v>
      </c>
      <c r="Z118" s="28">
        <f t="shared" si="107"/>
        <v>0</v>
      </c>
      <c r="AA118" s="59"/>
      <c r="AB118" s="60"/>
      <c r="AC118" s="67"/>
      <c r="AD118" s="68"/>
      <c r="AE118" s="44"/>
      <c r="AF118" s="21"/>
      <c r="AG118" s="114"/>
      <c r="AW118" s="99"/>
      <c r="AX118" s="99"/>
    </row>
    <row r="119" spans="1:50">
      <c r="A119" s="2">
        <v>6404</v>
      </c>
      <c r="B119" s="2" t="s">
        <v>92</v>
      </c>
      <c r="C119" s="19"/>
      <c r="D119" s="28">
        <f t="shared" si="96"/>
        <v>0</v>
      </c>
      <c r="E119" s="19"/>
      <c r="F119" s="28">
        <f t="shared" si="97"/>
        <v>0</v>
      </c>
      <c r="G119" s="19"/>
      <c r="H119" s="28">
        <f t="shared" si="98"/>
        <v>0</v>
      </c>
      <c r="I119" s="19"/>
      <c r="J119" s="28">
        <f t="shared" si="99"/>
        <v>0</v>
      </c>
      <c r="K119" s="19"/>
      <c r="L119" s="28">
        <f t="shared" si="100"/>
        <v>0</v>
      </c>
      <c r="M119" s="19"/>
      <c r="N119" s="28">
        <f t="shared" si="101"/>
        <v>0</v>
      </c>
      <c r="O119" s="19"/>
      <c r="P119" s="28">
        <f t="shared" si="102"/>
        <v>0</v>
      </c>
      <c r="Q119" s="19"/>
      <c r="R119" s="28">
        <f t="shared" si="103"/>
        <v>0</v>
      </c>
      <c r="S119" s="19"/>
      <c r="T119" s="28">
        <f t="shared" si="104"/>
        <v>0</v>
      </c>
      <c r="U119" s="19"/>
      <c r="V119" s="28">
        <f t="shared" si="105"/>
        <v>0</v>
      </c>
      <c r="W119" s="19"/>
      <c r="X119" s="28">
        <f t="shared" si="106"/>
        <v>0</v>
      </c>
      <c r="Y119" s="19"/>
      <c r="Z119" s="28">
        <f t="shared" si="107"/>
        <v>0</v>
      </c>
      <c r="AA119" s="59">
        <f t="shared" si="95"/>
        <v>0</v>
      </c>
      <c r="AB119" s="60">
        <f t="shared" si="104"/>
        <v>0</v>
      </c>
      <c r="AC119" s="67">
        <f t="shared" si="69"/>
        <v>0</v>
      </c>
      <c r="AD119" s="68">
        <f t="shared" si="104"/>
        <v>0</v>
      </c>
      <c r="AE119" s="44">
        <f t="shared" si="66"/>
        <v>0</v>
      </c>
      <c r="AF119" s="21">
        <f t="shared" si="67"/>
        <v>0</v>
      </c>
      <c r="AW119" s="99"/>
      <c r="AX119" s="99"/>
    </row>
    <row r="120" spans="1:50">
      <c r="A120" s="2">
        <v>6406</v>
      </c>
      <c r="B120" s="2" t="s">
        <v>72</v>
      </c>
      <c r="C120" s="16"/>
      <c r="D120" s="28">
        <f t="shared" si="96"/>
        <v>0</v>
      </c>
      <c r="E120" s="16"/>
      <c r="F120" s="28">
        <f t="shared" si="97"/>
        <v>0</v>
      </c>
      <c r="G120" s="16"/>
      <c r="H120" s="28">
        <f t="shared" si="98"/>
        <v>0</v>
      </c>
      <c r="I120" s="16"/>
      <c r="J120" s="28">
        <f t="shared" si="99"/>
        <v>0</v>
      </c>
      <c r="K120" s="16"/>
      <c r="L120" s="28">
        <f t="shared" si="100"/>
        <v>0</v>
      </c>
      <c r="M120" s="16"/>
      <c r="N120" s="28">
        <f t="shared" si="101"/>
        <v>0</v>
      </c>
      <c r="O120" s="16"/>
      <c r="P120" s="28">
        <f t="shared" si="102"/>
        <v>0</v>
      </c>
      <c r="Q120" s="16"/>
      <c r="R120" s="28">
        <f t="shared" si="103"/>
        <v>0</v>
      </c>
      <c r="S120" s="16"/>
      <c r="T120" s="28">
        <f t="shared" si="104"/>
        <v>0</v>
      </c>
      <c r="U120" s="16"/>
      <c r="V120" s="28">
        <f t="shared" si="105"/>
        <v>0</v>
      </c>
      <c r="W120" s="16"/>
      <c r="X120" s="28">
        <f t="shared" si="106"/>
        <v>0</v>
      </c>
      <c r="Y120" s="16"/>
      <c r="Z120" s="28">
        <f t="shared" si="107"/>
        <v>0</v>
      </c>
      <c r="AA120" s="59">
        <f t="shared" si="95"/>
        <v>0</v>
      </c>
      <c r="AB120" s="60">
        <f t="shared" si="104"/>
        <v>0</v>
      </c>
      <c r="AC120" s="67">
        <f t="shared" si="69"/>
        <v>0</v>
      </c>
      <c r="AD120" s="68">
        <f t="shared" si="104"/>
        <v>0</v>
      </c>
      <c r="AE120" s="44">
        <f t="shared" si="66"/>
        <v>0</v>
      </c>
      <c r="AF120" s="21">
        <f t="shared" si="67"/>
        <v>0</v>
      </c>
      <c r="AW120" s="99"/>
      <c r="AX120" s="99"/>
    </row>
    <row r="121" spans="1:50">
      <c r="A121" s="2">
        <v>6407</v>
      </c>
      <c r="B121" s="2" t="s">
        <v>73</v>
      </c>
      <c r="C121" s="16"/>
      <c r="D121" s="28">
        <f t="shared" si="96"/>
        <v>0</v>
      </c>
      <c r="E121" s="16"/>
      <c r="F121" s="28">
        <f t="shared" si="97"/>
        <v>0</v>
      </c>
      <c r="G121" s="16"/>
      <c r="H121" s="28">
        <f t="shared" si="98"/>
        <v>0</v>
      </c>
      <c r="I121" s="16"/>
      <c r="J121" s="28">
        <f t="shared" si="99"/>
        <v>0</v>
      </c>
      <c r="K121" s="16"/>
      <c r="L121" s="28">
        <f t="shared" si="100"/>
        <v>0</v>
      </c>
      <c r="M121" s="16"/>
      <c r="N121" s="28">
        <f t="shared" si="101"/>
        <v>0</v>
      </c>
      <c r="O121" s="16"/>
      <c r="P121" s="28">
        <f t="shared" si="102"/>
        <v>0</v>
      </c>
      <c r="Q121" s="16"/>
      <c r="R121" s="28">
        <f t="shared" si="103"/>
        <v>0</v>
      </c>
      <c r="S121" s="16"/>
      <c r="T121" s="28">
        <f t="shared" si="104"/>
        <v>0</v>
      </c>
      <c r="U121" s="16"/>
      <c r="V121" s="28">
        <f t="shared" si="105"/>
        <v>0</v>
      </c>
      <c r="W121" s="16"/>
      <c r="X121" s="28">
        <f t="shared" si="106"/>
        <v>0</v>
      </c>
      <c r="Y121" s="16"/>
      <c r="Z121" s="28">
        <f t="shared" si="107"/>
        <v>0</v>
      </c>
      <c r="AA121" s="59">
        <f t="shared" si="95"/>
        <v>0</v>
      </c>
      <c r="AB121" s="60">
        <f t="shared" si="104"/>
        <v>0</v>
      </c>
      <c r="AC121" s="67">
        <f t="shared" si="69"/>
        <v>0</v>
      </c>
      <c r="AD121" s="68">
        <f t="shared" si="104"/>
        <v>0</v>
      </c>
      <c r="AE121" s="44">
        <f t="shared" si="66"/>
        <v>0</v>
      </c>
      <c r="AF121" s="21">
        <f t="shared" si="67"/>
        <v>0</v>
      </c>
      <c r="AW121" s="99"/>
      <c r="AX121" s="99"/>
    </row>
    <row r="122" spans="1:50">
      <c r="A122" s="2">
        <v>6408</v>
      </c>
      <c r="B122" s="2" t="s">
        <v>42</v>
      </c>
      <c r="C122" s="16">
        <v>0</v>
      </c>
      <c r="D122" s="28">
        <f t="shared" si="96"/>
        <v>0</v>
      </c>
      <c r="E122" s="16">
        <v>0</v>
      </c>
      <c r="F122" s="28">
        <f t="shared" si="97"/>
        <v>0</v>
      </c>
      <c r="G122" s="16">
        <v>0</v>
      </c>
      <c r="H122" s="28">
        <f t="shared" si="98"/>
        <v>0</v>
      </c>
      <c r="I122" s="16">
        <v>0</v>
      </c>
      <c r="J122" s="28">
        <f t="shared" si="99"/>
        <v>0</v>
      </c>
      <c r="K122" s="16">
        <v>0</v>
      </c>
      <c r="L122" s="28">
        <f t="shared" si="100"/>
        <v>0</v>
      </c>
      <c r="M122" s="16">
        <v>0</v>
      </c>
      <c r="N122" s="28">
        <f t="shared" si="101"/>
        <v>0</v>
      </c>
      <c r="O122" s="16">
        <v>0</v>
      </c>
      <c r="P122" s="28">
        <f t="shared" si="102"/>
        <v>0</v>
      </c>
      <c r="Q122" s="16">
        <v>0</v>
      </c>
      <c r="R122" s="28">
        <f t="shared" si="103"/>
        <v>0</v>
      </c>
      <c r="S122" s="16">
        <v>0</v>
      </c>
      <c r="T122" s="28">
        <f t="shared" si="104"/>
        <v>0</v>
      </c>
      <c r="U122" s="16">
        <v>0</v>
      </c>
      <c r="V122" s="28">
        <f t="shared" si="105"/>
        <v>0</v>
      </c>
      <c r="W122" s="16">
        <v>0</v>
      </c>
      <c r="X122" s="28">
        <f t="shared" si="106"/>
        <v>0</v>
      </c>
      <c r="Y122" s="16">
        <v>0</v>
      </c>
      <c r="Z122" s="28">
        <f t="shared" si="107"/>
        <v>0</v>
      </c>
      <c r="AA122" s="59">
        <f t="shared" si="95"/>
        <v>0</v>
      </c>
      <c r="AB122" s="60">
        <f t="shared" si="104"/>
        <v>0</v>
      </c>
      <c r="AC122" s="67">
        <f t="shared" si="69"/>
        <v>0</v>
      </c>
      <c r="AD122" s="68">
        <f t="shared" si="104"/>
        <v>0</v>
      </c>
      <c r="AE122" s="44">
        <f t="shared" si="66"/>
        <v>0</v>
      </c>
      <c r="AF122" s="21">
        <f t="shared" si="67"/>
        <v>0</v>
      </c>
      <c r="AW122" s="99"/>
      <c r="AX122" s="99"/>
    </row>
    <row r="123" spans="1:50">
      <c r="A123" s="2">
        <v>6410</v>
      </c>
      <c r="B123" s="2" t="s">
        <v>106</v>
      </c>
      <c r="C123" s="16">
        <v>0</v>
      </c>
      <c r="D123" s="28">
        <f t="shared" si="96"/>
        <v>0</v>
      </c>
      <c r="E123" s="16">
        <v>0</v>
      </c>
      <c r="F123" s="28">
        <f t="shared" si="97"/>
        <v>0</v>
      </c>
      <c r="G123" s="16">
        <v>0</v>
      </c>
      <c r="H123" s="28">
        <f t="shared" si="98"/>
        <v>0</v>
      </c>
      <c r="I123" s="16">
        <v>0</v>
      </c>
      <c r="J123" s="28">
        <f t="shared" si="99"/>
        <v>0</v>
      </c>
      <c r="K123" s="16">
        <v>0</v>
      </c>
      <c r="L123" s="28">
        <f t="shared" si="100"/>
        <v>0</v>
      </c>
      <c r="M123" s="16">
        <v>0</v>
      </c>
      <c r="N123" s="28">
        <f t="shared" si="101"/>
        <v>0</v>
      </c>
      <c r="O123" s="16">
        <v>0</v>
      </c>
      <c r="P123" s="28">
        <f t="shared" si="102"/>
        <v>0</v>
      </c>
      <c r="Q123" s="16">
        <v>0</v>
      </c>
      <c r="R123" s="28">
        <f t="shared" si="103"/>
        <v>0</v>
      </c>
      <c r="S123" s="16">
        <v>0</v>
      </c>
      <c r="T123" s="28">
        <f t="shared" si="104"/>
        <v>0</v>
      </c>
      <c r="U123" s="16">
        <v>0</v>
      </c>
      <c r="V123" s="28">
        <f t="shared" si="105"/>
        <v>0</v>
      </c>
      <c r="W123" s="16">
        <v>0</v>
      </c>
      <c r="X123" s="28">
        <f t="shared" si="106"/>
        <v>0</v>
      </c>
      <c r="Y123" s="16">
        <v>0</v>
      </c>
      <c r="Z123" s="28">
        <f t="shared" si="107"/>
        <v>0</v>
      </c>
      <c r="AA123" s="59">
        <f t="shared" si="95"/>
        <v>0</v>
      </c>
      <c r="AB123" s="60">
        <f t="shared" si="104"/>
        <v>0</v>
      </c>
      <c r="AC123" s="67">
        <f t="shared" si="69"/>
        <v>0</v>
      </c>
      <c r="AD123" s="68">
        <f t="shared" si="104"/>
        <v>0</v>
      </c>
      <c r="AE123" s="44">
        <f t="shared" si="66"/>
        <v>0</v>
      </c>
      <c r="AF123" s="21">
        <f t="shared" si="67"/>
        <v>0</v>
      </c>
      <c r="AG123" s="114">
        <v>15533</v>
      </c>
      <c r="AH123" s="1" t="s">
        <v>140</v>
      </c>
      <c r="AW123" s="99"/>
      <c r="AX123" s="99"/>
    </row>
    <row r="124" spans="1:50">
      <c r="A124" s="2">
        <v>6411</v>
      </c>
      <c r="B124" s="2" t="s">
        <v>107</v>
      </c>
      <c r="C124" s="16">
        <v>0</v>
      </c>
      <c r="D124" s="28">
        <f t="shared" si="96"/>
        <v>0</v>
      </c>
      <c r="E124" s="16">
        <v>0</v>
      </c>
      <c r="F124" s="28">
        <f t="shared" si="97"/>
        <v>0</v>
      </c>
      <c r="G124" s="16">
        <v>0</v>
      </c>
      <c r="H124" s="28">
        <f t="shared" si="98"/>
        <v>0</v>
      </c>
      <c r="I124" s="16">
        <v>0</v>
      </c>
      <c r="J124" s="28">
        <f t="shared" si="99"/>
        <v>0</v>
      </c>
      <c r="K124" s="16">
        <v>0</v>
      </c>
      <c r="L124" s="28">
        <f t="shared" si="100"/>
        <v>0</v>
      </c>
      <c r="M124" s="16">
        <v>0</v>
      </c>
      <c r="N124" s="28">
        <f t="shared" si="101"/>
        <v>0</v>
      </c>
      <c r="O124" s="16">
        <v>0</v>
      </c>
      <c r="P124" s="28">
        <f t="shared" si="102"/>
        <v>0</v>
      </c>
      <c r="Q124" s="16">
        <v>0</v>
      </c>
      <c r="R124" s="28">
        <f t="shared" si="103"/>
        <v>0</v>
      </c>
      <c r="S124" s="16">
        <v>0</v>
      </c>
      <c r="T124" s="28">
        <f t="shared" si="104"/>
        <v>0</v>
      </c>
      <c r="U124" s="16">
        <v>0</v>
      </c>
      <c r="V124" s="28">
        <f t="shared" si="105"/>
        <v>0</v>
      </c>
      <c r="W124" s="16">
        <v>0</v>
      </c>
      <c r="X124" s="28">
        <f t="shared" si="106"/>
        <v>0</v>
      </c>
      <c r="Y124" s="16">
        <v>0</v>
      </c>
      <c r="Z124" s="28">
        <f t="shared" si="107"/>
        <v>0</v>
      </c>
      <c r="AA124" s="59">
        <f t="shared" si="95"/>
        <v>0</v>
      </c>
      <c r="AB124" s="60">
        <f t="shared" si="104"/>
        <v>0</v>
      </c>
      <c r="AC124" s="67">
        <f t="shared" si="69"/>
        <v>0</v>
      </c>
      <c r="AD124" s="68">
        <f t="shared" si="104"/>
        <v>0</v>
      </c>
      <c r="AE124" s="44">
        <f t="shared" si="66"/>
        <v>0</v>
      </c>
      <c r="AF124" s="21">
        <f t="shared" si="67"/>
        <v>0</v>
      </c>
      <c r="AG124" s="114">
        <v>13970</v>
      </c>
      <c r="AH124" s="1" t="s">
        <v>223</v>
      </c>
      <c r="AW124" s="99"/>
      <c r="AX124" s="99"/>
    </row>
    <row r="125" spans="1:50">
      <c r="A125" s="82">
        <v>6412</v>
      </c>
      <c r="B125" s="2" t="s">
        <v>93</v>
      </c>
      <c r="C125" s="16">
        <v>0</v>
      </c>
      <c r="D125" s="28">
        <f t="shared" si="96"/>
        <v>0</v>
      </c>
      <c r="E125" s="16">
        <v>0</v>
      </c>
      <c r="F125" s="28">
        <f t="shared" si="97"/>
        <v>0</v>
      </c>
      <c r="G125" s="16">
        <v>0</v>
      </c>
      <c r="H125" s="28">
        <f t="shared" si="98"/>
        <v>0</v>
      </c>
      <c r="I125" s="16">
        <v>0</v>
      </c>
      <c r="J125" s="28">
        <f t="shared" si="99"/>
        <v>0</v>
      </c>
      <c r="K125" s="16">
        <v>0</v>
      </c>
      <c r="L125" s="28">
        <f t="shared" si="100"/>
        <v>0</v>
      </c>
      <c r="M125" s="16">
        <v>0</v>
      </c>
      <c r="N125" s="28">
        <f t="shared" si="101"/>
        <v>0</v>
      </c>
      <c r="O125" s="16">
        <v>0</v>
      </c>
      <c r="P125" s="28">
        <f t="shared" si="102"/>
        <v>0</v>
      </c>
      <c r="Q125" s="16">
        <v>0</v>
      </c>
      <c r="R125" s="28">
        <f t="shared" si="103"/>
        <v>0</v>
      </c>
      <c r="S125" s="16">
        <v>0</v>
      </c>
      <c r="T125" s="28">
        <f t="shared" si="104"/>
        <v>0</v>
      </c>
      <c r="U125" s="16">
        <v>0</v>
      </c>
      <c r="V125" s="28">
        <f t="shared" si="105"/>
        <v>0</v>
      </c>
      <c r="W125" s="16">
        <v>0</v>
      </c>
      <c r="X125" s="28">
        <f t="shared" si="106"/>
        <v>0</v>
      </c>
      <c r="Y125" s="16">
        <v>0</v>
      </c>
      <c r="Z125" s="28">
        <f t="shared" si="107"/>
        <v>0</v>
      </c>
      <c r="AA125" s="59">
        <f t="shared" si="95"/>
        <v>0</v>
      </c>
      <c r="AB125" s="60">
        <f t="shared" si="104"/>
        <v>0</v>
      </c>
      <c r="AC125" s="67">
        <f t="shared" si="69"/>
        <v>0</v>
      </c>
      <c r="AD125" s="68">
        <f t="shared" si="104"/>
        <v>0</v>
      </c>
      <c r="AE125" s="44">
        <f t="shared" si="66"/>
        <v>0</v>
      </c>
      <c r="AF125" s="21">
        <f t="shared" si="67"/>
        <v>0</v>
      </c>
      <c r="AW125" s="99"/>
      <c r="AX125" s="99"/>
    </row>
    <row r="126" spans="1:50">
      <c r="A126" s="2">
        <v>6413</v>
      </c>
      <c r="B126" s="2" t="s">
        <v>41</v>
      </c>
      <c r="C126" s="16">
        <v>0</v>
      </c>
      <c r="D126" s="28">
        <f t="shared" si="96"/>
        <v>0</v>
      </c>
      <c r="E126" s="16">
        <v>0</v>
      </c>
      <c r="F126" s="28">
        <f t="shared" si="97"/>
        <v>0</v>
      </c>
      <c r="G126" s="16">
        <v>0</v>
      </c>
      <c r="H126" s="28">
        <f t="shared" si="98"/>
        <v>0</v>
      </c>
      <c r="I126" s="16">
        <v>0</v>
      </c>
      <c r="J126" s="28">
        <f t="shared" si="99"/>
        <v>0</v>
      </c>
      <c r="K126" s="16">
        <v>0</v>
      </c>
      <c r="L126" s="28">
        <f t="shared" si="100"/>
        <v>0</v>
      </c>
      <c r="M126" s="16">
        <v>0</v>
      </c>
      <c r="N126" s="28">
        <f t="shared" si="101"/>
        <v>0</v>
      </c>
      <c r="O126" s="16">
        <v>0</v>
      </c>
      <c r="P126" s="28">
        <f t="shared" si="102"/>
        <v>0</v>
      </c>
      <c r="Q126" s="16">
        <v>0</v>
      </c>
      <c r="R126" s="28">
        <f t="shared" si="103"/>
        <v>0</v>
      </c>
      <c r="S126" s="16">
        <v>0</v>
      </c>
      <c r="T126" s="28">
        <f t="shared" si="104"/>
        <v>0</v>
      </c>
      <c r="U126" s="16">
        <v>0</v>
      </c>
      <c r="V126" s="28">
        <f t="shared" si="105"/>
        <v>0</v>
      </c>
      <c r="W126" s="16">
        <v>0</v>
      </c>
      <c r="X126" s="28">
        <f t="shared" si="106"/>
        <v>0</v>
      </c>
      <c r="Y126" s="16">
        <v>0</v>
      </c>
      <c r="Z126" s="28">
        <f t="shared" si="107"/>
        <v>0</v>
      </c>
      <c r="AA126" s="59">
        <f t="shared" si="95"/>
        <v>0</v>
      </c>
      <c r="AB126" s="60">
        <f t="shared" si="104"/>
        <v>0</v>
      </c>
      <c r="AC126" s="67">
        <f t="shared" si="69"/>
        <v>0</v>
      </c>
      <c r="AD126" s="68">
        <f t="shared" si="104"/>
        <v>0</v>
      </c>
      <c r="AE126" s="44">
        <f t="shared" si="66"/>
        <v>0</v>
      </c>
      <c r="AF126" s="21">
        <f t="shared" si="67"/>
        <v>0</v>
      </c>
      <c r="AW126" s="99"/>
      <c r="AX126" s="99"/>
    </row>
    <row r="127" spans="1:50">
      <c r="A127" s="2">
        <v>6414</v>
      </c>
      <c r="B127" s="2" t="s">
        <v>43</v>
      </c>
      <c r="C127" s="16">
        <v>500</v>
      </c>
      <c r="D127" s="28">
        <f t="shared" si="96"/>
        <v>-1.2295140826783997</v>
      </c>
      <c r="E127" s="16">
        <v>500</v>
      </c>
      <c r="F127" s="28">
        <f t="shared" si="97"/>
        <v>-1.2295140826783997</v>
      </c>
      <c r="G127" s="16">
        <v>500</v>
      </c>
      <c r="H127" s="28">
        <f t="shared" si="98"/>
        <v>-1.2295140826783997</v>
      </c>
      <c r="I127" s="16">
        <v>500</v>
      </c>
      <c r="J127" s="28">
        <f t="shared" si="99"/>
        <v>-1.2295140826783997</v>
      </c>
      <c r="K127" s="16">
        <v>500</v>
      </c>
      <c r="L127" s="28">
        <f t="shared" si="100"/>
        <v>-1.2295140826783997</v>
      </c>
      <c r="M127" s="16">
        <v>500</v>
      </c>
      <c r="N127" s="28">
        <f t="shared" si="101"/>
        <v>0.1737115211874129</v>
      </c>
      <c r="O127" s="16">
        <v>500</v>
      </c>
      <c r="P127" s="28">
        <f t="shared" si="102"/>
        <v>-1.2295140826783997</v>
      </c>
      <c r="Q127" s="16">
        <v>500</v>
      </c>
      <c r="R127" s="28">
        <f t="shared" si="103"/>
        <v>-1.2295140826783997</v>
      </c>
      <c r="S127" s="16">
        <v>500</v>
      </c>
      <c r="T127" s="28">
        <f t="shared" si="104"/>
        <v>-1.2295140826783997</v>
      </c>
      <c r="U127" s="16">
        <v>500</v>
      </c>
      <c r="V127" s="28">
        <f t="shared" si="105"/>
        <v>-1.2295140826783997</v>
      </c>
      <c r="W127" s="16">
        <v>500</v>
      </c>
      <c r="X127" s="28">
        <f t="shared" si="106"/>
        <v>-1.2295140826783997</v>
      </c>
      <c r="Y127" s="16">
        <v>500</v>
      </c>
      <c r="Z127" s="28">
        <f t="shared" si="107"/>
        <v>-1.2295140826783997</v>
      </c>
      <c r="AA127" s="59">
        <f t="shared" si="95"/>
        <v>6000</v>
      </c>
      <c r="AB127" s="60">
        <f t="shared" si="104"/>
        <v>-3.7618105843754397</v>
      </c>
      <c r="AC127" s="67">
        <f t="shared" si="69"/>
        <v>500</v>
      </c>
      <c r="AD127" s="68">
        <f t="shared" si="104"/>
        <v>-3.7618105843754397</v>
      </c>
      <c r="AE127" s="44">
        <f t="shared" si="66"/>
        <v>6000</v>
      </c>
      <c r="AF127" s="21">
        <f t="shared" si="67"/>
        <v>0</v>
      </c>
      <c r="AG127" s="113">
        <v>422</v>
      </c>
      <c r="AW127" s="99"/>
      <c r="AX127" s="99"/>
    </row>
    <row r="128" spans="1:50">
      <c r="A128" s="2">
        <v>6415</v>
      </c>
      <c r="B128" s="2" t="s">
        <v>44</v>
      </c>
      <c r="C128" s="16"/>
      <c r="D128" s="28">
        <f t="shared" si="96"/>
        <v>0</v>
      </c>
      <c r="E128" s="16"/>
      <c r="F128" s="28">
        <f t="shared" si="97"/>
        <v>0</v>
      </c>
      <c r="G128" s="16"/>
      <c r="H128" s="28">
        <f t="shared" si="98"/>
        <v>0</v>
      </c>
      <c r="I128" s="16"/>
      <c r="J128" s="28">
        <f t="shared" si="99"/>
        <v>0</v>
      </c>
      <c r="K128" s="16"/>
      <c r="L128" s="28">
        <f t="shared" si="100"/>
        <v>0</v>
      </c>
      <c r="M128" s="1"/>
      <c r="N128" s="28">
        <f t="shared" si="101"/>
        <v>0</v>
      </c>
      <c r="O128" s="16"/>
      <c r="P128" s="28">
        <f t="shared" si="102"/>
        <v>0</v>
      </c>
      <c r="Q128" s="16"/>
      <c r="R128" s="28">
        <f t="shared" si="103"/>
        <v>0</v>
      </c>
      <c r="S128" s="16"/>
      <c r="T128" s="28">
        <f t="shared" si="104"/>
        <v>0</v>
      </c>
      <c r="U128" s="16"/>
      <c r="V128" s="28">
        <f t="shared" si="105"/>
        <v>0</v>
      </c>
      <c r="W128" s="16"/>
      <c r="X128" s="28">
        <f t="shared" si="106"/>
        <v>0</v>
      </c>
      <c r="Y128" s="16"/>
      <c r="Z128" s="28">
        <f t="shared" si="107"/>
        <v>0</v>
      </c>
      <c r="AA128" s="59">
        <f t="shared" si="95"/>
        <v>0</v>
      </c>
      <c r="AB128" s="60">
        <f t="shared" si="104"/>
        <v>0</v>
      </c>
      <c r="AC128" s="67">
        <f t="shared" si="69"/>
        <v>0</v>
      </c>
      <c r="AD128" s="68">
        <f t="shared" si="104"/>
        <v>0</v>
      </c>
      <c r="AE128" s="44">
        <f t="shared" si="66"/>
        <v>0</v>
      </c>
      <c r="AF128" s="21">
        <f t="shared" si="67"/>
        <v>0</v>
      </c>
      <c r="AG128" s="113"/>
      <c r="AW128" s="99"/>
      <c r="AX128" s="99"/>
    </row>
    <row r="129" spans="1:50" ht="15.75" thickBot="1">
      <c r="A129" s="39">
        <v>6499</v>
      </c>
      <c r="B129" s="39" t="s">
        <v>104</v>
      </c>
      <c r="C129" s="31">
        <f>SUM(C116:C128)</f>
        <v>750</v>
      </c>
      <c r="D129" s="52">
        <f t="shared" si="96"/>
        <v>-1.8442711240175993</v>
      </c>
      <c r="E129" s="31">
        <f>SUM(E116:E128)</f>
        <v>750</v>
      </c>
      <c r="F129" s="52">
        <f t="shared" si="97"/>
        <v>-1.8442711240175993</v>
      </c>
      <c r="G129" s="31">
        <f>SUM(G116:G128)</f>
        <v>750</v>
      </c>
      <c r="H129" s="52">
        <f t="shared" si="98"/>
        <v>-1.8442711240175993</v>
      </c>
      <c r="I129" s="31">
        <f>SUM(I116:I128)</f>
        <v>750</v>
      </c>
      <c r="J129" s="52">
        <f t="shared" si="99"/>
        <v>-1.8442711240175993</v>
      </c>
      <c r="K129" s="31">
        <f>SUM(K116:K128)</f>
        <v>750</v>
      </c>
      <c r="L129" s="52">
        <f t="shared" si="100"/>
        <v>-1.8442711240175993</v>
      </c>
      <c r="M129" s="31">
        <f>SUM(M116:M128)</f>
        <v>750</v>
      </c>
      <c r="N129" s="52">
        <f t="shared" si="101"/>
        <v>0.26056728178111932</v>
      </c>
      <c r="O129" s="31">
        <f>SUM(O116:O128)</f>
        <v>750</v>
      </c>
      <c r="P129" s="52">
        <f t="shared" si="102"/>
        <v>-1.8442711240175993</v>
      </c>
      <c r="Q129" s="31">
        <f>SUM(Q116:Q128)</f>
        <v>750</v>
      </c>
      <c r="R129" s="52">
        <f t="shared" si="103"/>
        <v>-1.8442711240175993</v>
      </c>
      <c r="S129" s="31">
        <f>SUM(S116:S128)</f>
        <v>750</v>
      </c>
      <c r="T129" s="52">
        <f t="shared" si="104"/>
        <v>-1.8442711240175993</v>
      </c>
      <c r="U129" s="31">
        <f>SUM(U116:U128)</f>
        <v>750</v>
      </c>
      <c r="V129" s="52">
        <f t="shared" si="105"/>
        <v>-1.8442711240175993</v>
      </c>
      <c r="W129" s="31">
        <f>SUM(W116:W128)</f>
        <v>750</v>
      </c>
      <c r="X129" s="52">
        <f t="shared" si="106"/>
        <v>-1.8442711240175993</v>
      </c>
      <c r="Y129" s="31">
        <f>SUM(Y116:Y128)</f>
        <v>750</v>
      </c>
      <c r="Z129" s="52">
        <f t="shared" si="107"/>
        <v>-1.8442711240175993</v>
      </c>
      <c r="AA129" s="61">
        <f>SUM(AA116:AA128)</f>
        <v>9000</v>
      </c>
      <c r="AB129" s="74">
        <f t="shared" si="104"/>
        <v>-5.6427158765631598</v>
      </c>
      <c r="AC129" s="24">
        <f t="shared" si="69"/>
        <v>750</v>
      </c>
      <c r="AD129" s="77">
        <f t="shared" si="104"/>
        <v>-5.6427158765631598</v>
      </c>
      <c r="AE129" s="44">
        <f t="shared" si="66"/>
        <v>9000</v>
      </c>
      <c r="AF129" s="21">
        <f t="shared" si="67"/>
        <v>0</v>
      </c>
      <c r="AW129" s="99"/>
      <c r="AX129" s="99"/>
    </row>
    <row r="130" spans="1:50" ht="15.75" thickTop="1">
      <c r="A130" s="89"/>
      <c r="B130" s="89"/>
      <c r="D130" s="28"/>
      <c r="F130" s="28"/>
      <c r="H130" s="28"/>
      <c r="J130" s="28"/>
      <c r="L130" s="28"/>
      <c r="N130" s="28"/>
      <c r="P130" s="28"/>
      <c r="R130" s="28"/>
      <c r="T130" s="28"/>
      <c r="V130" s="28"/>
      <c r="X130" s="28"/>
      <c r="Z130" s="28"/>
      <c r="AA130" s="64"/>
      <c r="AB130" s="60"/>
      <c r="AC130" s="96">
        <f t="shared" si="69"/>
        <v>0</v>
      </c>
      <c r="AD130" s="68"/>
      <c r="AE130" s="44">
        <f t="shared" si="66"/>
        <v>0</v>
      </c>
      <c r="AF130" s="21">
        <f t="shared" si="67"/>
        <v>0</v>
      </c>
      <c r="AW130" s="99"/>
      <c r="AX130" s="99"/>
    </row>
    <row r="131" spans="1:50" ht="15.75" thickBot="1">
      <c r="A131" s="39"/>
      <c r="B131" s="39" t="s">
        <v>116</v>
      </c>
      <c r="C131" s="105">
        <f>C37-(C41+C76+C93+C115+C129)</f>
        <v>-414860.33528013702</v>
      </c>
      <c r="D131" s="52">
        <f>C131/C145</f>
        <v>1020.153249143222</v>
      </c>
      <c r="E131" s="105">
        <f>E37-(E41+E76+E93+E115+E129)</f>
        <v>-414860.33528013702</v>
      </c>
      <c r="F131" s="52">
        <f>E131/E145</f>
        <v>1020.153249143222</v>
      </c>
      <c r="G131" s="105">
        <f>G37-(G41+G76+G93+G115+G129)</f>
        <v>-414860.33528013702</v>
      </c>
      <c r="H131" s="52">
        <f>G131/G145</f>
        <v>1020.153249143222</v>
      </c>
      <c r="I131" s="105">
        <f>I37-(I41+I76+I93+I115+I129)</f>
        <v>-414860.33528013702</v>
      </c>
      <c r="J131" s="52">
        <f>I131/I145</f>
        <v>1020.153249143222</v>
      </c>
      <c r="K131" s="105">
        <f>K37-(K41+K76+K93+K115+K129)</f>
        <v>-414860.33528013702</v>
      </c>
      <c r="L131" s="52">
        <f>K131/K145</f>
        <v>1020.153249143222</v>
      </c>
      <c r="M131" s="105">
        <f>M37-(M41+M76+M93+M115+M129)</f>
        <v>-418145.33528013702</v>
      </c>
      <c r="N131" s="52">
        <f>M131/M145</f>
        <v>-145.27332453786678</v>
      </c>
      <c r="O131" s="105">
        <f>O37-(O41+O76+O93+O115+O129)</f>
        <v>-414860.33528013702</v>
      </c>
      <c r="P131" s="52">
        <f>O131/O145</f>
        <v>1020.153249143222</v>
      </c>
      <c r="Q131" s="105">
        <f>Q37-(Q41+Q76+Q93+Q115+Q129)</f>
        <v>-414860.33528013702</v>
      </c>
      <c r="R131" s="52">
        <f>Q131/Q145</f>
        <v>1020.153249143222</v>
      </c>
      <c r="S131" s="105">
        <f>S37-(S41+S76+S93+S115+S129)</f>
        <v>-414860.33528013702</v>
      </c>
      <c r="T131" s="52">
        <f>S131/S145</f>
        <v>1020.153249143222</v>
      </c>
      <c r="U131" s="105">
        <f>U37-(U41+U76+U93+U115+U129)</f>
        <v>-414860.33528013702</v>
      </c>
      <c r="V131" s="52">
        <f>U131/U145</f>
        <v>1020.153249143222</v>
      </c>
      <c r="W131" s="105">
        <f>W37-(W41+W76+W93+W115+W129)</f>
        <v>-414860.33528013702</v>
      </c>
      <c r="X131" s="52">
        <f>W131/W145</f>
        <v>1020.153249143222</v>
      </c>
      <c r="Y131" s="105">
        <f>Y37-(Y41+Y76+Y93+Y115+Y129)</f>
        <v>-414860.33528013702</v>
      </c>
      <c r="Z131" s="52">
        <f>Y131/Y145</f>
        <v>1020.153249143222</v>
      </c>
      <c r="AA131" s="98">
        <f>AA37-(AA41+AA76+AA93+AA115+AA129)</f>
        <v>-4981609.0233616438</v>
      </c>
      <c r="AB131" s="52">
        <f>AA131/AA145</f>
        <v>3123.3115918836711</v>
      </c>
      <c r="AC131" s="98">
        <f t="shared" si="69"/>
        <v>-415134.08528013696</v>
      </c>
      <c r="AD131" s="52">
        <f>AC131/AC145</f>
        <v>3123.3115918836716</v>
      </c>
      <c r="AE131" s="44">
        <f t="shared" si="66"/>
        <v>-4981609.0233616447</v>
      </c>
      <c r="AF131" s="21">
        <f t="shared" si="67"/>
        <v>0</v>
      </c>
      <c r="AW131" s="99"/>
      <c r="AX131" s="99"/>
    </row>
    <row r="132" spans="1:50" ht="15.75" thickTop="1">
      <c r="A132" s="89"/>
      <c r="B132" s="89"/>
      <c r="D132" s="28"/>
      <c r="F132" s="28"/>
      <c r="H132" s="28"/>
      <c r="J132" s="28"/>
      <c r="L132" s="28"/>
      <c r="N132" s="28"/>
      <c r="P132" s="28"/>
      <c r="R132" s="28"/>
      <c r="T132" s="28"/>
      <c r="V132" s="28"/>
      <c r="X132" s="28"/>
      <c r="Z132" s="28"/>
      <c r="AA132" s="64"/>
      <c r="AB132" s="60"/>
      <c r="AC132" s="96">
        <f t="shared" si="69"/>
        <v>0</v>
      </c>
      <c r="AD132" s="68"/>
      <c r="AE132" s="44">
        <f t="shared" si="66"/>
        <v>0</v>
      </c>
      <c r="AF132" s="21">
        <f t="shared" si="67"/>
        <v>0</v>
      </c>
      <c r="AW132" s="99"/>
      <c r="AX132" s="99"/>
    </row>
    <row r="133" spans="1:50" ht="15.75" thickBot="1">
      <c r="A133" s="121"/>
      <c r="B133" s="4" t="s">
        <v>125</v>
      </c>
      <c r="C133" s="127"/>
      <c r="D133" s="128">
        <f t="shared" ref="D133" si="108">C133/C$145</f>
        <v>0</v>
      </c>
      <c r="E133" s="127"/>
      <c r="F133" s="128">
        <f t="shared" ref="F133" si="109">E133/E$145</f>
        <v>0</v>
      </c>
      <c r="G133" s="127"/>
      <c r="H133" s="108">
        <f t="shared" ref="H133" si="110">G133/G$145</f>
        <v>0</v>
      </c>
      <c r="I133" s="127"/>
      <c r="J133" s="108">
        <f t="shared" ref="J133" si="111">I133/I$145</f>
        <v>0</v>
      </c>
      <c r="K133" s="127"/>
      <c r="L133" s="108">
        <f t="shared" ref="L133" si="112">K133/K$145</f>
        <v>0</v>
      </c>
      <c r="M133" s="127"/>
      <c r="N133" s="108">
        <f t="shared" ref="N133" si="113">M133/M$145</f>
        <v>0</v>
      </c>
      <c r="O133" s="127"/>
      <c r="P133" s="108">
        <f t="shared" ref="P133" si="114">O133/O$145</f>
        <v>0</v>
      </c>
      <c r="Q133" s="127"/>
      <c r="R133" s="108">
        <f t="shared" ref="R133" si="115">Q133/Q$145</f>
        <v>0</v>
      </c>
      <c r="S133" s="127"/>
      <c r="T133" s="108">
        <f t="shared" ref="T133" si="116">S133/S$145</f>
        <v>0</v>
      </c>
      <c r="U133" s="127"/>
      <c r="V133" s="108">
        <f t="shared" ref="V133" si="117">U133/U$145</f>
        <v>0</v>
      </c>
      <c r="W133" s="127"/>
      <c r="X133" s="108">
        <f t="shared" ref="X133" si="118">W133/W$145</f>
        <v>0</v>
      </c>
      <c r="Y133" s="127"/>
      <c r="Z133" s="108">
        <f t="shared" ref="Z133" si="119">Y133/Y$145</f>
        <v>0</v>
      </c>
      <c r="AA133" s="109">
        <f t="shared" ref="AA133" si="120">C133+E133+G133+I133+K133+M133+O133+Q133+S133+U133+W133+Y133</f>
        <v>0</v>
      </c>
      <c r="AB133" s="108">
        <f t="shared" ref="AB133" si="121">AA133/AA$145</f>
        <v>0</v>
      </c>
      <c r="AC133" s="109">
        <f t="shared" si="69"/>
        <v>0</v>
      </c>
      <c r="AD133" s="108">
        <f t="shared" ref="AD133" si="122">AC133/AC$145</f>
        <v>0</v>
      </c>
      <c r="AE133" s="44">
        <f t="shared" si="66"/>
        <v>0</v>
      </c>
      <c r="AF133" s="21">
        <f t="shared" si="67"/>
        <v>0</v>
      </c>
      <c r="AG133" s="21">
        <v>238000</v>
      </c>
      <c r="AH133" s="1" t="s">
        <v>142</v>
      </c>
      <c r="AW133" s="99"/>
      <c r="AX133" s="99"/>
    </row>
    <row r="134" spans="1:50" ht="15.75" thickTop="1">
      <c r="A134" s="89"/>
      <c r="B134" s="89"/>
      <c r="D134" s="28"/>
      <c r="F134" s="28"/>
      <c r="H134" s="28"/>
      <c r="J134" s="28"/>
      <c r="L134" s="28"/>
      <c r="N134" s="28"/>
      <c r="P134" s="28"/>
      <c r="R134" s="28"/>
      <c r="T134" s="28"/>
      <c r="V134" s="28"/>
      <c r="X134" s="28"/>
      <c r="Z134" s="28"/>
      <c r="AA134" s="64"/>
      <c r="AB134" s="60"/>
      <c r="AC134" s="96">
        <f t="shared" si="69"/>
        <v>0</v>
      </c>
      <c r="AD134" s="68"/>
      <c r="AE134" s="44">
        <f t="shared" si="66"/>
        <v>0</v>
      </c>
      <c r="AF134" s="21">
        <f t="shared" si="67"/>
        <v>0</v>
      </c>
      <c r="AW134" s="99"/>
      <c r="AX134" s="99"/>
    </row>
    <row r="135" spans="1:50" ht="15.75" thickBot="1">
      <c r="A135" s="39"/>
      <c r="B135" s="4" t="s">
        <v>122</v>
      </c>
      <c r="C135" s="23">
        <f>C131-C133</f>
        <v>-414860.33528013702</v>
      </c>
      <c r="D135" s="52">
        <f>C135/C145</f>
        <v>1020.153249143222</v>
      </c>
      <c r="E135" s="23">
        <f>E131-E133</f>
        <v>-414860.33528013702</v>
      </c>
      <c r="F135" s="52">
        <f>E135/E145</f>
        <v>1020.153249143222</v>
      </c>
      <c r="G135" s="23">
        <f>G131-G133</f>
        <v>-414860.33528013702</v>
      </c>
      <c r="H135" s="52">
        <f>G135/G145</f>
        <v>1020.153249143222</v>
      </c>
      <c r="I135" s="23">
        <f>I131-I133</f>
        <v>-414860.33528013702</v>
      </c>
      <c r="J135" s="52">
        <f>I135/I145</f>
        <v>1020.153249143222</v>
      </c>
      <c r="K135" s="23">
        <f>K131-K133</f>
        <v>-414860.33528013702</v>
      </c>
      <c r="L135" s="52">
        <f>K135/K145</f>
        <v>1020.153249143222</v>
      </c>
      <c r="M135" s="23">
        <f>M131-M133</f>
        <v>-418145.33528013702</v>
      </c>
      <c r="N135" s="52">
        <f>M135/M145</f>
        <v>-145.27332453786678</v>
      </c>
      <c r="O135" s="23">
        <f>O131-O133</f>
        <v>-414860.33528013702</v>
      </c>
      <c r="P135" s="52">
        <f>O135/O145</f>
        <v>1020.153249143222</v>
      </c>
      <c r="Q135" s="23">
        <f>Q131-Q133</f>
        <v>-414860.33528013702</v>
      </c>
      <c r="R135" s="52">
        <f>Q135/Q145</f>
        <v>1020.153249143222</v>
      </c>
      <c r="S135" s="23">
        <f>S131-S133</f>
        <v>-414860.33528013702</v>
      </c>
      <c r="T135" s="52">
        <f>S135/S145</f>
        <v>1020.153249143222</v>
      </c>
      <c r="U135" s="23">
        <f>U131-U133</f>
        <v>-414860.33528013702</v>
      </c>
      <c r="V135" s="52">
        <f>U135/U145</f>
        <v>1020.153249143222</v>
      </c>
      <c r="W135" s="23">
        <f>W131-W133</f>
        <v>-414860.33528013702</v>
      </c>
      <c r="X135" s="52">
        <f>W135/W145</f>
        <v>1020.153249143222</v>
      </c>
      <c r="Y135" s="23">
        <f>Y131-Y133</f>
        <v>-414860.33528013702</v>
      </c>
      <c r="Z135" s="52">
        <f>Y135/Y145</f>
        <v>1020.153249143222</v>
      </c>
      <c r="AA135" s="23">
        <f>AA131-AA133</f>
        <v>-4981609.0233616438</v>
      </c>
      <c r="AB135" s="52">
        <f>AA135/AA145</f>
        <v>3123.3115918836711</v>
      </c>
      <c r="AC135" s="23">
        <f t="shared" si="69"/>
        <v>-415134.08528013696</v>
      </c>
      <c r="AD135" s="52">
        <f>AC135/AC145</f>
        <v>3123.3115918836716</v>
      </c>
      <c r="AE135" s="44">
        <f t="shared" si="66"/>
        <v>-4981609.0233616447</v>
      </c>
      <c r="AF135" s="21">
        <f t="shared" si="67"/>
        <v>0</v>
      </c>
      <c r="AW135" s="99"/>
      <c r="AX135" s="99"/>
    </row>
    <row r="136" spans="1:50" ht="15.75" thickTop="1">
      <c r="A136" s="15">
        <v>6501</v>
      </c>
      <c r="B136" s="92" t="s">
        <v>124</v>
      </c>
      <c r="D136" s="28">
        <f t="shared" si="96"/>
        <v>0</v>
      </c>
      <c r="F136" s="28">
        <f t="shared" si="97"/>
        <v>0</v>
      </c>
      <c r="H136" s="28">
        <f t="shared" si="98"/>
        <v>0</v>
      </c>
      <c r="J136" s="28">
        <f t="shared" si="99"/>
        <v>0</v>
      </c>
      <c r="L136" s="28">
        <f t="shared" si="100"/>
        <v>0</v>
      </c>
      <c r="N136" s="28">
        <f t="shared" si="101"/>
        <v>0</v>
      </c>
      <c r="P136" s="28">
        <f t="shared" si="102"/>
        <v>0</v>
      </c>
      <c r="R136" s="28">
        <f t="shared" si="103"/>
        <v>0</v>
      </c>
      <c r="T136" s="28">
        <f t="shared" si="104"/>
        <v>0</v>
      </c>
      <c r="V136" s="28">
        <f t="shared" si="105"/>
        <v>0</v>
      </c>
      <c r="X136" s="28">
        <f t="shared" si="106"/>
        <v>0</v>
      </c>
      <c r="Z136" s="28">
        <f t="shared" si="107"/>
        <v>0</v>
      </c>
      <c r="AA136" s="59">
        <f t="shared" ref="AA136:AA143" si="123">C136+E136+G136+I136+K136+M136+O136+Q136+S136+U136+W136+Y136</f>
        <v>0</v>
      </c>
      <c r="AB136" s="60">
        <f t="shared" si="104"/>
        <v>0</v>
      </c>
      <c r="AC136" s="67">
        <f t="shared" si="69"/>
        <v>0</v>
      </c>
      <c r="AD136" s="68">
        <f t="shared" si="104"/>
        <v>0</v>
      </c>
      <c r="AE136" s="44">
        <f t="shared" si="66"/>
        <v>0</v>
      </c>
      <c r="AF136" s="21">
        <f t="shared" si="67"/>
        <v>0</v>
      </c>
      <c r="AW136" s="99"/>
      <c r="AX136" s="99"/>
    </row>
    <row r="137" spans="1:50">
      <c r="A137" s="2">
        <v>6502</v>
      </c>
      <c r="B137" s="92" t="s">
        <v>118</v>
      </c>
      <c r="C137" s="21">
        <v>0</v>
      </c>
      <c r="D137" s="28">
        <f t="shared" si="96"/>
        <v>0</v>
      </c>
      <c r="E137" s="21">
        <v>0</v>
      </c>
      <c r="F137" s="28">
        <f t="shared" si="97"/>
        <v>0</v>
      </c>
      <c r="G137" s="21">
        <v>0</v>
      </c>
      <c r="H137" s="28">
        <f t="shared" si="98"/>
        <v>0</v>
      </c>
      <c r="I137" s="21">
        <v>0</v>
      </c>
      <c r="J137" s="28">
        <f t="shared" si="99"/>
        <v>0</v>
      </c>
      <c r="K137" s="21">
        <v>0</v>
      </c>
      <c r="L137" s="28">
        <f t="shared" si="100"/>
        <v>0</v>
      </c>
      <c r="M137" s="21">
        <v>0</v>
      </c>
      <c r="N137" s="28">
        <f t="shared" si="101"/>
        <v>0</v>
      </c>
      <c r="O137" s="21">
        <v>0</v>
      </c>
      <c r="P137" s="28">
        <f t="shared" si="102"/>
        <v>0</v>
      </c>
      <c r="Q137" s="21">
        <v>0</v>
      </c>
      <c r="R137" s="28">
        <f t="shared" si="103"/>
        <v>0</v>
      </c>
      <c r="S137" s="21">
        <v>0</v>
      </c>
      <c r="T137" s="28">
        <f t="shared" si="104"/>
        <v>0</v>
      </c>
      <c r="U137" s="21">
        <v>0</v>
      </c>
      <c r="V137" s="28">
        <f t="shared" si="105"/>
        <v>0</v>
      </c>
      <c r="W137" s="21">
        <v>0</v>
      </c>
      <c r="X137" s="28">
        <f t="shared" si="106"/>
        <v>0</v>
      </c>
      <c r="Y137" s="21">
        <v>0</v>
      </c>
      <c r="Z137" s="28">
        <f t="shared" si="107"/>
        <v>0</v>
      </c>
      <c r="AA137" s="59">
        <f t="shared" si="123"/>
        <v>0</v>
      </c>
      <c r="AB137" s="60">
        <f t="shared" si="104"/>
        <v>0</v>
      </c>
      <c r="AC137" s="67">
        <f t="shared" si="69"/>
        <v>0</v>
      </c>
      <c r="AD137" s="68">
        <f t="shared" si="104"/>
        <v>0</v>
      </c>
      <c r="AE137" s="44">
        <f t="shared" si="66"/>
        <v>0</v>
      </c>
      <c r="AF137" s="21">
        <f t="shared" si="67"/>
        <v>0</v>
      </c>
      <c r="AG137" s="113">
        <v>62.5</v>
      </c>
      <c r="AH137" s="1" t="s">
        <v>143</v>
      </c>
      <c r="AW137" s="99"/>
      <c r="AX137" s="99"/>
    </row>
    <row r="138" spans="1:50">
      <c r="A138" s="82">
        <v>6503</v>
      </c>
      <c r="B138" s="92" t="s">
        <v>121</v>
      </c>
      <c r="C138" s="21">
        <v>1400</v>
      </c>
      <c r="D138" s="28">
        <f t="shared" si="96"/>
        <v>-3.442639431499519</v>
      </c>
      <c r="E138" s="21">
        <v>1400</v>
      </c>
      <c r="F138" s="28">
        <f t="shared" si="97"/>
        <v>-3.442639431499519</v>
      </c>
      <c r="G138" s="21">
        <v>1400</v>
      </c>
      <c r="H138" s="28">
        <f t="shared" si="98"/>
        <v>-3.442639431499519</v>
      </c>
      <c r="I138" s="21">
        <v>1400</v>
      </c>
      <c r="J138" s="28">
        <f t="shared" si="99"/>
        <v>-3.442639431499519</v>
      </c>
      <c r="K138" s="21">
        <v>1400</v>
      </c>
      <c r="L138" s="28">
        <f t="shared" si="100"/>
        <v>-3.442639431499519</v>
      </c>
      <c r="M138" s="21">
        <v>1400</v>
      </c>
      <c r="N138" s="28">
        <f t="shared" si="101"/>
        <v>0.4863922593247561</v>
      </c>
      <c r="O138" s="21">
        <v>1400</v>
      </c>
      <c r="P138" s="28">
        <f t="shared" si="102"/>
        <v>-3.442639431499519</v>
      </c>
      <c r="Q138" s="21">
        <v>1400</v>
      </c>
      <c r="R138" s="28">
        <f t="shared" si="103"/>
        <v>-3.442639431499519</v>
      </c>
      <c r="S138" s="21">
        <v>1400</v>
      </c>
      <c r="T138" s="28">
        <f t="shared" si="104"/>
        <v>-3.442639431499519</v>
      </c>
      <c r="U138" s="21">
        <v>1400</v>
      </c>
      <c r="V138" s="28">
        <f t="shared" si="105"/>
        <v>-3.442639431499519</v>
      </c>
      <c r="W138" s="21">
        <v>1400</v>
      </c>
      <c r="X138" s="28">
        <f t="shared" si="106"/>
        <v>-3.442639431499519</v>
      </c>
      <c r="Y138" s="21">
        <v>1400</v>
      </c>
      <c r="Z138" s="28">
        <f t="shared" si="107"/>
        <v>-3.442639431499519</v>
      </c>
      <c r="AA138" s="59">
        <f t="shared" si="123"/>
        <v>16800</v>
      </c>
      <c r="AB138" s="60">
        <f t="shared" si="104"/>
        <v>-10.533069636251231</v>
      </c>
      <c r="AC138" s="67">
        <f t="shared" si="69"/>
        <v>1400</v>
      </c>
      <c r="AD138" s="68">
        <f t="shared" si="104"/>
        <v>-10.533069636251232</v>
      </c>
      <c r="AE138" s="44">
        <f t="shared" si="66"/>
        <v>16800</v>
      </c>
      <c r="AF138" s="21">
        <f t="shared" si="67"/>
        <v>0</v>
      </c>
      <c r="AG138" s="113">
        <v>12934</v>
      </c>
      <c r="AH138" s="1" t="s">
        <v>233</v>
      </c>
      <c r="AI138" s="1" t="s">
        <v>261</v>
      </c>
      <c r="AW138" s="99"/>
      <c r="AX138" s="99"/>
    </row>
    <row r="139" spans="1:50">
      <c r="A139" s="2">
        <v>6504</v>
      </c>
      <c r="B139" s="92" t="s">
        <v>119</v>
      </c>
      <c r="C139" s="21"/>
      <c r="D139" s="28">
        <f t="shared" si="96"/>
        <v>0</v>
      </c>
      <c r="E139" s="21"/>
      <c r="F139" s="28">
        <f t="shared" si="97"/>
        <v>0</v>
      </c>
      <c r="G139" s="21"/>
      <c r="H139" s="28">
        <f t="shared" si="98"/>
        <v>0</v>
      </c>
      <c r="I139" s="21"/>
      <c r="J139" s="28">
        <f t="shared" si="99"/>
        <v>0</v>
      </c>
      <c r="K139" s="21"/>
      <c r="L139" s="28">
        <f t="shared" si="100"/>
        <v>0</v>
      </c>
      <c r="M139" s="21"/>
      <c r="N139" s="28">
        <f t="shared" si="101"/>
        <v>0</v>
      </c>
      <c r="O139" s="21"/>
      <c r="P139" s="28">
        <f t="shared" si="102"/>
        <v>0</v>
      </c>
      <c r="Q139" s="16"/>
      <c r="R139" s="28">
        <f t="shared" si="103"/>
        <v>0</v>
      </c>
      <c r="S139" s="21"/>
      <c r="T139" s="28">
        <f t="shared" si="104"/>
        <v>0</v>
      </c>
      <c r="U139" s="21"/>
      <c r="V139" s="28">
        <f t="shared" si="105"/>
        <v>0</v>
      </c>
      <c r="W139" s="21"/>
      <c r="X139" s="28">
        <f t="shared" si="106"/>
        <v>0</v>
      </c>
      <c r="Y139" s="21"/>
      <c r="Z139" s="28">
        <f t="shared" si="107"/>
        <v>0</v>
      </c>
      <c r="AA139" s="59">
        <f t="shared" si="123"/>
        <v>0</v>
      </c>
      <c r="AB139" s="60">
        <f t="shared" si="104"/>
        <v>0</v>
      </c>
      <c r="AC139" s="67">
        <f t="shared" si="69"/>
        <v>0</v>
      </c>
      <c r="AD139" s="68">
        <f t="shared" si="104"/>
        <v>0</v>
      </c>
      <c r="AE139" s="44">
        <f t="shared" si="66"/>
        <v>0</v>
      </c>
      <c r="AF139" s="21">
        <f t="shared" si="67"/>
        <v>0</v>
      </c>
      <c r="AH139" s="110"/>
      <c r="AW139" s="99"/>
      <c r="AX139" s="99"/>
    </row>
    <row r="140" spans="1:50">
      <c r="A140" s="2">
        <v>6505</v>
      </c>
      <c r="B140" s="2" t="s">
        <v>120</v>
      </c>
      <c r="C140" s="21"/>
      <c r="D140" s="28"/>
      <c r="E140" s="21"/>
      <c r="F140" s="28"/>
      <c r="G140" s="21"/>
      <c r="H140" s="28"/>
      <c r="I140" s="21"/>
      <c r="J140" s="28"/>
      <c r="K140" s="21"/>
      <c r="L140" s="28"/>
      <c r="M140" s="21"/>
      <c r="N140" s="28"/>
      <c r="O140" s="21"/>
      <c r="P140" s="28"/>
      <c r="Q140" s="16"/>
      <c r="R140" s="28"/>
      <c r="S140" s="21"/>
      <c r="T140" s="28"/>
      <c r="U140" s="21"/>
      <c r="V140" s="28"/>
      <c r="W140" s="21"/>
      <c r="X140" s="28"/>
      <c r="Y140" s="21"/>
      <c r="Z140" s="28"/>
      <c r="AA140" s="59">
        <f t="shared" si="123"/>
        <v>0</v>
      </c>
      <c r="AB140" s="60">
        <f t="shared" si="104"/>
        <v>0</v>
      </c>
      <c r="AC140" s="67">
        <f t="shared" si="69"/>
        <v>0</v>
      </c>
      <c r="AD140" s="68"/>
      <c r="AE140" s="44">
        <f t="shared" si="66"/>
        <v>0</v>
      </c>
      <c r="AF140" s="21">
        <f t="shared" si="67"/>
        <v>0</v>
      </c>
      <c r="AH140" s="110"/>
      <c r="AW140" s="99"/>
      <c r="AX140" s="99"/>
    </row>
    <row r="141" spans="1:50">
      <c r="A141" s="2">
        <v>6506</v>
      </c>
      <c r="B141" s="2" t="s">
        <v>160</v>
      </c>
      <c r="C141" s="21">
        <v>0</v>
      </c>
      <c r="D141" s="28"/>
      <c r="E141" s="21"/>
      <c r="F141" s="28"/>
      <c r="G141" s="21"/>
      <c r="H141" s="28"/>
      <c r="I141" s="21"/>
      <c r="J141" s="28"/>
      <c r="K141" s="21"/>
      <c r="L141" s="28"/>
      <c r="M141" s="21"/>
      <c r="N141" s="28"/>
      <c r="O141" s="21"/>
      <c r="P141" s="28"/>
      <c r="Q141" s="16"/>
      <c r="R141" s="28"/>
      <c r="S141" s="21"/>
      <c r="T141" s="28"/>
      <c r="U141" s="21"/>
      <c r="V141" s="28"/>
      <c r="W141" s="21"/>
      <c r="X141" s="28"/>
      <c r="Y141" s="21"/>
      <c r="Z141" s="28"/>
      <c r="AA141" s="59"/>
      <c r="AB141" s="60">
        <f t="shared" si="104"/>
        <v>0</v>
      </c>
      <c r="AC141" s="67">
        <f t="shared" si="69"/>
        <v>0</v>
      </c>
      <c r="AD141" s="68"/>
      <c r="AE141" s="44">
        <f t="shared" si="66"/>
        <v>0</v>
      </c>
      <c r="AF141" s="21">
        <f t="shared" si="67"/>
        <v>0</v>
      </c>
      <c r="AW141" s="99"/>
      <c r="AX141" s="99"/>
    </row>
    <row r="142" spans="1:50">
      <c r="A142" s="2">
        <v>6607</v>
      </c>
      <c r="B142" s="2" t="s">
        <v>180</v>
      </c>
      <c r="C142" s="16">
        <v>-416667</v>
      </c>
      <c r="D142" s="28">
        <f t="shared" si="96"/>
        <v>1024.5958885747214</v>
      </c>
      <c r="E142" s="16">
        <v>-416667</v>
      </c>
      <c r="F142" s="28">
        <f t="shared" ref="F142:F145" si="124">E142/E$145</f>
        <v>1024.5958885747214</v>
      </c>
      <c r="G142" s="16">
        <v>-416667</v>
      </c>
      <c r="H142" s="28">
        <f t="shared" ref="H142:H145" si="125">G142/G$145</f>
        <v>1024.5958885747214</v>
      </c>
      <c r="I142" s="16">
        <v>-416667</v>
      </c>
      <c r="J142" s="28">
        <f t="shared" ref="J142:J145" si="126">I142/I$145</f>
        <v>1024.5958885747214</v>
      </c>
      <c r="K142" s="16">
        <v>-416667</v>
      </c>
      <c r="L142" s="28">
        <f t="shared" ref="L142:L145" si="127">K142/K$145</f>
        <v>1024.5958885747214</v>
      </c>
      <c r="M142" s="16">
        <v>-416667</v>
      </c>
      <c r="N142" s="28">
        <f t="shared" ref="N142:P145" si="128">M142/M$145</f>
        <v>-144.75971679719154</v>
      </c>
      <c r="O142" s="16">
        <v>-416667</v>
      </c>
      <c r="P142" s="28">
        <f t="shared" si="128"/>
        <v>1024.5958885747214</v>
      </c>
      <c r="Q142" s="16">
        <v>-416667</v>
      </c>
      <c r="R142" s="28">
        <f t="shared" ref="R142:R145" si="129">Q142/Q$145</f>
        <v>1024.5958885747214</v>
      </c>
      <c r="S142" s="16">
        <v>-416667</v>
      </c>
      <c r="T142" s="28">
        <f t="shared" ref="T142:AD145" si="130">S142/S$145</f>
        <v>1024.5958885747214</v>
      </c>
      <c r="U142" s="16">
        <v>-416667</v>
      </c>
      <c r="V142" s="28">
        <f t="shared" ref="V142:V145" si="131">U142/U$145</f>
        <v>1024.5958885747214</v>
      </c>
      <c r="W142" s="16">
        <v>-416667</v>
      </c>
      <c r="X142" s="28">
        <f t="shared" ref="X142:X145" si="132">W142/W$145</f>
        <v>1024.5958885747214</v>
      </c>
      <c r="Y142" s="16">
        <v>-416667</v>
      </c>
      <c r="Z142" s="28">
        <f t="shared" ref="Z142:Z145" si="133">Y142/Y$145</f>
        <v>1024.5958885747214</v>
      </c>
      <c r="AA142" s="59">
        <f t="shared" si="123"/>
        <v>-5000004</v>
      </c>
      <c r="AB142" s="60">
        <f t="shared" si="104"/>
        <v>3134.8446615199227</v>
      </c>
      <c r="AC142" s="67">
        <f t="shared" si="69"/>
        <v>-416667</v>
      </c>
      <c r="AD142" s="68">
        <f t="shared" si="104"/>
        <v>3134.8446615199227</v>
      </c>
      <c r="AE142" s="44">
        <f t="shared" si="66"/>
        <v>-5000004</v>
      </c>
      <c r="AF142" s="21">
        <f t="shared" si="67"/>
        <v>0</v>
      </c>
      <c r="AW142" s="99"/>
      <c r="AX142" s="99"/>
    </row>
    <row r="143" spans="1:50">
      <c r="A143" s="2"/>
      <c r="B143" s="2"/>
      <c r="C143" s="16"/>
      <c r="D143" s="28">
        <f t="shared" si="96"/>
        <v>0</v>
      </c>
      <c r="E143" s="16"/>
      <c r="F143" s="28">
        <f t="shared" si="124"/>
        <v>0</v>
      </c>
      <c r="G143" s="16"/>
      <c r="H143" s="28">
        <f t="shared" si="125"/>
        <v>0</v>
      </c>
      <c r="I143" s="16"/>
      <c r="J143" s="28">
        <f t="shared" si="126"/>
        <v>0</v>
      </c>
      <c r="K143" s="16"/>
      <c r="L143" s="28">
        <f t="shared" si="127"/>
        <v>0</v>
      </c>
      <c r="M143" s="16"/>
      <c r="N143" s="28">
        <f t="shared" si="101"/>
        <v>0</v>
      </c>
      <c r="O143" s="16"/>
      <c r="P143" s="28">
        <f t="shared" si="128"/>
        <v>0</v>
      </c>
      <c r="Q143" s="16"/>
      <c r="R143" s="28">
        <f t="shared" si="129"/>
        <v>0</v>
      </c>
      <c r="S143" s="16"/>
      <c r="T143" s="28">
        <f t="shared" si="130"/>
        <v>0</v>
      </c>
      <c r="U143" s="16"/>
      <c r="V143" s="28">
        <f t="shared" si="131"/>
        <v>0</v>
      </c>
      <c r="W143" s="16"/>
      <c r="X143" s="28">
        <f t="shared" si="132"/>
        <v>0</v>
      </c>
      <c r="Y143" s="16"/>
      <c r="Z143" s="28">
        <f t="shared" si="133"/>
        <v>0</v>
      </c>
      <c r="AA143" s="59">
        <f t="shared" si="123"/>
        <v>0</v>
      </c>
      <c r="AB143" s="60">
        <f t="shared" si="130"/>
        <v>0</v>
      </c>
      <c r="AC143" s="67">
        <f t="shared" si="69"/>
        <v>0</v>
      </c>
      <c r="AD143" s="68">
        <f t="shared" si="130"/>
        <v>0</v>
      </c>
      <c r="AE143" s="44">
        <f t="shared" si="66"/>
        <v>0</v>
      </c>
      <c r="AF143" s="21">
        <f t="shared" si="67"/>
        <v>0</v>
      </c>
      <c r="AW143" s="99"/>
      <c r="AX143" s="99"/>
    </row>
    <row r="144" spans="1:50">
      <c r="A144" s="40">
        <v>6798</v>
      </c>
      <c r="B144" s="26" t="s">
        <v>147</v>
      </c>
      <c r="C144" s="32">
        <f>SUM(C136:C143)</f>
        <v>-415267</v>
      </c>
      <c r="D144" s="106"/>
      <c r="E144" s="32">
        <f>SUM(E136:E143)</f>
        <v>-415267</v>
      </c>
      <c r="F144" s="106"/>
      <c r="G144" s="32">
        <f>SUM(G136:G143)</f>
        <v>-415267</v>
      </c>
      <c r="H144" s="53">
        <f t="shared" si="125"/>
        <v>1021.153249143222</v>
      </c>
      <c r="I144" s="32">
        <f>SUM(I136:I143)</f>
        <v>-415267</v>
      </c>
      <c r="J144" s="106"/>
      <c r="K144" s="32">
        <f>SUM(K136:K143)</f>
        <v>-415267</v>
      </c>
      <c r="L144" s="53">
        <f t="shared" si="127"/>
        <v>1021.153249143222</v>
      </c>
      <c r="M144" s="32">
        <f>SUM(M136:M143)</f>
        <v>-415267</v>
      </c>
      <c r="N144" s="53">
        <f t="shared" si="101"/>
        <v>-144.27332453786678</v>
      </c>
      <c r="O144" s="32">
        <f>SUM(O136:O143)</f>
        <v>-415267</v>
      </c>
      <c r="P144" s="53">
        <f t="shared" si="128"/>
        <v>1021.153249143222</v>
      </c>
      <c r="Q144" s="32">
        <f>SUM(Q136:Q143)</f>
        <v>-415267</v>
      </c>
      <c r="R144" s="53">
        <f t="shared" si="129"/>
        <v>1021.153249143222</v>
      </c>
      <c r="S144" s="32">
        <f>SUM(S136:S143)</f>
        <v>-415267</v>
      </c>
      <c r="T144" s="53"/>
      <c r="U144" s="32">
        <f>SUM(U136:U143)</f>
        <v>-415267</v>
      </c>
      <c r="V144" s="53">
        <f t="shared" si="131"/>
        <v>1021.153249143222</v>
      </c>
      <c r="W144" s="32">
        <f>SUM(W136:W143)</f>
        <v>-415267</v>
      </c>
      <c r="X144" s="53">
        <f t="shared" si="132"/>
        <v>1021.153249143222</v>
      </c>
      <c r="Y144" s="32">
        <f>SUM(Y136:Y143)</f>
        <v>-415267</v>
      </c>
      <c r="Z144" s="53">
        <f t="shared" si="133"/>
        <v>1021.153249143222</v>
      </c>
      <c r="AA144" s="63">
        <f>SUM(AA136:AA143)</f>
        <v>-4983204</v>
      </c>
      <c r="AB144" s="107"/>
      <c r="AC144" s="70">
        <f t="shared" si="69"/>
        <v>-415267</v>
      </c>
      <c r="AD144" s="78">
        <f t="shared" si="130"/>
        <v>3124.3115918836716</v>
      </c>
      <c r="AE144" s="44">
        <f t="shared" si="66"/>
        <v>-4983204</v>
      </c>
      <c r="AF144" s="21">
        <f t="shared" si="67"/>
        <v>0</v>
      </c>
      <c r="AW144" s="99"/>
      <c r="AX144" s="99"/>
    </row>
    <row r="145" spans="1:50" ht="15.75" thickBot="1">
      <c r="A145" s="39">
        <v>6799</v>
      </c>
      <c r="B145" s="26" t="s">
        <v>117</v>
      </c>
      <c r="C145" s="31">
        <f>C144+C133+C129+C115+C93+C76+C41</f>
        <v>-406.66471986297984</v>
      </c>
      <c r="D145" s="51">
        <f t="shared" si="96"/>
        <v>1</v>
      </c>
      <c r="E145" s="31">
        <f>E41+E76+E93+E115+E129+E144+E133</f>
        <v>-406.66471986297984</v>
      </c>
      <c r="F145" s="51">
        <f t="shared" si="124"/>
        <v>1</v>
      </c>
      <c r="G145" s="31">
        <f>G41+G76+G93+G115+G129+G144+G133</f>
        <v>-406.66471986297984</v>
      </c>
      <c r="H145" s="51">
        <f t="shared" si="125"/>
        <v>1</v>
      </c>
      <c r="I145" s="31">
        <f>I41+I76+I93+I115+I129+I144+I133</f>
        <v>-406.66471986297984</v>
      </c>
      <c r="J145" s="51">
        <f t="shared" si="126"/>
        <v>1</v>
      </c>
      <c r="K145" s="31">
        <f>K41+K76+K93+K115+K129+K144+K133</f>
        <v>-406.66471986297984</v>
      </c>
      <c r="L145" s="51">
        <f t="shared" si="127"/>
        <v>1</v>
      </c>
      <c r="M145" s="31">
        <f>M41+M76+M93+M115+M129+M144+M133</f>
        <v>2878.3352801370202</v>
      </c>
      <c r="N145" s="51">
        <f t="shared" si="101"/>
        <v>1</v>
      </c>
      <c r="O145" s="31">
        <f>O41+O76+O93+O115+O129+O144+O133</f>
        <v>-406.66471986297984</v>
      </c>
      <c r="P145" s="51">
        <f t="shared" si="128"/>
        <v>1</v>
      </c>
      <c r="Q145" s="31">
        <f>Q41+Q76+Q93+Q115+Q129+Q144+Q133</f>
        <v>-406.66471986297984</v>
      </c>
      <c r="R145" s="51">
        <f t="shared" si="129"/>
        <v>1</v>
      </c>
      <c r="S145" s="31">
        <f>S41+S76+S93+S115+S129+S144+S133</f>
        <v>-406.66471986297984</v>
      </c>
      <c r="T145" s="51">
        <f t="shared" si="130"/>
        <v>1</v>
      </c>
      <c r="U145" s="31">
        <f>U41+U76+U93+U115+U129+U144+U133</f>
        <v>-406.66471986297984</v>
      </c>
      <c r="V145" s="51">
        <f t="shared" si="131"/>
        <v>1</v>
      </c>
      <c r="W145" s="31">
        <f>W41+W76+W93+W115+W129+W144+W133</f>
        <v>-406.66471986297984</v>
      </c>
      <c r="X145" s="51">
        <f t="shared" si="132"/>
        <v>1</v>
      </c>
      <c r="Y145" s="31">
        <f>Y41+Y76+Y93+Y115+Y129+Y144+Y133</f>
        <v>-406.66471986297984</v>
      </c>
      <c r="Z145" s="51">
        <f t="shared" si="133"/>
        <v>1</v>
      </c>
      <c r="AA145" s="71">
        <f>AA41+AA76+AA93+AA115+AA129+AA144+AA133</f>
        <v>-1594.9766383562237</v>
      </c>
      <c r="AB145" s="81">
        <f t="shared" si="130"/>
        <v>1</v>
      </c>
      <c r="AC145" s="24">
        <f t="shared" si="69"/>
        <v>-132.91471986301863</v>
      </c>
      <c r="AD145" s="79">
        <f t="shared" si="130"/>
        <v>1</v>
      </c>
      <c r="AE145" s="44">
        <f t="shared" si="66"/>
        <v>-1594.976638355758</v>
      </c>
      <c r="AF145" s="21">
        <f t="shared" si="67"/>
        <v>-4.6566128730773926E-10</v>
      </c>
      <c r="AL145" s="309"/>
      <c r="AW145" s="99"/>
      <c r="AX145" s="99"/>
    </row>
    <row r="146" spans="1:50" ht="16.5" thickTop="1" thickBot="1">
      <c r="A146" s="1"/>
      <c r="B146" s="8" t="s">
        <v>123</v>
      </c>
      <c r="C146" s="42">
        <f>C37-C145</f>
        <v>406.66471986297984</v>
      </c>
      <c r="D146" s="42">
        <f>D14-D145</f>
        <v>-1</v>
      </c>
      <c r="E146" s="42">
        <f>E37-E145</f>
        <v>406.66471986297984</v>
      </c>
      <c r="F146" s="42">
        <f>F14-F145</f>
        <v>-1</v>
      </c>
      <c r="G146" s="42">
        <f>G37-G145</f>
        <v>406.66471986297984</v>
      </c>
      <c r="H146" s="42">
        <f>H14-H145</f>
        <v>-1</v>
      </c>
      <c r="I146" s="42">
        <f>I37-I145</f>
        <v>406.66471986297984</v>
      </c>
      <c r="J146" s="42">
        <f>J14-J145</f>
        <v>-1</v>
      </c>
      <c r="K146" s="42">
        <f>K37-K145</f>
        <v>406.66471986297984</v>
      </c>
      <c r="L146" s="42">
        <f>L14-L145</f>
        <v>-1</v>
      </c>
      <c r="M146" s="42">
        <f>M37-M145</f>
        <v>-2878.3352801370202</v>
      </c>
      <c r="N146" s="42">
        <f>N14-N145</f>
        <v>-1</v>
      </c>
      <c r="O146" s="42">
        <f>O37-O145</f>
        <v>406.66471986297984</v>
      </c>
      <c r="P146" s="42">
        <f>P14-P145</f>
        <v>-1</v>
      </c>
      <c r="Q146" s="42">
        <f>Q37-Q145</f>
        <v>406.66471986297984</v>
      </c>
      <c r="R146" s="42">
        <f>R14-R145</f>
        <v>-1</v>
      </c>
      <c r="S146" s="42">
        <f>S37-S145</f>
        <v>406.66471986297984</v>
      </c>
      <c r="T146" s="42">
        <f>T14-T145</f>
        <v>-1</v>
      </c>
      <c r="U146" s="42">
        <f>U37-U145</f>
        <v>406.66471986297984</v>
      </c>
      <c r="V146" s="42">
        <f>V14-V145</f>
        <v>-1</v>
      </c>
      <c r="W146" s="42">
        <f>W37-W145</f>
        <v>406.66471986297984</v>
      </c>
      <c r="X146" s="42">
        <f>X14-X145</f>
        <v>-1</v>
      </c>
      <c r="Y146" s="42">
        <f>Y37-Y145</f>
        <v>406.66471986297984</v>
      </c>
      <c r="Z146" s="42">
        <f>Z37-Z145</f>
        <v>-1</v>
      </c>
      <c r="AA146" s="42">
        <f>AA37-AA145</f>
        <v>1594.9766383562237</v>
      </c>
      <c r="AB146" s="120">
        <f>AB14-AB145</f>
        <v>-1</v>
      </c>
      <c r="AC146" s="42">
        <f t="shared" si="69"/>
        <v>132.91471986301863</v>
      </c>
      <c r="AD146" s="120">
        <f>AD14-AD145</f>
        <v>-1</v>
      </c>
      <c r="AE146" s="44">
        <f t="shared" si="66"/>
        <v>1594.976638355758</v>
      </c>
      <c r="AF146" s="21">
        <f t="shared" si="67"/>
        <v>4.6566128730773926E-10</v>
      </c>
      <c r="AW146" s="99"/>
      <c r="AX146" s="99"/>
    </row>
    <row r="147" spans="1:50" ht="15.75" thickTop="1">
      <c r="A147" s="1"/>
      <c r="B147" s="1"/>
      <c r="C147" s="21"/>
      <c r="D147" s="50"/>
      <c r="E147" s="21"/>
      <c r="F147" s="50"/>
      <c r="G147" s="21"/>
      <c r="H147" s="50"/>
      <c r="I147" s="21"/>
      <c r="J147" s="50"/>
      <c r="K147" s="21"/>
      <c r="L147" s="50"/>
      <c r="M147" s="21"/>
      <c r="N147" s="50"/>
      <c r="O147" s="21"/>
      <c r="P147" s="50"/>
      <c r="Q147" s="21"/>
      <c r="R147" s="50"/>
      <c r="S147" s="21"/>
      <c r="T147" s="50"/>
      <c r="U147" s="21"/>
      <c r="V147" s="50"/>
      <c r="W147" s="21"/>
      <c r="X147" s="50"/>
      <c r="Y147" s="21"/>
      <c r="Z147" s="50"/>
      <c r="AA147" s="58"/>
      <c r="AB147" s="72"/>
      <c r="AC147" s="66">
        <f t="shared" si="69"/>
        <v>0</v>
      </c>
      <c r="AD147" s="76"/>
      <c r="AE147" s="44">
        <f t="shared" si="66"/>
        <v>0</v>
      </c>
      <c r="AF147" s="21">
        <f t="shared" si="67"/>
        <v>0</v>
      </c>
      <c r="AW147" s="99"/>
      <c r="AX147" s="99"/>
    </row>
    <row r="148" spans="1:50" ht="15.75" thickBot="1">
      <c r="A148" s="90"/>
      <c r="B148" s="8" t="s">
        <v>146</v>
      </c>
      <c r="C148" s="97"/>
      <c r="D148" s="95">
        <f>C148/C145</f>
        <v>0</v>
      </c>
      <c r="E148" s="97"/>
      <c r="F148" s="95">
        <f t="shared" ref="F148" si="134">E148/E145</f>
        <v>0</v>
      </c>
      <c r="G148" s="97"/>
      <c r="H148" s="95">
        <f t="shared" ref="H148" si="135">G148/G145</f>
        <v>0</v>
      </c>
      <c r="I148" s="97"/>
      <c r="J148" s="95">
        <f t="shared" ref="J148" si="136">I148/I145</f>
        <v>0</v>
      </c>
      <c r="K148" s="97"/>
      <c r="L148" s="95">
        <f t="shared" ref="L148" si="137">K148/K145</f>
        <v>0</v>
      </c>
      <c r="M148" s="97"/>
      <c r="N148" s="95">
        <f t="shared" ref="N148" si="138">M148/M145</f>
        <v>0</v>
      </c>
      <c r="O148" s="97"/>
      <c r="P148" s="95">
        <f t="shared" ref="P148" si="139">O148/O145</f>
        <v>0</v>
      </c>
      <c r="Q148" s="97"/>
      <c r="R148" s="95">
        <f t="shared" ref="R148" si="140">Q148/Q145</f>
        <v>0</v>
      </c>
      <c r="S148" s="97"/>
      <c r="T148" s="95">
        <f t="shared" ref="T148" si="141">S148/S145</f>
        <v>0</v>
      </c>
      <c r="U148" s="97"/>
      <c r="V148" s="95">
        <f t="shared" ref="V148" si="142">U148/U145</f>
        <v>0</v>
      </c>
      <c r="W148" s="97"/>
      <c r="X148" s="95">
        <f t="shared" ref="X148" si="143">W148/W145</f>
        <v>0</v>
      </c>
      <c r="Y148" s="97"/>
      <c r="Z148" s="95">
        <f t="shared" ref="Z148:AD148" si="144">Y148/Y145</f>
        <v>0</v>
      </c>
      <c r="AA148" s="101">
        <f t="shared" ref="AA148:AA150" si="145">C148+E148+G148+I148+K148+M148+O148+Q148+S148+U148+W148+Y148</f>
        <v>0</v>
      </c>
      <c r="AB148" s="95">
        <f t="shared" si="144"/>
        <v>0</v>
      </c>
      <c r="AC148" s="117">
        <f t="shared" si="69"/>
        <v>0</v>
      </c>
      <c r="AD148" s="95">
        <f t="shared" si="144"/>
        <v>0</v>
      </c>
      <c r="AE148" s="44">
        <f t="shared" si="66"/>
        <v>0</v>
      </c>
      <c r="AF148" s="21">
        <f t="shared" si="67"/>
        <v>0</v>
      </c>
      <c r="AW148" s="99"/>
      <c r="AX148" s="99"/>
    </row>
    <row r="149" spans="1:50" ht="15.75" thickTop="1">
      <c r="A149" s="1"/>
      <c r="B149" s="46"/>
      <c r="C149" s="21"/>
      <c r="D149" s="50"/>
      <c r="E149" s="21"/>
      <c r="F149" s="50"/>
      <c r="G149" s="21"/>
      <c r="H149" s="50"/>
      <c r="I149" s="21"/>
      <c r="J149" s="50"/>
      <c r="K149" s="21"/>
      <c r="L149" s="50"/>
      <c r="M149" s="21"/>
      <c r="N149" s="50"/>
      <c r="O149" s="21"/>
      <c r="P149" s="50"/>
      <c r="Q149" s="21"/>
      <c r="R149" s="50"/>
      <c r="S149" s="21"/>
      <c r="T149" s="50"/>
      <c r="U149" s="21"/>
      <c r="V149" s="50"/>
      <c r="W149" s="21"/>
      <c r="X149" s="50"/>
      <c r="Y149" s="21"/>
      <c r="Z149" s="50"/>
      <c r="AA149" s="58"/>
      <c r="AB149" s="72"/>
      <c r="AC149" s="66">
        <f t="shared" ref="AC149:AC152" si="146">AA149/12</f>
        <v>0</v>
      </c>
      <c r="AD149" s="76"/>
      <c r="AE149" s="44">
        <f t="shared" si="66"/>
        <v>0</v>
      </c>
      <c r="AF149" s="21">
        <f t="shared" si="67"/>
        <v>0</v>
      </c>
      <c r="AW149" s="99"/>
      <c r="AX149" s="99"/>
    </row>
    <row r="150" spans="1:50" ht="15.75" thickBot="1">
      <c r="A150" s="130"/>
      <c r="B150" s="129" t="s">
        <v>161</v>
      </c>
      <c r="C150" s="18"/>
      <c r="D150" s="131"/>
      <c r="E150" s="18"/>
      <c r="F150" s="131"/>
      <c r="G150" s="18"/>
      <c r="H150" s="131"/>
      <c r="I150" s="18"/>
      <c r="J150" s="131"/>
      <c r="K150" s="18"/>
      <c r="L150" s="131"/>
      <c r="M150" s="18"/>
      <c r="N150" s="131"/>
      <c r="O150" s="18"/>
      <c r="P150" s="131"/>
      <c r="Q150" s="18"/>
      <c r="R150" s="131"/>
      <c r="S150" s="18"/>
      <c r="T150" s="131"/>
      <c r="U150" s="18"/>
      <c r="V150" s="131"/>
      <c r="W150" s="18"/>
      <c r="X150" s="131"/>
      <c r="Y150" s="18"/>
      <c r="Z150" s="131"/>
      <c r="AA150" s="101">
        <f t="shared" si="145"/>
        <v>0</v>
      </c>
      <c r="AB150" s="131"/>
      <c r="AC150" s="117">
        <f t="shared" si="146"/>
        <v>0</v>
      </c>
      <c r="AD150" s="131"/>
      <c r="AE150" s="44">
        <f t="shared" ref="AE150:AE152" si="147">C150+E150+G150+I150+K150+M150+O150+Q150+S150+U150+W150+Y150</f>
        <v>0</v>
      </c>
      <c r="AF150" s="21">
        <f t="shared" ref="AF150:AF152" si="148">AA150-AE150</f>
        <v>0</v>
      </c>
      <c r="AW150" s="99"/>
      <c r="AX150" s="99"/>
    </row>
    <row r="151" spans="1:50" ht="15.75" thickTop="1">
      <c r="A151" s="1"/>
      <c r="B151" s="46"/>
      <c r="C151" s="21"/>
      <c r="D151" s="50"/>
      <c r="E151" s="21"/>
      <c r="F151" s="50"/>
      <c r="G151" s="21"/>
      <c r="H151" s="50"/>
      <c r="I151" s="21"/>
      <c r="J151" s="50"/>
      <c r="K151" s="21"/>
      <c r="L151" s="50"/>
      <c r="M151" s="21"/>
      <c r="N151" s="50"/>
      <c r="O151" s="21"/>
      <c r="P151" s="50"/>
      <c r="Q151" s="21"/>
      <c r="R151" s="50"/>
      <c r="S151" s="21"/>
      <c r="T151" s="50"/>
      <c r="U151" s="21"/>
      <c r="V151" s="50"/>
      <c r="W151" s="21"/>
      <c r="X151" s="50"/>
      <c r="Y151" s="21"/>
      <c r="Z151" s="50"/>
      <c r="AA151" s="58"/>
      <c r="AB151" s="72"/>
      <c r="AC151" s="66">
        <f t="shared" si="146"/>
        <v>0</v>
      </c>
      <c r="AD151" s="76"/>
      <c r="AE151" s="44">
        <f t="shared" si="147"/>
        <v>0</v>
      </c>
      <c r="AF151" s="21">
        <f t="shared" si="148"/>
        <v>0</v>
      </c>
      <c r="AW151" s="99"/>
      <c r="AX151" s="99"/>
    </row>
    <row r="152" spans="1:50" ht="15.75" thickBot="1">
      <c r="A152" s="90"/>
      <c r="B152" s="93" t="s">
        <v>148</v>
      </c>
      <c r="C152" s="94">
        <f>C146-C148-C150</f>
        <v>406.66471986297984</v>
      </c>
      <c r="D152" s="95">
        <f>C152/C145</f>
        <v>-1</v>
      </c>
      <c r="E152" s="94">
        <f>E146-E148-E150</f>
        <v>406.66471986297984</v>
      </c>
      <c r="F152" s="95">
        <f t="shared" ref="F152" si="149">E152/E145</f>
        <v>-1</v>
      </c>
      <c r="G152" s="94">
        <f>G146-G148-G150</f>
        <v>406.66471986297984</v>
      </c>
      <c r="H152" s="95">
        <f t="shared" ref="H152" si="150">G152/G145</f>
        <v>-1</v>
      </c>
      <c r="I152" s="94">
        <f>I146-I148-I150</f>
        <v>406.66471986297984</v>
      </c>
      <c r="J152" s="95">
        <f t="shared" ref="J152" si="151">I152/I145</f>
        <v>-1</v>
      </c>
      <c r="K152" s="94">
        <f>K146-K148-K150</f>
        <v>406.66471986297984</v>
      </c>
      <c r="L152" s="95">
        <f t="shared" ref="L152" si="152">K152/K145</f>
        <v>-1</v>
      </c>
      <c r="M152" s="94">
        <f>M146-M148-M150</f>
        <v>-2878.3352801370202</v>
      </c>
      <c r="N152" s="95">
        <f t="shared" ref="N152" si="153">M152/M145</f>
        <v>-1</v>
      </c>
      <c r="O152" s="94">
        <f>O146-O148-O150</f>
        <v>406.66471986297984</v>
      </c>
      <c r="P152" s="95">
        <f t="shared" ref="P152" si="154">O152/O145</f>
        <v>-1</v>
      </c>
      <c r="Q152" s="94">
        <f>Q146-Q148-Q150</f>
        <v>406.66471986297984</v>
      </c>
      <c r="R152" s="95">
        <f t="shared" ref="R152" si="155">Q152/Q145</f>
        <v>-1</v>
      </c>
      <c r="S152" s="94">
        <f>S146-S148-S150</f>
        <v>406.66471986297984</v>
      </c>
      <c r="T152" s="95">
        <f t="shared" ref="T152" si="156">S152/S145</f>
        <v>-1</v>
      </c>
      <c r="U152" s="94">
        <f>U146-U148-U150</f>
        <v>406.66471986297984</v>
      </c>
      <c r="V152" s="95">
        <f t="shared" ref="V152" si="157">U152/U145</f>
        <v>-1</v>
      </c>
      <c r="W152" s="94">
        <f>W146-W148-W150</f>
        <v>406.66471986297984</v>
      </c>
      <c r="X152" s="95">
        <f t="shared" ref="X152" si="158">W152/W145</f>
        <v>-1</v>
      </c>
      <c r="Y152" s="94">
        <f>Y146-Y148-Y150</f>
        <v>406.66471986297984</v>
      </c>
      <c r="Z152" s="95">
        <f t="shared" ref="Z152:AD152" si="159">Y152/Y145</f>
        <v>-1</v>
      </c>
      <c r="AA152" s="101">
        <f t="shared" ref="AA152" si="160">C152+E152+G152+I152+K152+M152+O152+Q152+S152+U152+W152+Y152</f>
        <v>1594.976638355758</v>
      </c>
      <c r="AB152" s="95">
        <f t="shared" si="159"/>
        <v>-0.99999999999970801</v>
      </c>
      <c r="AC152" s="117">
        <f t="shared" si="146"/>
        <v>132.91471986297984</v>
      </c>
      <c r="AD152" s="95">
        <f t="shared" si="159"/>
        <v>-0.99999999999970812</v>
      </c>
      <c r="AE152" s="44">
        <f t="shared" si="147"/>
        <v>1594.976638355758</v>
      </c>
      <c r="AF152" s="21">
        <f t="shared" si="148"/>
        <v>0</v>
      </c>
      <c r="AW152" s="99"/>
      <c r="AX152" s="99"/>
    </row>
    <row r="153" spans="1:50" ht="15.75" thickTop="1">
      <c r="A153" s="15"/>
      <c r="B153" s="15"/>
      <c r="C153" s="20">
        <f>C152</f>
        <v>406.66471986297984</v>
      </c>
      <c r="D153" s="91"/>
      <c r="E153" s="20">
        <f>C153+E152</f>
        <v>813.32943972595967</v>
      </c>
      <c r="F153" s="91"/>
      <c r="G153" s="20">
        <f>G152+E153</f>
        <v>1219.9941595889395</v>
      </c>
      <c r="H153" s="91"/>
      <c r="I153" s="20">
        <f>I152+G153</f>
        <v>1626.6588794519193</v>
      </c>
      <c r="J153" s="91"/>
      <c r="K153" s="20">
        <f>K152+I153</f>
        <v>2033.3235993148992</v>
      </c>
      <c r="L153" s="91"/>
      <c r="M153" s="20">
        <f>M152+K153</f>
        <v>-845.01168082212098</v>
      </c>
      <c r="N153" s="91"/>
      <c r="O153" s="20">
        <f>O152+M153</f>
        <v>-438.34696095914114</v>
      </c>
      <c r="P153" s="91"/>
      <c r="Q153" s="20">
        <f>Q152+O153</f>
        <v>-31.682241096161306</v>
      </c>
      <c r="R153" s="91"/>
      <c r="S153" s="20">
        <f>S152+Q153</f>
        <v>374.98247876681853</v>
      </c>
      <c r="T153" s="91"/>
      <c r="U153" s="20">
        <f>U152+S153</f>
        <v>781.64719862979837</v>
      </c>
      <c r="V153" s="91"/>
      <c r="W153" s="20">
        <f>W152+U153</f>
        <v>1188.3119184927782</v>
      </c>
      <c r="X153" s="91"/>
      <c r="Y153" s="20">
        <f>Y152+W153</f>
        <v>1594.976638355758</v>
      </c>
      <c r="Z153" s="91"/>
      <c r="AA153" s="85"/>
      <c r="AB153" s="91"/>
      <c r="AC153" s="85"/>
      <c r="AD153" s="91"/>
      <c r="AE153" s="1"/>
      <c r="AF153" s="21"/>
    </row>
    <row r="154" spans="1:50">
      <c r="A154" s="15"/>
      <c r="B154" s="15"/>
      <c r="D154" s="91"/>
      <c r="F154" s="91"/>
      <c r="H154" s="91"/>
      <c r="J154" s="91"/>
      <c r="L154" s="91"/>
      <c r="N154" s="91"/>
      <c r="P154" s="91"/>
      <c r="R154" s="91"/>
      <c r="T154" s="91"/>
      <c r="V154" s="91"/>
      <c r="X154" s="91"/>
      <c r="Z154" s="91"/>
      <c r="AA154" s="85"/>
      <c r="AB154" s="91"/>
      <c r="AC154" s="85"/>
      <c r="AD154" s="91"/>
      <c r="AE154" s="1"/>
      <c r="AF154" s="21"/>
    </row>
    <row r="155" spans="1:50">
      <c r="A155" s="15"/>
      <c r="B155" s="15"/>
      <c r="D155" s="91"/>
      <c r="F155" s="91"/>
      <c r="H155" s="91"/>
      <c r="J155" s="91"/>
      <c r="L155" s="91"/>
      <c r="N155" s="91"/>
      <c r="P155" s="91"/>
      <c r="R155" s="91"/>
      <c r="T155" s="91"/>
      <c r="V155" s="91"/>
      <c r="X155" s="91"/>
      <c r="Z155" s="91"/>
      <c r="AA155" s="267">
        <f>AA152+AA142</f>
        <v>-4998409.0233616438</v>
      </c>
      <c r="AB155" s="91"/>
      <c r="AC155" s="85"/>
      <c r="AD155" s="91"/>
      <c r="AE155" s="1"/>
      <c r="AF155" s="21"/>
    </row>
    <row r="156" spans="1:50">
      <c r="AA156" s="264">
        <f>SUM(AA41,AA76,AA93,AA115,AA129,AA137:AA138,AA148)</f>
        <v>4998409.0233616438</v>
      </c>
    </row>
    <row r="157" spans="1:50" hidden="1">
      <c r="Y157" s="340"/>
      <c r="Z157" s="340"/>
      <c r="AA157" s="340"/>
      <c r="AB157" s="340"/>
      <c r="AC157" s="340"/>
    </row>
    <row r="158" spans="1:50" hidden="1">
      <c r="AA158" s="1"/>
    </row>
    <row r="159" spans="1:50" hidden="1">
      <c r="AA159" s="21"/>
      <c r="AC159" s="100"/>
    </row>
    <row r="160" spans="1:50" hidden="1">
      <c r="AA160" s="21"/>
      <c r="AC160" s="100"/>
    </row>
    <row r="161" spans="15:29" hidden="1">
      <c r="AA161" s="21"/>
      <c r="AC161" s="100"/>
    </row>
    <row r="162" spans="15:29" hidden="1">
      <c r="AA162" s="123"/>
      <c r="AC162" s="291"/>
    </row>
    <row r="163" spans="15:29" hidden="1">
      <c r="AA163" s="45"/>
      <c r="AC163" s="268"/>
    </row>
    <row r="164" spans="15:29">
      <c r="O164" s="310"/>
      <c r="X164" s="88" t="s">
        <v>258</v>
      </c>
      <c r="Y164" s="20">
        <v>17</v>
      </c>
      <c r="AA164" s="100">
        <f>AA156/17</f>
        <v>294024.06019774376</v>
      </c>
      <c r="AC164" s="100"/>
    </row>
    <row r="165" spans="15:29">
      <c r="X165" s="88" t="s">
        <v>259</v>
      </c>
      <c r="Y165" s="20">
        <v>12</v>
      </c>
      <c r="AA165" s="315">
        <f>AA164/Y165</f>
        <v>24502.005016478648</v>
      </c>
    </row>
  </sheetData>
  <mergeCells count="15">
    <mergeCell ref="M2:N2"/>
    <mergeCell ref="C2:D2"/>
    <mergeCell ref="E2:F2"/>
    <mergeCell ref="G2:H2"/>
    <mergeCell ref="I2:J2"/>
    <mergeCell ref="K2:L2"/>
    <mergeCell ref="AA2:AB2"/>
    <mergeCell ref="AC2:AD2"/>
    <mergeCell ref="Y157:AC157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paperSize="8" scale="51" fitToHeight="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69"/>
  <sheetViews>
    <sheetView zoomScale="85" zoomScaleNormal="85" workbookViewId="0">
      <pane xSplit="2" ySplit="4" topLeftCell="P32" activePane="bottomRight" state="frozen"/>
      <selection activeCell="AH9" sqref="AH9"/>
      <selection pane="topRight" activeCell="AH9" sqref="AH9"/>
      <selection pane="bottomLeft" activeCell="AH9" sqref="AH9"/>
      <selection pane="bottomRight" activeCell="AA46" sqref="AA46"/>
    </sheetView>
  </sheetViews>
  <sheetFormatPr defaultColWidth="9.140625" defaultRowHeight="15"/>
  <cols>
    <col min="1" max="1" width="6.42578125" style="84" bestFit="1" customWidth="1"/>
    <col min="2" max="2" width="38.42578125" style="84" bestFit="1" customWidth="1"/>
    <col min="3" max="3" width="14" style="100" bestFit="1" customWidth="1"/>
    <col min="4" max="4" width="9.85546875" style="84" bestFit="1" customWidth="1"/>
    <col min="5" max="5" width="13.28515625" style="100" bestFit="1" customWidth="1"/>
    <col min="6" max="6" width="9.85546875" style="84" bestFit="1" customWidth="1"/>
    <col min="7" max="7" width="13.28515625" style="100" bestFit="1" customWidth="1"/>
    <col min="8" max="8" width="7.85546875" style="84" bestFit="1" customWidth="1"/>
    <col min="9" max="9" width="14" style="100" bestFit="1" customWidth="1"/>
    <col min="10" max="10" width="7.5703125" style="84" customWidth="1"/>
    <col min="11" max="11" width="13.28515625" style="20" bestFit="1" customWidth="1"/>
    <col min="12" max="12" width="8.28515625" style="84" customWidth="1"/>
    <col min="13" max="13" width="13.28515625" style="20" bestFit="1" customWidth="1"/>
    <col min="14" max="14" width="8.140625" style="84" bestFit="1" customWidth="1"/>
    <col min="15" max="15" width="14" style="20" bestFit="1" customWidth="1"/>
    <col min="16" max="16" width="7.85546875" style="278" bestFit="1" customWidth="1"/>
    <col min="17" max="17" width="14" style="20" bestFit="1" customWidth="1"/>
    <col min="18" max="18" width="7.85546875" style="278" bestFit="1" customWidth="1"/>
    <col min="19" max="19" width="14" style="20" bestFit="1" customWidth="1"/>
    <col min="20" max="20" width="7.5703125" style="278" customWidth="1"/>
    <col min="21" max="21" width="14" style="100" bestFit="1" customWidth="1"/>
    <col min="22" max="22" width="7.7109375" style="278" bestFit="1" customWidth="1"/>
    <col min="23" max="23" width="14" style="100" bestFit="1" customWidth="1"/>
    <col min="24" max="24" width="7.140625" style="278" bestFit="1" customWidth="1"/>
    <col min="25" max="25" width="14" style="100" bestFit="1" customWidth="1"/>
    <col min="26" max="26" width="7.140625" style="278" bestFit="1" customWidth="1"/>
    <col min="27" max="27" width="14.28515625" style="84" bestFit="1" customWidth="1"/>
    <col min="28" max="28" width="7.85546875" style="278" bestFit="1" customWidth="1"/>
    <col min="29" max="29" width="12" style="84" bestFit="1" customWidth="1"/>
    <col min="30" max="30" width="7.85546875" style="278" bestFit="1" customWidth="1"/>
    <col min="31" max="31" width="14" style="84" hidden="1" customWidth="1"/>
    <col min="32" max="32" width="15.28515625" style="20" hidden="1" customWidth="1"/>
    <col min="33" max="33" width="9.140625" style="84" hidden="1" customWidth="1"/>
    <col min="34" max="34" width="13.28515625" style="84" hidden="1" customWidth="1"/>
    <col min="35" max="35" width="9.140625" style="84" hidden="1" customWidth="1"/>
    <col min="36" max="36" width="9.140625" style="84" customWidth="1"/>
    <col min="37" max="16384" width="9.140625" style="84"/>
  </cols>
  <sheetData>
    <row r="1" spans="1:34" s="132" customFormat="1">
      <c r="A1" s="341" t="s">
        <v>262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2"/>
      <c r="AE1" s="1"/>
      <c r="AF1" s="21"/>
      <c r="AG1" s="132" t="s">
        <v>202</v>
      </c>
    </row>
    <row r="2" spans="1:34" s="1" customFormat="1">
      <c r="A2" s="22"/>
      <c r="B2" s="22"/>
      <c r="C2" s="133" t="s">
        <v>64</v>
      </c>
      <c r="D2" s="134"/>
      <c r="E2" s="133" t="s">
        <v>65</v>
      </c>
      <c r="F2" s="134"/>
      <c r="G2" s="133" t="s">
        <v>81</v>
      </c>
      <c r="H2" s="134"/>
      <c r="I2" s="133" t="s">
        <v>82</v>
      </c>
      <c r="J2" s="134"/>
      <c r="K2" s="133" t="s">
        <v>83</v>
      </c>
      <c r="L2" s="134"/>
      <c r="M2" s="133" t="s">
        <v>84</v>
      </c>
      <c r="N2" s="302"/>
      <c r="O2" s="133" t="s">
        <v>85</v>
      </c>
      <c r="P2" s="134"/>
      <c r="Q2" s="133" t="s">
        <v>86</v>
      </c>
      <c r="R2" s="302"/>
      <c r="S2" s="302" t="s">
        <v>87</v>
      </c>
      <c r="T2" s="302"/>
      <c r="U2" s="133" t="s">
        <v>112</v>
      </c>
      <c r="V2" s="134"/>
      <c r="W2" s="133" t="s">
        <v>113</v>
      </c>
      <c r="X2" s="302"/>
      <c r="Y2" s="302" t="s">
        <v>114</v>
      </c>
      <c r="Z2" s="302"/>
      <c r="AA2" s="303" t="s">
        <v>109</v>
      </c>
      <c r="AB2" s="303"/>
      <c r="AC2" s="135" t="s">
        <v>110</v>
      </c>
      <c r="AD2" s="135"/>
      <c r="AE2" s="262"/>
      <c r="AF2" s="263"/>
    </row>
    <row r="3" spans="1:34" s="1" customFormat="1" ht="15.75" thickBot="1">
      <c r="A3" s="27"/>
      <c r="B3" s="136" t="s">
        <v>69</v>
      </c>
      <c r="C3" s="137" t="s">
        <v>95</v>
      </c>
      <c r="D3" s="138" t="s">
        <v>80</v>
      </c>
      <c r="E3" s="137" t="s">
        <v>95</v>
      </c>
      <c r="F3" s="138" t="s">
        <v>80</v>
      </c>
      <c r="G3" s="137" t="s">
        <v>95</v>
      </c>
      <c r="H3" s="138" t="s">
        <v>80</v>
      </c>
      <c r="I3" s="137" t="s">
        <v>95</v>
      </c>
      <c r="J3" s="138" t="s">
        <v>80</v>
      </c>
      <c r="K3" s="137" t="s">
        <v>95</v>
      </c>
      <c r="L3" s="138" t="s">
        <v>80</v>
      </c>
      <c r="M3" s="137" t="s">
        <v>95</v>
      </c>
      <c r="N3" s="138" t="s">
        <v>80</v>
      </c>
      <c r="O3" s="137" t="s">
        <v>95</v>
      </c>
      <c r="P3" s="139" t="s">
        <v>80</v>
      </c>
      <c r="Q3" s="137" t="s">
        <v>95</v>
      </c>
      <c r="R3" s="139" t="s">
        <v>80</v>
      </c>
      <c r="S3" s="137" t="s">
        <v>95</v>
      </c>
      <c r="T3" s="139" t="s">
        <v>80</v>
      </c>
      <c r="U3" s="137" t="s">
        <v>95</v>
      </c>
      <c r="V3" s="139" t="s">
        <v>80</v>
      </c>
      <c r="W3" s="137" t="s">
        <v>95</v>
      </c>
      <c r="X3" s="139" t="s">
        <v>80</v>
      </c>
      <c r="Y3" s="137" t="s">
        <v>95</v>
      </c>
      <c r="Z3" s="139" t="s">
        <v>80</v>
      </c>
      <c r="AA3" s="137" t="s">
        <v>95</v>
      </c>
      <c r="AB3" s="140" t="s">
        <v>80</v>
      </c>
      <c r="AC3" s="137" t="s">
        <v>95</v>
      </c>
      <c r="AD3" s="141" t="s">
        <v>80</v>
      </c>
      <c r="AF3" s="21"/>
    </row>
    <row r="4" spans="1:34" s="1" customFormat="1">
      <c r="B4" s="14"/>
      <c r="C4" s="41"/>
      <c r="D4" s="142"/>
      <c r="E4" s="143"/>
      <c r="F4" s="142"/>
      <c r="G4" s="41"/>
      <c r="H4" s="142"/>
      <c r="I4" s="41"/>
      <c r="J4" s="142"/>
      <c r="K4" s="16"/>
      <c r="L4" s="142"/>
      <c r="M4" s="16"/>
      <c r="N4" s="142"/>
      <c r="O4" s="16"/>
      <c r="P4" s="144"/>
      <c r="Q4" s="16"/>
      <c r="R4" s="144"/>
      <c r="S4" s="16"/>
      <c r="T4" s="144"/>
      <c r="U4" s="41"/>
      <c r="V4" s="144"/>
      <c r="W4" s="41"/>
      <c r="X4" s="144"/>
      <c r="Y4" s="41"/>
      <c r="Z4" s="144"/>
      <c r="AA4" s="58"/>
      <c r="AB4" s="145"/>
      <c r="AC4" s="146"/>
      <c r="AD4" s="147"/>
      <c r="AF4" s="21"/>
    </row>
    <row r="5" spans="1:34" s="5" customFormat="1">
      <c r="A5" s="6">
        <v>5004</v>
      </c>
      <c r="B5" s="328" t="s">
        <v>71</v>
      </c>
      <c r="C5" s="327">
        <v>2160201.5441160342</v>
      </c>
      <c r="D5" s="159">
        <f>C5/C$5</f>
        <v>1</v>
      </c>
      <c r="E5" s="327">
        <v>1680639.9634250789</v>
      </c>
      <c r="F5" s="159">
        <f>E5/E$5</f>
        <v>1</v>
      </c>
      <c r="G5" s="327">
        <v>2787807.9161524619</v>
      </c>
      <c r="H5" s="159">
        <f>G5/G$5</f>
        <v>1</v>
      </c>
      <c r="I5" s="327">
        <v>2461618.4049517303</v>
      </c>
      <c r="J5" s="159">
        <f>I5/I$5</f>
        <v>1</v>
      </c>
      <c r="K5" s="327">
        <v>2251400.7985499576</v>
      </c>
      <c r="L5" s="159">
        <f>K5/K$5</f>
        <v>1</v>
      </c>
      <c r="M5" s="327">
        <v>3192455.1612022901</v>
      </c>
      <c r="N5" s="159">
        <f>M5/M$5</f>
        <v>1</v>
      </c>
      <c r="O5" s="327">
        <v>2021176.9506798009</v>
      </c>
      <c r="P5" s="159">
        <f>O5/O$5</f>
        <v>1</v>
      </c>
      <c r="Q5" s="327">
        <v>2509774.324365017</v>
      </c>
      <c r="R5" s="159">
        <f>Q5/Q$5</f>
        <v>1</v>
      </c>
      <c r="S5" s="327">
        <v>2528294.6412565736</v>
      </c>
      <c r="T5" s="159">
        <f>S5/S$5</f>
        <v>1</v>
      </c>
      <c r="U5" s="327">
        <v>2005459.8173527401</v>
      </c>
      <c r="V5" s="159">
        <f>U5/U$5</f>
        <v>1</v>
      </c>
      <c r="W5" s="327">
        <v>2040438.103557033</v>
      </c>
      <c r="X5" s="159">
        <f>W5/W$5</f>
        <v>1</v>
      </c>
      <c r="Y5" s="327">
        <v>3082415.3308377075</v>
      </c>
      <c r="Z5" s="159">
        <f>Y5/Y$5</f>
        <v>1</v>
      </c>
      <c r="AA5" s="155">
        <f t="shared" ref="AA5:AA11" si="0">C5+E5+G5+I5+K5+M5+O5+Q5+S5+U5+W5+Y5</f>
        <v>28721682.956446424</v>
      </c>
      <c r="AB5" s="329">
        <v>0</v>
      </c>
      <c r="AC5" s="330">
        <f>AA5/12</f>
        <v>2393473.5797038688</v>
      </c>
      <c r="AD5" s="329">
        <v>0</v>
      </c>
      <c r="AE5" s="41">
        <f>C5+E5+G5+I5+K5+M5+O5+Q5+S5+U5+W5+Y5</f>
        <v>28721682.956446424</v>
      </c>
      <c r="AF5" s="16">
        <f>AA5-AE5</f>
        <v>0</v>
      </c>
    </row>
    <row r="6" spans="1:34" s="1" customFormat="1">
      <c r="A6" s="1">
        <v>5005</v>
      </c>
      <c r="B6" s="14" t="s">
        <v>67</v>
      </c>
      <c r="C6" s="155"/>
      <c r="D6" s="156"/>
      <c r="E6" s="155"/>
      <c r="F6" s="156"/>
      <c r="G6" s="155"/>
      <c r="H6" s="159">
        <f>G6/G$5</f>
        <v>0</v>
      </c>
      <c r="I6" s="162"/>
      <c r="J6" s="159">
        <f>I6/I$5</f>
        <v>0</v>
      </c>
      <c r="K6" s="16"/>
      <c r="L6" s="159">
        <f>K6/K$5</f>
        <v>0</v>
      </c>
      <c r="M6" s="157"/>
      <c r="N6" s="159">
        <f>M6/M$5</f>
        <v>0</v>
      </c>
      <c r="O6" s="19"/>
      <c r="P6" s="159">
        <f>O6/O$5</f>
        <v>0</v>
      </c>
      <c r="Q6" s="19"/>
      <c r="R6" s="159">
        <f>Q6/Q$5</f>
        <v>0</v>
      </c>
      <c r="S6" s="16"/>
      <c r="T6" s="159">
        <f>S6/S$5</f>
        <v>0</v>
      </c>
      <c r="U6" s="155"/>
      <c r="V6" s="159">
        <f>U6/U$5</f>
        <v>0</v>
      </c>
      <c r="W6" s="155"/>
      <c r="X6" s="159">
        <f>W6/W$5</f>
        <v>0</v>
      </c>
      <c r="Y6" s="158"/>
      <c r="Z6" s="159">
        <f>Y6/Y$5</f>
        <v>0</v>
      </c>
      <c r="AA6" s="59">
        <f t="shared" si="0"/>
        <v>0</v>
      </c>
      <c r="AB6" s="159">
        <f>AA6/AA$5</f>
        <v>0</v>
      </c>
      <c r="AC6" s="160">
        <f t="shared" ref="AC6:AC69" si="1">AA6/12</f>
        <v>0</v>
      </c>
      <c r="AD6" s="159">
        <f>AC6/AC$5</f>
        <v>0</v>
      </c>
      <c r="AE6" s="44">
        <f t="shared" ref="AE6:AE69" si="2">C6+E6+G6+I6+K6+M6+O6+Q6+S6+U6+W6+Y6</f>
        <v>0</v>
      </c>
      <c r="AF6" s="21">
        <f t="shared" ref="AF6:AF69" si="3">AA6-AE6</f>
        <v>0</v>
      </c>
    </row>
    <row r="7" spans="1:34" s="1" customFormat="1">
      <c r="A7" s="11">
        <v>5051</v>
      </c>
      <c r="B7" s="161" t="s">
        <v>74</v>
      </c>
      <c r="C7" s="155"/>
      <c r="D7" s="159">
        <f>C7/C$5</f>
        <v>0</v>
      </c>
      <c r="E7" s="162"/>
      <c r="F7" s="159">
        <f>E7/E$5</f>
        <v>0</v>
      </c>
      <c r="G7" s="163"/>
      <c r="H7" s="159">
        <f t="shared" ref="H7:H11" si="4">G7/G$5</f>
        <v>0</v>
      </c>
      <c r="I7" s="163"/>
      <c r="J7" s="159">
        <f t="shared" ref="J7:J11" si="5">I7/I$5</f>
        <v>0</v>
      </c>
      <c r="K7" s="19"/>
      <c r="L7" s="159">
        <f t="shared" ref="L7:L11" si="6">K7/K$5</f>
        <v>0</v>
      </c>
      <c r="M7" s="162"/>
      <c r="N7" s="159">
        <f t="shared" ref="N7:T11" si="7">M7/M$5</f>
        <v>0</v>
      </c>
      <c r="O7" s="19"/>
      <c r="P7" s="159">
        <f t="shared" si="7"/>
        <v>0</v>
      </c>
      <c r="Q7" s="19"/>
      <c r="R7" s="159">
        <f t="shared" si="7"/>
        <v>0</v>
      </c>
      <c r="S7" s="19"/>
      <c r="T7" s="159">
        <f t="shared" si="7"/>
        <v>0</v>
      </c>
      <c r="U7" s="155"/>
      <c r="V7" s="159">
        <f t="shared" ref="V7:V11" si="8">U7/U$5</f>
        <v>0</v>
      </c>
      <c r="W7" s="155"/>
      <c r="X7" s="159">
        <f t="shared" ref="X7:X11" si="9">W7/W$5</f>
        <v>0</v>
      </c>
      <c r="Y7" s="155"/>
      <c r="Z7" s="159">
        <f t="shared" ref="Z7:Z11" si="10">Y7/Y$5</f>
        <v>0</v>
      </c>
      <c r="AA7" s="59">
        <f t="shared" si="0"/>
        <v>0</v>
      </c>
      <c r="AB7" s="159">
        <f t="shared" ref="AB7:AB11" si="11">AA7/AA$5</f>
        <v>0</v>
      </c>
      <c r="AC7" s="160">
        <f t="shared" si="1"/>
        <v>0</v>
      </c>
      <c r="AD7" s="159">
        <f t="shared" ref="AD7:AD11" si="12">AC7/AC$5</f>
        <v>0</v>
      </c>
      <c r="AE7" s="44">
        <f t="shared" si="2"/>
        <v>0</v>
      </c>
      <c r="AF7" s="21">
        <f t="shared" si="3"/>
        <v>0</v>
      </c>
    </row>
    <row r="8" spans="1:34" s="1" customFormat="1">
      <c r="A8" s="1">
        <v>5052</v>
      </c>
      <c r="B8" s="1" t="s">
        <v>90</v>
      </c>
      <c r="C8" s="19">
        <v>0</v>
      </c>
      <c r="D8" s="159">
        <f>C8/C$5</f>
        <v>0</v>
      </c>
      <c r="E8" s="19">
        <v>0</v>
      </c>
      <c r="F8" s="159">
        <f>E8/E$5</f>
        <v>0</v>
      </c>
      <c r="G8" s="19">
        <v>0</v>
      </c>
      <c r="H8" s="159">
        <f t="shared" si="4"/>
        <v>0</v>
      </c>
      <c r="I8" s="19">
        <v>0</v>
      </c>
      <c r="J8" s="159">
        <f t="shared" si="5"/>
        <v>0</v>
      </c>
      <c r="K8" s="19">
        <v>0</v>
      </c>
      <c r="L8" s="159">
        <f t="shared" si="6"/>
        <v>0</v>
      </c>
      <c r="M8" s="19">
        <v>0</v>
      </c>
      <c r="N8" s="159">
        <f t="shared" si="7"/>
        <v>0</v>
      </c>
      <c r="O8" s="19">
        <v>0</v>
      </c>
      <c r="P8" s="159">
        <f t="shared" si="7"/>
        <v>0</v>
      </c>
      <c r="Q8" s="19">
        <v>0</v>
      </c>
      <c r="R8" s="159">
        <f t="shared" si="7"/>
        <v>0</v>
      </c>
      <c r="S8" s="19">
        <v>0</v>
      </c>
      <c r="T8" s="159">
        <f t="shared" si="7"/>
        <v>0</v>
      </c>
      <c r="U8" s="19">
        <v>0</v>
      </c>
      <c r="V8" s="159">
        <f t="shared" si="8"/>
        <v>0</v>
      </c>
      <c r="W8" s="19">
        <v>0</v>
      </c>
      <c r="X8" s="159">
        <f t="shared" si="9"/>
        <v>0</v>
      </c>
      <c r="Y8" s="19">
        <v>0</v>
      </c>
      <c r="Z8" s="159">
        <f t="shared" si="10"/>
        <v>0</v>
      </c>
      <c r="AA8" s="59">
        <f t="shared" si="0"/>
        <v>0</v>
      </c>
      <c r="AB8" s="159">
        <f t="shared" si="11"/>
        <v>0</v>
      </c>
      <c r="AC8" s="160">
        <f t="shared" si="1"/>
        <v>0</v>
      </c>
      <c r="AD8" s="159">
        <f t="shared" si="12"/>
        <v>0</v>
      </c>
      <c r="AE8" s="44">
        <f t="shared" si="2"/>
        <v>0</v>
      </c>
      <c r="AF8" s="21">
        <f t="shared" si="3"/>
        <v>0</v>
      </c>
    </row>
    <row r="9" spans="1:34" s="1" customFormat="1">
      <c r="A9" s="1">
        <v>5101</v>
      </c>
      <c r="B9" s="14" t="s">
        <v>46</v>
      </c>
      <c r="C9" s="124">
        <v>0</v>
      </c>
      <c r="D9" s="159">
        <f>C9/C$5</f>
        <v>0</v>
      </c>
      <c r="E9" s="124">
        <v>0</v>
      </c>
      <c r="F9" s="28">
        <f t="shared" ref="F9" si="13">E9/E$5</f>
        <v>0</v>
      </c>
      <c r="G9" s="124">
        <v>0</v>
      </c>
      <c r="H9" s="159">
        <f t="shared" ref="H9" si="14">G9/G$5</f>
        <v>0</v>
      </c>
      <c r="I9" s="124">
        <v>0</v>
      </c>
      <c r="J9" s="159">
        <f t="shared" ref="J9" si="15">I9/I$5</f>
        <v>0</v>
      </c>
      <c r="K9" s="124">
        <v>0</v>
      </c>
      <c r="L9" s="28">
        <f t="shared" si="6"/>
        <v>0</v>
      </c>
      <c r="M9" s="124">
        <v>0</v>
      </c>
      <c r="N9" s="28">
        <f t="shared" si="7"/>
        <v>0</v>
      </c>
      <c r="O9" s="124">
        <v>0</v>
      </c>
      <c r="P9" s="28">
        <f t="shared" si="7"/>
        <v>0</v>
      </c>
      <c r="Q9" s="124">
        <v>0</v>
      </c>
      <c r="R9" s="28">
        <f t="shared" si="7"/>
        <v>0</v>
      </c>
      <c r="S9" s="124">
        <v>0</v>
      </c>
      <c r="T9" s="159">
        <f t="shared" si="7"/>
        <v>0</v>
      </c>
      <c r="U9" s="124">
        <v>0</v>
      </c>
      <c r="V9" s="159">
        <f t="shared" si="8"/>
        <v>0</v>
      </c>
      <c r="W9" s="124">
        <v>0</v>
      </c>
      <c r="X9" s="159">
        <f t="shared" si="9"/>
        <v>0</v>
      </c>
      <c r="Y9" s="124">
        <v>0</v>
      </c>
      <c r="Z9" s="159">
        <f t="shared" si="10"/>
        <v>0</v>
      </c>
      <c r="AA9" s="306">
        <f>C9+E9+G9+I9+K9+M9+O9+Q9+S9+U9+W9+Y9</f>
        <v>0</v>
      </c>
      <c r="AB9" s="159">
        <f t="shared" si="11"/>
        <v>0</v>
      </c>
      <c r="AC9" s="160">
        <f t="shared" si="1"/>
        <v>0</v>
      </c>
      <c r="AD9" s="159">
        <f t="shared" si="12"/>
        <v>0</v>
      </c>
      <c r="AE9" s="44">
        <f>C9+E9+G9+I9+K9+M9+O9+Q9+S9+U9+W9+Y9</f>
        <v>0</v>
      </c>
      <c r="AF9" s="21">
        <f t="shared" si="3"/>
        <v>0</v>
      </c>
    </row>
    <row r="10" spans="1:34" s="1" customFormat="1">
      <c r="A10" s="1">
        <v>5102</v>
      </c>
      <c r="B10" s="1" t="s">
        <v>159</v>
      </c>
      <c r="C10" s="19"/>
      <c r="D10" s="28">
        <f t="shared" ref="D10:D11" si="16">C10/C$5</f>
        <v>0</v>
      </c>
      <c r="E10" s="304"/>
      <c r="F10" s="28">
        <f t="shared" ref="F10:F11" si="17">E10/E$5</f>
        <v>0</v>
      </c>
      <c r="G10" s="16"/>
      <c r="H10" s="159">
        <f t="shared" si="4"/>
        <v>0</v>
      </c>
      <c r="I10" s="16"/>
      <c r="J10" s="159">
        <f t="shared" si="5"/>
        <v>0</v>
      </c>
      <c r="K10" s="19"/>
      <c r="L10" s="159">
        <f t="shared" si="6"/>
        <v>0</v>
      </c>
      <c r="M10" s="162"/>
      <c r="N10" s="159">
        <f t="shared" si="7"/>
        <v>0</v>
      </c>
      <c r="O10" s="16"/>
      <c r="P10" s="159">
        <f t="shared" si="7"/>
        <v>0</v>
      </c>
      <c r="Q10" s="16"/>
      <c r="R10" s="159">
        <f t="shared" si="7"/>
        <v>0</v>
      </c>
      <c r="S10" s="16"/>
      <c r="T10" s="159">
        <f t="shared" si="7"/>
        <v>0</v>
      </c>
      <c r="U10" s="16"/>
      <c r="V10" s="159">
        <f t="shared" si="8"/>
        <v>0</v>
      </c>
      <c r="W10" s="16"/>
      <c r="X10" s="159">
        <f t="shared" si="9"/>
        <v>0</v>
      </c>
      <c r="Y10" s="16">
        <v>0</v>
      </c>
      <c r="Z10" s="159">
        <f t="shared" si="10"/>
        <v>0</v>
      </c>
      <c r="AA10" s="59">
        <f t="shared" si="0"/>
        <v>0</v>
      </c>
      <c r="AB10" s="159">
        <f t="shared" si="11"/>
        <v>0</v>
      </c>
      <c r="AC10" s="160">
        <f t="shared" si="1"/>
        <v>0</v>
      </c>
      <c r="AD10" s="159">
        <f t="shared" si="12"/>
        <v>0</v>
      </c>
      <c r="AE10" s="44">
        <f t="shared" si="2"/>
        <v>0</v>
      </c>
      <c r="AF10" s="21">
        <f t="shared" si="3"/>
        <v>0</v>
      </c>
    </row>
    <row r="11" spans="1:34" s="1" customFormat="1">
      <c r="A11" s="1">
        <v>5103</v>
      </c>
      <c r="B11" s="1" t="s">
        <v>63</v>
      </c>
      <c r="C11" s="16"/>
      <c r="D11" s="28">
        <f t="shared" si="16"/>
        <v>0</v>
      </c>
      <c r="E11" s="17"/>
      <c r="F11" s="28">
        <f t="shared" si="17"/>
        <v>0</v>
      </c>
      <c r="G11" s="16"/>
      <c r="H11" s="159">
        <f t="shared" si="4"/>
        <v>0</v>
      </c>
      <c r="I11" s="16"/>
      <c r="J11" s="159">
        <f t="shared" si="5"/>
        <v>0</v>
      </c>
      <c r="K11" s="16"/>
      <c r="L11" s="159">
        <f t="shared" si="6"/>
        <v>0</v>
      </c>
      <c r="M11" s="17"/>
      <c r="N11" s="159">
        <f t="shared" si="7"/>
        <v>0</v>
      </c>
      <c r="O11" s="16"/>
      <c r="P11" s="159">
        <f t="shared" si="7"/>
        <v>0</v>
      </c>
      <c r="Q11" s="16"/>
      <c r="R11" s="159">
        <f t="shared" si="7"/>
        <v>0</v>
      </c>
      <c r="S11" s="16"/>
      <c r="T11" s="159">
        <f t="shared" si="7"/>
        <v>0</v>
      </c>
      <c r="U11" s="16"/>
      <c r="V11" s="159">
        <f t="shared" si="8"/>
        <v>0</v>
      </c>
      <c r="W11" s="16"/>
      <c r="X11" s="159">
        <f t="shared" si="9"/>
        <v>0</v>
      </c>
      <c r="Y11" s="16"/>
      <c r="Z11" s="159">
        <f t="shared" si="10"/>
        <v>0</v>
      </c>
      <c r="AA11" s="59">
        <f t="shared" si="0"/>
        <v>0</v>
      </c>
      <c r="AB11" s="159">
        <f t="shared" si="11"/>
        <v>0</v>
      </c>
      <c r="AC11" s="160">
        <f t="shared" si="1"/>
        <v>0</v>
      </c>
      <c r="AD11" s="159">
        <f t="shared" si="12"/>
        <v>0</v>
      </c>
      <c r="AE11" s="44">
        <f t="shared" si="2"/>
        <v>0</v>
      </c>
      <c r="AF11" s="21">
        <f t="shared" si="3"/>
        <v>0</v>
      </c>
    </row>
    <row r="12" spans="1:34" s="1" customFormat="1" ht="15.75" thickBot="1">
      <c r="A12" s="164">
        <v>5149</v>
      </c>
      <c r="B12" s="165" t="s">
        <v>66</v>
      </c>
      <c r="C12" s="166">
        <f>C5+C6-C7-C8-C9-C10+C11</f>
        <v>2160201.5441160342</v>
      </c>
      <c r="D12" s="167">
        <v>1</v>
      </c>
      <c r="E12" s="166">
        <f>E5+E6-E7-E8-E9-E10+E11</f>
        <v>1680639.9634250789</v>
      </c>
      <c r="F12" s="167">
        <v>1</v>
      </c>
      <c r="G12" s="168">
        <f>G5+G6-G7-G8-G9-G10+G11</f>
        <v>2787807.9161524619</v>
      </c>
      <c r="H12" s="167">
        <v>1</v>
      </c>
      <c r="I12" s="166">
        <f>I5+I6-I7-I8-I9-I10+I11</f>
        <v>2461618.4049517303</v>
      </c>
      <c r="J12" s="167">
        <v>1</v>
      </c>
      <c r="K12" s="166">
        <f>K5+K6-K7-K8-K9-K10+K11</f>
        <v>2251400.7985499576</v>
      </c>
      <c r="L12" s="167">
        <v>1</v>
      </c>
      <c r="M12" s="166">
        <f>M5+M6-M7-M8-M9-M10+M11</f>
        <v>3192455.1612022901</v>
      </c>
      <c r="N12" s="167">
        <v>1</v>
      </c>
      <c r="O12" s="166">
        <f>O5+O6-O7-O8-O9-O10+O11</f>
        <v>2021176.9506798009</v>
      </c>
      <c r="P12" s="167">
        <v>1</v>
      </c>
      <c r="Q12" s="166">
        <f>Q5+Q6-Q7-Q8-Q9-Q10+Q11</f>
        <v>2509774.324365017</v>
      </c>
      <c r="R12" s="167">
        <v>1</v>
      </c>
      <c r="S12" s="166">
        <f>S5+S6-S7-S8-S9-S10+S11</f>
        <v>2528294.6412565736</v>
      </c>
      <c r="T12" s="167">
        <v>1</v>
      </c>
      <c r="U12" s="166">
        <f>U5+U6-U7-U8-U9-U10+U11</f>
        <v>2005459.8173527401</v>
      </c>
      <c r="V12" s="167">
        <v>1</v>
      </c>
      <c r="W12" s="166">
        <f>W5+W6-W7-W8-W9-W10+W11</f>
        <v>2040438.103557033</v>
      </c>
      <c r="X12" s="167">
        <v>1</v>
      </c>
      <c r="Y12" s="166">
        <f>Y5+Y6-Y7-Y8-Y9-Y10+Y11</f>
        <v>3082415.3308377075</v>
      </c>
      <c r="Z12" s="167">
        <v>1</v>
      </c>
      <c r="AA12" s="23">
        <f>AA5+AA6-AA7-AA8-AA9-AA10+AA11</f>
        <v>28721682.956446424</v>
      </c>
      <c r="AB12" s="167">
        <v>1</v>
      </c>
      <c r="AC12" s="23">
        <f t="shared" si="1"/>
        <v>2393473.5797038688</v>
      </c>
      <c r="AD12" s="167">
        <v>1</v>
      </c>
      <c r="AE12" s="44">
        <f t="shared" si="2"/>
        <v>28721682.956446424</v>
      </c>
      <c r="AF12" s="21">
        <f t="shared" si="3"/>
        <v>0</v>
      </c>
    </row>
    <row r="13" spans="1:34" s="1" customFormat="1" ht="15.75" thickTop="1">
      <c r="A13" s="1">
        <v>5151</v>
      </c>
      <c r="B13" s="14" t="s">
        <v>47</v>
      </c>
      <c r="C13" s="158"/>
      <c r="D13" s="156"/>
      <c r="E13" s="157"/>
      <c r="F13" s="156"/>
      <c r="G13" s="158"/>
      <c r="H13" s="156"/>
      <c r="I13" s="158">
        <v>0.02</v>
      </c>
      <c r="J13" s="156"/>
      <c r="K13" s="16"/>
      <c r="L13" s="156"/>
      <c r="M13" s="157">
        <v>-0.01</v>
      </c>
      <c r="N13" s="156"/>
      <c r="O13" s="16"/>
      <c r="P13" s="156"/>
      <c r="Q13" s="16"/>
      <c r="R13" s="156"/>
      <c r="S13" s="16"/>
      <c r="T13" s="156"/>
      <c r="U13" s="158"/>
      <c r="V13" s="156"/>
      <c r="W13" s="158"/>
      <c r="X13" s="156"/>
      <c r="Y13" s="158"/>
      <c r="Z13" s="156"/>
      <c r="AA13" s="59">
        <f>C13+E13+G13+I13+K13+M13+O13+Q13+S13+U13+W13+Y13</f>
        <v>0.01</v>
      </c>
      <c r="AB13" s="156"/>
      <c r="AC13" s="160">
        <f t="shared" si="1"/>
        <v>8.3333333333333339E-4</v>
      </c>
      <c r="AD13" s="156"/>
      <c r="AE13" s="44">
        <f t="shared" si="2"/>
        <v>0.01</v>
      </c>
      <c r="AF13" s="21">
        <f t="shared" si="3"/>
        <v>0</v>
      </c>
    </row>
    <row r="14" spans="1:34" s="1" customFormat="1">
      <c r="A14" s="1">
        <v>5152</v>
      </c>
      <c r="B14" s="14" t="s">
        <v>48</v>
      </c>
      <c r="C14" s="158"/>
      <c r="D14" s="156"/>
      <c r="E14" s="157"/>
      <c r="F14" s="156"/>
      <c r="G14" s="158"/>
      <c r="H14" s="156"/>
      <c r="I14" s="158"/>
      <c r="J14" s="156"/>
      <c r="K14" s="16"/>
      <c r="L14" s="156"/>
      <c r="M14" s="157"/>
      <c r="N14" s="156"/>
      <c r="O14" s="16"/>
      <c r="P14" s="156"/>
      <c r="Q14" s="16"/>
      <c r="R14" s="156"/>
      <c r="S14" s="16"/>
      <c r="T14" s="156"/>
      <c r="U14" s="158"/>
      <c r="V14" s="156"/>
      <c r="W14" s="158"/>
      <c r="X14" s="156"/>
      <c r="Y14" s="158"/>
      <c r="Z14" s="156"/>
      <c r="AA14" s="59">
        <f>C14+E14+G14+I14+K14+M14+O14+Q14+S14+U14+W14+Y14</f>
        <v>0</v>
      </c>
      <c r="AB14" s="156"/>
      <c r="AC14" s="160">
        <f t="shared" si="1"/>
        <v>0</v>
      </c>
      <c r="AD14" s="156"/>
      <c r="AE14" s="44">
        <f t="shared" si="2"/>
        <v>0</v>
      </c>
      <c r="AF14" s="21">
        <f t="shared" si="3"/>
        <v>0</v>
      </c>
    </row>
    <row r="15" spans="1:34" s="1" customFormat="1">
      <c r="A15" s="169">
        <v>5198</v>
      </c>
      <c r="B15" s="170" t="s">
        <v>96</v>
      </c>
      <c r="C15" s="171">
        <f>C13+C14</f>
        <v>0</v>
      </c>
      <c r="D15" s="172"/>
      <c r="E15" s="173">
        <f>E13+E14</f>
        <v>0</v>
      </c>
      <c r="F15" s="172"/>
      <c r="G15" s="171">
        <f>G13+G14</f>
        <v>0</v>
      </c>
      <c r="H15" s="172"/>
      <c r="I15" s="171">
        <f>I13+I14</f>
        <v>0.02</v>
      </c>
      <c r="J15" s="172"/>
      <c r="K15" s="174">
        <f>K13+K14</f>
        <v>0</v>
      </c>
      <c r="L15" s="172"/>
      <c r="M15" s="173">
        <f>M13+M14</f>
        <v>-0.01</v>
      </c>
      <c r="N15" s="172"/>
      <c r="O15" s="174"/>
      <c r="P15" s="172"/>
      <c r="Q15" s="174"/>
      <c r="R15" s="172"/>
      <c r="S15" s="174"/>
      <c r="T15" s="172"/>
      <c r="U15" s="171">
        <f>U13+U14</f>
        <v>0</v>
      </c>
      <c r="V15" s="172"/>
      <c r="W15" s="171">
        <f>W13+W14</f>
        <v>0</v>
      </c>
      <c r="X15" s="172"/>
      <c r="Y15" s="171">
        <f>Y13+Y14</f>
        <v>0</v>
      </c>
      <c r="Z15" s="172"/>
      <c r="AA15" s="175">
        <f>AA13+AA14</f>
        <v>0.01</v>
      </c>
      <c r="AB15" s="172"/>
      <c r="AC15" s="175">
        <f t="shared" si="1"/>
        <v>8.3333333333333339E-4</v>
      </c>
      <c r="AD15" s="172"/>
      <c r="AE15" s="44">
        <f t="shared" si="2"/>
        <v>0.01</v>
      </c>
      <c r="AF15" s="21">
        <f t="shared" si="3"/>
        <v>0</v>
      </c>
    </row>
    <row r="16" spans="1:34" s="1" customFormat="1" ht="15.75" thickBot="1">
      <c r="A16" s="176">
        <v>5199</v>
      </c>
      <c r="B16" s="177" t="s">
        <v>70</v>
      </c>
      <c r="C16" s="42">
        <f>C12+C15</f>
        <v>2160201.5441160342</v>
      </c>
      <c r="D16" s="178">
        <f>C16/C12</f>
        <v>1</v>
      </c>
      <c r="E16" s="179">
        <f>E12+E15</f>
        <v>1680639.9634250789</v>
      </c>
      <c r="F16" s="178">
        <f>E16/E12</f>
        <v>1</v>
      </c>
      <c r="G16" s="42">
        <f>G12+G15</f>
        <v>2787807.9161524619</v>
      </c>
      <c r="H16" s="178">
        <f>G16/G12</f>
        <v>1</v>
      </c>
      <c r="I16" s="42">
        <f>I12+I15</f>
        <v>2461618.4249517303</v>
      </c>
      <c r="J16" s="178">
        <f>I16/I12</f>
        <v>1.0000000081247362</v>
      </c>
      <c r="K16" s="18">
        <f>K12+K15</f>
        <v>2251400.7985499576</v>
      </c>
      <c r="L16" s="178">
        <f>K16/K12</f>
        <v>1</v>
      </c>
      <c r="M16" s="179">
        <f>M12+M15</f>
        <v>3192455.1512022903</v>
      </c>
      <c r="N16" s="178">
        <f>M16/M12</f>
        <v>0.99999999686761465</v>
      </c>
      <c r="O16" s="179">
        <f>O12+O15</f>
        <v>2021176.9506798009</v>
      </c>
      <c r="P16" s="178">
        <f>O16/O12</f>
        <v>1</v>
      </c>
      <c r="Q16" s="179">
        <f>Q12+Q15</f>
        <v>2509774.324365017</v>
      </c>
      <c r="R16" s="178">
        <f>Q16/Q12</f>
        <v>1</v>
      </c>
      <c r="S16" s="179">
        <f>S12+S15</f>
        <v>2528294.6412565736</v>
      </c>
      <c r="T16" s="178">
        <f>S16/S12</f>
        <v>1</v>
      </c>
      <c r="U16" s="42">
        <f>U12+U15</f>
        <v>2005459.8173527401</v>
      </c>
      <c r="V16" s="178">
        <f>U16/U12</f>
        <v>1</v>
      </c>
      <c r="W16" s="42">
        <f>W12+W15</f>
        <v>2040438.103557033</v>
      </c>
      <c r="X16" s="178">
        <f>W16/W12</f>
        <v>1</v>
      </c>
      <c r="Y16" s="42">
        <f>Y12+Y15</f>
        <v>3082415.3308377075</v>
      </c>
      <c r="Z16" s="178">
        <f>Y16/Y12</f>
        <v>1</v>
      </c>
      <c r="AA16" s="180">
        <f>AA12+AA15</f>
        <v>28721682.966446426</v>
      </c>
      <c r="AB16" s="178">
        <f>AA16/AA12</f>
        <v>1.000000000348169</v>
      </c>
      <c r="AC16" s="181">
        <f t="shared" si="1"/>
        <v>2393473.5805372023</v>
      </c>
      <c r="AD16" s="178">
        <f>AC16/AC12</f>
        <v>1.000000000348169</v>
      </c>
      <c r="AE16" s="44">
        <f t="shared" si="2"/>
        <v>28721682.966446422</v>
      </c>
      <c r="AF16" s="21">
        <f t="shared" si="3"/>
        <v>0</v>
      </c>
      <c r="AH16" s="21" t="s">
        <v>211</v>
      </c>
    </row>
    <row r="17" spans="1:34" s="1" customFormat="1" ht="15.75" thickTop="1">
      <c r="A17" s="10">
        <v>5502</v>
      </c>
      <c r="B17" s="142" t="s">
        <v>49</v>
      </c>
      <c r="C17" s="182">
        <f>C12*47.69%</f>
        <v>1030200.1163889366</v>
      </c>
      <c r="D17" s="28">
        <f>C17/C12</f>
        <v>0.47689999999999999</v>
      </c>
      <c r="E17" s="182">
        <f>E12*41.97%</f>
        <v>705364.59264950559</v>
      </c>
      <c r="F17" s="28">
        <f>E17/E12</f>
        <v>0.41969999999999996</v>
      </c>
      <c r="G17" s="182">
        <f>G12*45.02%</f>
        <v>1255071.1238518385</v>
      </c>
      <c r="H17" s="28">
        <f>G17/G12</f>
        <v>0.45020000000000004</v>
      </c>
      <c r="I17" s="182">
        <f>I12*42.19%</f>
        <v>1038556.805049135</v>
      </c>
      <c r="J17" s="28">
        <f>I17/I12</f>
        <v>0.4219</v>
      </c>
      <c r="K17" s="182">
        <f>K12*39.07%</f>
        <v>879622.29199346842</v>
      </c>
      <c r="L17" s="28">
        <f>K17/K12</f>
        <v>0.39069999999999999</v>
      </c>
      <c r="M17" s="182">
        <f>M12*49.41%</f>
        <v>1577392.0951500514</v>
      </c>
      <c r="N17" s="28">
        <f>M17/M12</f>
        <v>0.49409999999999998</v>
      </c>
      <c r="O17" s="182">
        <f>O12*44.78%</f>
        <v>905083.03851441492</v>
      </c>
      <c r="P17" s="28">
        <f>O17/O12</f>
        <v>0.44780000000000003</v>
      </c>
      <c r="Q17" s="182">
        <f>Q12*44.05%</f>
        <v>1105555.5898827899</v>
      </c>
      <c r="R17" s="28">
        <f>Q17/Q12</f>
        <v>0.44049999999999995</v>
      </c>
      <c r="S17" s="182">
        <f>S12*44.93%</f>
        <v>1135962.7823165786</v>
      </c>
      <c r="T17" s="28">
        <f>S17/S12</f>
        <v>0.44930000000000003</v>
      </c>
      <c r="U17" s="182">
        <f>U12*43.17%</f>
        <v>865757.00315117801</v>
      </c>
      <c r="V17" s="28">
        <f>U17/U12</f>
        <v>0.43170000000000008</v>
      </c>
      <c r="W17" s="182">
        <f>W12*41.95%</f>
        <v>855963.78444217541</v>
      </c>
      <c r="X17" s="28">
        <f>W17/W12</f>
        <v>0.41950000000000004</v>
      </c>
      <c r="Y17" s="182">
        <f>Y12*47.7%</f>
        <v>1470312.1128095866</v>
      </c>
      <c r="Z17" s="28">
        <f>Y17/Y12</f>
        <v>0.47700000000000004</v>
      </c>
      <c r="AA17" s="59">
        <f>C17+E17+G17+I17+K17+M17+O17+Q17+S17+U17+W17+Y17</f>
        <v>12824841.33619966</v>
      </c>
      <c r="AB17" s="28">
        <f>AA17/AA12</f>
        <v>0.44652123469391597</v>
      </c>
      <c r="AC17" s="160">
        <f t="shared" si="1"/>
        <v>1068736.7780166382</v>
      </c>
      <c r="AD17" s="28">
        <f>AC17/AC12</f>
        <v>0.44652123469391591</v>
      </c>
      <c r="AE17" s="44">
        <f t="shared" si="2"/>
        <v>12824841.33619966</v>
      </c>
      <c r="AF17" s="21">
        <f t="shared" si="3"/>
        <v>0</v>
      </c>
      <c r="AH17" s="44"/>
    </row>
    <row r="18" spans="1:34" s="1" customFormat="1">
      <c r="A18" s="3">
        <v>5503</v>
      </c>
      <c r="B18" s="184" t="s">
        <v>50</v>
      </c>
      <c r="C18" s="182"/>
      <c r="D18" s="49"/>
      <c r="E18" s="158"/>
      <c r="F18" s="49"/>
      <c r="G18" s="157"/>
      <c r="H18" s="49"/>
      <c r="I18" s="16"/>
      <c r="J18" s="49"/>
      <c r="K18" s="158"/>
      <c r="L18" s="49"/>
      <c r="M18" s="158"/>
      <c r="N18" s="49"/>
      <c r="O18" s="16"/>
      <c r="P18" s="49"/>
      <c r="Q18" s="16"/>
      <c r="R18" s="49"/>
      <c r="S18" s="16"/>
      <c r="T18" s="49"/>
      <c r="U18" s="158"/>
      <c r="V18" s="49"/>
      <c r="W18" s="185"/>
      <c r="X18" s="49"/>
      <c r="Y18" s="158"/>
      <c r="Z18" s="49"/>
      <c r="AA18" s="59">
        <f>C18+E18+G18+I18+K18+M18+O18+Q18+S18+U18+W18+Y18</f>
        <v>0</v>
      </c>
      <c r="AB18" s="49"/>
      <c r="AC18" s="160">
        <f t="shared" si="1"/>
        <v>0</v>
      </c>
      <c r="AD18" s="49"/>
      <c r="AE18" s="44">
        <f t="shared" si="2"/>
        <v>0</v>
      </c>
      <c r="AF18" s="21">
        <f t="shared" si="3"/>
        <v>0</v>
      </c>
    </row>
    <row r="19" spans="1:34" s="1" customFormat="1">
      <c r="A19" s="3">
        <v>5504</v>
      </c>
      <c r="B19" s="184" t="s">
        <v>51</v>
      </c>
      <c r="C19" s="182"/>
      <c r="D19" s="28">
        <f>C19/C12</f>
        <v>0</v>
      </c>
      <c r="E19" s="182"/>
      <c r="F19" s="28">
        <f>E19/E12</f>
        <v>0</v>
      </c>
      <c r="G19" s="182"/>
      <c r="H19" s="28">
        <f>G19/G12</f>
        <v>0</v>
      </c>
      <c r="I19" s="182"/>
      <c r="J19" s="28">
        <f>I19/I12</f>
        <v>0</v>
      </c>
      <c r="K19" s="182"/>
      <c r="L19" s="28">
        <f>K19/K12</f>
        <v>0</v>
      </c>
      <c r="M19" s="182"/>
      <c r="N19" s="28">
        <f>M19/M12</f>
        <v>0</v>
      </c>
      <c r="O19" s="182"/>
      <c r="P19" s="28"/>
      <c r="Q19" s="182"/>
      <c r="R19" s="28"/>
      <c r="S19" s="182"/>
      <c r="T19" s="28">
        <f>S19/S12</f>
        <v>0</v>
      </c>
      <c r="U19" s="182">
        <v>0</v>
      </c>
      <c r="V19" s="28">
        <f>U19/U12</f>
        <v>0</v>
      </c>
      <c r="W19" s="182">
        <v>0</v>
      </c>
      <c r="X19" s="28">
        <f>W19/W12</f>
        <v>0</v>
      </c>
      <c r="Y19" s="182">
        <v>0</v>
      </c>
      <c r="Z19" s="28">
        <f>Y19/Y12</f>
        <v>0</v>
      </c>
      <c r="AA19" s="59">
        <f>C19+E19+G19+I19+K19+M19+O19+Q19+S19+U19+W19+Y19</f>
        <v>0</v>
      </c>
      <c r="AB19" s="28">
        <f>AA19/AA12</f>
        <v>0</v>
      </c>
      <c r="AC19" s="160">
        <f t="shared" si="1"/>
        <v>0</v>
      </c>
      <c r="AD19" s="28">
        <f>AC19/AC12</f>
        <v>0</v>
      </c>
      <c r="AE19" s="44">
        <f t="shared" si="2"/>
        <v>0</v>
      </c>
      <c r="AF19" s="21">
        <f t="shared" si="3"/>
        <v>0</v>
      </c>
      <c r="AH19" s="44" t="s">
        <v>211</v>
      </c>
    </row>
    <row r="20" spans="1:34" s="1" customFormat="1">
      <c r="A20" s="3">
        <v>5505</v>
      </c>
      <c r="B20" s="184" t="s">
        <v>52</v>
      </c>
      <c r="C20" s="182"/>
      <c r="D20" s="49"/>
      <c r="E20" s="158"/>
      <c r="F20" s="49"/>
      <c r="G20" s="157"/>
      <c r="H20" s="49"/>
      <c r="I20" s="16"/>
      <c r="J20" s="49"/>
      <c r="K20" s="158"/>
      <c r="L20" s="49"/>
      <c r="M20" s="158"/>
      <c r="N20" s="49"/>
      <c r="O20" s="16"/>
      <c r="P20" s="49"/>
      <c r="Q20" s="16"/>
      <c r="R20" s="49"/>
      <c r="S20" s="16"/>
      <c r="T20" s="49"/>
      <c r="U20" s="158"/>
      <c r="V20" s="49"/>
      <c r="W20" s="185"/>
      <c r="X20" s="49"/>
      <c r="Y20" s="158"/>
      <c r="Z20" s="49"/>
      <c r="AA20" s="59">
        <f>C20+E20+G20+I20+K20+M20+O20+Q20+S20+U20+W20+Y20</f>
        <v>0</v>
      </c>
      <c r="AB20" s="49"/>
      <c r="AC20" s="160">
        <f t="shared" si="1"/>
        <v>0</v>
      </c>
      <c r="AD20" s="49"/>
      <c r="AE20" s="44">
        <f t="shared" si="2"/>
        <v>0</v>
      </c>
      <c r="AF20" s="21">
        <f t="shared" si="3"/>
        <v>0</v>
      </c>
    </row>
    <row r="21" spans="1:34" s="1" customFormat="1" ht="15.75" thickBot="1">
      <c r="A21" s="186">
        <v>5599</v>
      </c>
      <c r="B21" s="187" t="s">
        <v>97</v>
      </c>
      <c r="C21" s="168">
        <f>SUM(C17:C20)</f>
        <v>1030200.1163889366</v>
      </c>
      <c r="D21" s="167">
        <f>C21/C12</f>
        <v>0.47689999999999999</v>
      </c>
      <c r="E21" s="166">
        <f>SUM(E17:E20)</f>
        <v>705364.59264950559</v>
      </c>
      <c r="F21" s="167">
        <f>E21/E12</f>
        <v>0.41969999999999996</v>
      </c>
      <c r="G21" s="168">
        <f>SUM(G17:G20)</f>
        <v>1255071.1238518385</v>
      </c>
      <c r="H21" s="167">
        <f>G21/G12</f>
        <v>0.45020000000000004</v>
      </c>
      <c r="I21" s="168">
        <f>SUM(I17:I20)</f>
        <v>1038556.805049135</v>
      </c>
      <c r="J21" s="167">
        <f>I21/I12</f>
        <v>0.4219</v>
      </c>
      <c r="K21" s="188">
        <f>SUM(K17:K20)</f>
        <v>879622.29199346842</v>
      </c>
      <c r="L21" s="167">
        <f>K21/K12</f>
        <v>0.39069999999999999</v>
      </c>
      <c r="M21" s="166">
        <f>SUM(M17:M20)</f>
        <v>1577392.0951500514</v>
      </c>
      <c r="N21" s="167">
        <f>M21/M12</f>
        <v>0.49409999999999998</v>
      </c>
      <c r="O21" s="166">
        <f>SUM(O17:O20)</f>
        <v>905083.03851441492</v>
      </c>
      <c r="P21" s="167">
        <f>O21/O12</f>
        <v>0.44780000000000003</v>
      </c>
      <c r="Q21" s="166">
        <f>SUM(Q17:Q20)</f>
        <v>1105555.5898827899</v>
      </c>
      <c r="R21" s="167">
        <f>Q21/Q12</f>
        <v>0.44049999999999995</v>
      </c>
      <c r="S21" s="166">
        <f>SUM(S17:S20)</f>
        <v>1135962.7823165786</v>
      </c>
      <c r="T21" s="167">
        <f>S21/S12</f>
        <v>0.44930000000000003</v>
      </c>
      <c r="U21" s="168">
        <f>SUM(U17:U20)</f>
        <v>865757.00315117801</v>
      </c>
      <c r="V21" s="167">
        <f>U21/U12</f>
        <v>0.43170000000000008</v>
      </c>
      <c r="W21" s="168">
        <f>SUM(W17:W20)</f>
        <v>855963.78444217541</v>
      </c>
      <c r="X21" s="167">
        <f>W21/W12</f>
        <v>0.41950000000000004</v>
      </c>
      <c r="Y21" s="168">
        <f>SUM(Y17:Y20)</f>
        <v>1470312.1128095866</v>
      </c>
      <c r="Z21" s="167">
        <f>Y21/Y12</f>
        <v>0.47700000000000004</v>
      </c>
      <c r="AA21" s="189">
        <f>SUM(AA17:AA20)</f>
        <v>12824841.33619966</v>
      </c>
      <c r="AB21" s="167">
        <f>AA21/AA12</f>
        <v>0.44652123469391597</v>
      </c>
      <c r="AC21" s="23">
        <f t="shared" si="1"/>
        <v>1068736.7780166382</v>
      </c>
      <c r="AD21" s="167">
        <f>AC21/AC12</f>
        <v>0.44652123469391591</v>
      </c>
      <c r="AE21" s="44">
        <f t="shared" si="2"/>
        <v>12824841.33619966</v>
      </c>
      <c r="AF21" s="21">
        <f t="shared" si="3"/>
        <v>0</v>
      </c>
    </row>
    <row r="22" spans="1:34" s="1" customFormat="1" ht="15.75" thickTop="1">
      <c r="A22" s="190">
        <v>5601</v>
      </c>
      <c r="B22" s="3" t="s">
        <v>53</v>
      </c>
      <c r="C22" s="16"/>
      <c r="D22" s="28">
        <f>C22/C12</f>
        <v>0</v>
      </c>
      <c r="E22" s="16"/>
      <c r="F22" s="28">
        <f>E22/E12</f>
        <v>0</v>
      </c>
      <c r="G22" s="16"/>
      <c r="H22" s="28">
        <f>G22/G12</f>
        <v>0</v>
      </c>
      <c r="I22" s="16"/>
      <c r="J22" s="28">
        <f>I22/I12</f>
        <v>0</v>
      </c>
      <c r="K22" s="16"/>
      <c r="L22" s="28">
        <f>K22/K12</f>
        <v>0</v>
      </c>
      <c r="M22" s="16"/>
      <c r="N22" s="28">
        <f>M22/M12</f>
        <v>0</v>
      </c>
      <c r="O22" s="16"/>
      <c r="P22" s="28"/>
      <c r="Q22" s="16"/>
      <c r="R22" s="28"/>
      <c r="S22" s="16"/>
      <c r="T22" s="28">
        <f>S22/S12</f>
        <v>0</v>
      </c>
      <c r="U22" s="16"/>
      <c r="V22" s="28">
        <f>U22/U12</f>
        <v>0</v>
      </c>
      <c r="W22" s="16"/>
      <c r="X22" s="28">
        <f>W22/W12</f>
        <v>0</v>
      </c>
      <c r="Y22" s="16"/>
      <c r="Z22" s="28">
        <f>Y22/Y12</f>
        <v>0</v>
      </c>
      <c r="AA22" s="59">
        <f t="shared" ref="AA22:AA34" si="18">C22+E22+G22+I22+K22+M22+O22+Q22+S22+U22+W22+Y22</f>
        <v>0</v>
      </c>
      <c r="AB22" s="28">
        <f>AA22/AA12</f>
        <v>0</v>
      </c>
      <c r="AC22" s="160">
        <f t="shared" si="1"/>
        <v>0</v>
      </c>
      <c r="AD22" s="28">
        <f>AC22/AC12</f>
        <v>0</v>
      </c>
      <c r="AE22" s="44">
        <f t="shared" si="2"/>
        <v>0</v>
      </c>
      <c r="AF22" s="21">
        <f t="shared" si="3"/>
        <v>0</v>
      </c>
    </row>
    <row r="23" spans="1:34" s="1" customFormat="1">
      <c r="A23" s="3">
        <v>5602</v>
      </c>
      <c r="B23" s="3" t="s">
        <v>54</v>
      </c>
      <c r="C23" s="16"/>
      <c r="D23" s="28">
        <f>C23/C12</f>
        <v>0</v>
      </c>
      <c r="E23" s="16"/>
      <c r="F23" s="28">
        <f>E23/E12</f>
        <v>0</v>
      </c>
      <c r="G23" s="16"/>
      <c r="H23" s="28">
        <f>G23/G12</f>
        <v>0</v>
      </c>
      <c r="I23" s="16"/>
      <c r="J23" s="28">
        <f>I23/I12</f>
        <v>0</v>
      </c>
      <c r="K23" s="16"/>
      <c r="L23" s="28">
        <f>K23/K12</f>
        <v>0</v>
      </c>
      <c r="M23" s="16"/>
      <c r="N23" s="28">
        <f>M23/M12</f>
        <v>0</v>
      </c>
      <c r="O23" s="16"/>
      <c r="P23" s="28"/>
      <c r="Q23" s="16"/>
      <c r="R23" s="28"/>
      <c r="S23" s="16"/>
      <c r="T23" s="28">
        <f>S23/S12</f>
        <v>0</v>
      </c>
      <c r="U23" s="16"/>
      <c r="V23" s="28">
        <f>U23/U12</f>
        <v>0</v>
      </c>
      <c r="W23" s="16"/>
      <c r="X23" s="28">
        <f>W23/W12</f>
        <v>0</v>
      </c>
      <c r="Y23" s="16"/>
      <c r="Z23" s="28">
        <f>Y23/Y12</f>
        <v>0</v>
      </c>
      <c r="AA23" s="59">
        <f t="shared" si="18"/>
        <v>0</v>
      </c>
      <c r="AB23" s="28">
        <f>AA23/AA12</f>
        <v>0</v>
      </c>
      <c r="AC23" s="160">
        <f t="shared" si="1"/>
        <v>0</v>
      </c>
      <c r="AD23" s="28">
        <f>AC23/AC12</f>
        <v>0</v>
      </c>
      <c r="AE23" s="44">
        <f t="shared" si="2"/>
        <v>0</v>
      </c>
      <c r="AF23" s="21">
        <f t="shared" si="3"/>
        <v>0</v>
      </c>
    </row>
    <row r="24" spans="1:34" s="1" customFormat="1">
      <c r="A24" s="3">
        <v>5603</v>
      </c>
      <c r="B24" s="3" t="s">
        <v>55</v>
      </c>
      <c r="C24" s="16"/>
      <c r="D24" s="28">
        <f>C24/C12</f>
        <v>0</v>
      </c>
      <c r="E24" s="16"/>
      <c r="F24" s="28">
        <f>E24/E12</f>
        <v>0</v>
      </c>
      <c r="G24" s="16"/>
      <c r="H24" s="28">
        <f>G24/G12</f>
        <v>0</v>
      </c>
      <c r="I24" s="16"/>
      <c r="J24" s="28">
        <f>I24/I12</f>
        <v>0</v>
      </c>
      <c r="K24" s="16"/>
      <c r="L24" s="28">
        <f>K24/K12</f>
        <v>0</v>
      </c>
      <c r="M24" s="16"/>
      <c r="N24" s="28">
        <f>M24/M12</f>
        <v>0</v>
      </c>
      <c r="O24" s="16"/>
      <c r="P24" s="28"/>
      <c r="Q24" s="16"/>
      <c r="R24" s="28"/>
      <c r="S24" s="16"/>
      <c r="T24" s="28">
        <f>S24/S12</f>
        <v>0</v>
      </c>
      <c r="U24" s="16"/>
      <c r="V24" s="28">
        <f>U24/U12</f>
        <v>0</v>
      </c>
      <c r="W24" s="16"/>
      <c r="X24" s="28">
        <f>W24/W12</f>
        <v>0</v>
      </c>
      <c r="Y24" s="16"/>
      <c r="Z24" s="28">
        <f>Y24/Y12</f>
        <v>0</v>
      </c>
      <c r="AA24" s="59">
        <f t="shared" si="18"/>
        <v>0</v>
      </c>
      <c r="AB24" s="28">
        <f>AA24/AA12</f>
        <v>0</v>
      </c>
      <c r="AC24" s="160">
        <f t="shared" si="1"/>
        <v>0</v>
      </c>
      <c r="AD24" s="28">
        <f>AC24/AC12</f>
        <v>0</v>
      </c>
      <c r="AE24" s="44">
        <f t="shared" si="2"/>
        <v>0</v>
      </c>
      <c r="AF24" s="21">
        <f t="shared" si="3"/>
        <v>0</v>
      </c>
    </row>
    <row r="25" spans="1:34" s="1" customFormat="1">
      <c r="A25" s="3">
        <v>5604</v>
      </c>
      <c r="B25" s="3" t="s">
        <v>56</v>
      </c>
      <c r="C25" s="16">
        <v>150</v>
      </c>
      <c r="D25" s="28">
        <f>C25/C12</f>
        <v>6.9437965364190488E-5</v>
      </c>
      <c r="E25" s="16">
        <v>150</v>
      </c>
      <c r="F25" s="28">
        <f>E25/E12</f>
        <v>8.9251715575241846E-5</v>
      </c>
      <c r="G25" s="16">
        <v>150</v>
      </c>
      <c r="H25" s="28">
        <f>G25/G12</f>
        <v>5.3805715641635575E-5</v>
      </c>
      <c r="I25" s="16">
        <v>150</v>
      </c>
      <c r="J25" s="28">
        <f>I25/I12</f>
        <v>6.0935520996375286E-5</v>
      </c>
      <c r="K25" s="16">
        <v>150</v>
      </c>
      <c r="L25" s="28">
        <f>K25/K12</f>
        <v>6.6625187348520683E-5</v>
      </c>
      <c r="M25" s="16">
        <v>150</v>
      </c>
      <c r="N25" s="28">
        <f>M25/M12</f>
        <v>4.698578129551848E-5</v>
      </c>
      <c r="O25" s="16">
        <v>150</v>
      </c>
      <c r="P25" s="28"/>
      <c r="Q25" s="16">
        <v>150</v>
      </c>
      <c r="R25" s="28"/>
      <c r="S25" s="16">
        <v>150</v>
      </c>
      <c r="T25" s="28">
        <f>S25/S12</f>
        <v>5.9328528230969686E-5</v>
      </c>
      <c r="U25" s="16">
        <v>150</v>
      </c>
      <c r="V25" s="28">
        <f>U25/U12</f>
        <v>7.4795814257701742E-5</v>
      </c>
      <c r="W25" s="16">
        <v>150</v>
      </c>
      <c r="X25" s="28">
        <f>W25/W12</f>
        <v>7.3513624225361016E-5</v>
      </c>
      <c r="Y25" s="16">
        <v>150</v>
      </c>
      <c r="Z25" s="28">
        <f>Y25/Y12</f>
        <v>4.8663137150707889E-5</v>
      </c>
      <c r="AA25" s="59">
        <f t="shared" si="18"/>
        <v>1800</v>
      </c>
      <c r="AB25" s="28">
        <f>AA25/AA12</f>
        <v>6.2670422298356299E-5</v>
      </c>
      <c r="AC25" s="160">
        <f t="shared" si="1"/>
        <v>150</v>
      </c>
      <c r="AD25" s="28">
        <f>AC25/AC12</f>
        <v>6.2670422298356299E-5</v>
      </c>
      <c r="AE25" s="44">
        <f t="shared" si="2"/>
        <v>1800</v>
      </c>
      <c r="AF25" s="21">
        <f t="shared" si="3"/>
        <v>0</v>
      </c>
    </row>
    <row r="26" spans="1:34" s="1" customFormat="1">
      <c r="A26" s="3">
        <v>5605</v>
      </c>
      <c r="B26" s="3" t="s">
        <v>14</v>
      </c>
      <c r="C26" s="16"/>
      <c r="D26" s="28">
        <f>C26/C12</f>
        <v>0</v>
      </c>
      <c r="E26" s="16"/>
      <c r="F26" s="28">
        <f>E26/E12</f>
        <v>0</v>
      </c>
      <c r="G26" s="16"/>
      <c r="H26" s="28">
        <f>G26/G12</f>
        <v>0</v>
      </c>
      <c r="I26" s="16"/>
      <c r="J26" s="28">
        <f>I26/I12</f>
        <v>0</v>
      </c>
      <c r="K26" s="16"/>
      <c r="L26" s="28">
        <f>K26/K12</f>
        <v>0</v>
      </c>
      <c r="M26" s="16"/>
      <c r="N26" s="28">
        <f>M26/M12</f>
        <v>0</v>
      </c>
      <c r="O26" s="16"/>
      <c r="P26" s="28"/>
      <c r="Q26" s="16"/>
      <c r="R26" s="28"/>
      <c r="S26" s="16"/>
      <c r="T26" s="28">
        <f>S26/S12</f>
        <v>0</v>
      </c>
      <c r="U26" s="16"/>
      <c r="V26" s="28">
        <f>U26/U12</f>
        <v>0</v>
      </c>
      <c r="W26" s="16"/>
      <c r="X26" s="28">
        <f>W26/W12</f>
        <v>0</v>
      </c>
      <c r="Y26" s="16"/>
      <c r="Z26" s="28">
        <f>Y26/Y12</f>
        <v>0</v>
      </c>
      <c r="AA26" s="59">
        <f t="shared" si="18"/>
        <v>0</v>
      </c>
      <c r="AB26" s="28">
        <f>AA26/AA12</f>
        <v>0</v>
      </c>
      <c r="AC26" s="160">
        <f t="shared" si="1"/>
        <v>0</v>
      </c>
      <c r="AD26" s="28">
        <f>AC26/AC12</f>
        <v>0</v>
      </c>
      <c r="AE26" s="44">
        <f t="shared" si="2"/>
        <v>0</v>
      </c>
      <c r="AF26" s="21">
        <f t="shared" si="3"/>
        <v>0</v>
      </c>
    </row>
    <row r="27" spans="1:34" s="1" customFormat="1">
      <c r="A27" s="3">
        <v>5606</v>
      </c>
      <c r="B27" s="3" t="s">
        <v>77</v>
      </c>
      <c r="C27" s="16">
        <f>C12*0.3%</f>
        <v>6480.6046323481023</v>
      </c>
      <c r="D27" s="28">
        <f>C27/C12</f>
        <v>3.0000000000000001E-3</v>
      </c>
      <c r="E27" s="16">
        <f>E12*0.3%</f>
        <v>5041.9198902752369</v>
      </c>
      <c r="F27" s="28">
        <f>E27/E12</f>
        <v>3.0000000000000001E-3</v>
      </c>
      <c r="G27" s="16">
        <f>G12*0.3%</f>
        <v>8363.423748457386</v>
      </c>
      <c r="H27" s="28">
        <f>G27/G12</f>
        <v>3.0000000000000001E-3</v>
      </c>
      <c r="I27" s="16">
        <f>I12*0.3%</f>
        <v>7384.8552148551908</v>
      </c>
      <c r="J27" s="28">
        <f>I27/I12</f>
        <v>3.0000000000000001E-3</v>
      </c>
      <c r="K27" s="16">
        <f>K12*0.3%</f>
        <v>6754.2023956498724</v>
      </c>
      <c r="L27" s="28">
        <f>K27/K12</f>
        <v>3.0000000000000001E-3</v>
      </c>
      <c r="M27" s="16">
        <f>M12*0.3%</f>
        <v>9577.3654836068708</v>
      </c>
      <c r="N27" s="28">
        <f>M27/M12</f>
        <v>3.0000000000000001E-3</v>
      </c>
      <c r="O27" s="16">
        <f>O12*0.3%</f>
        <v>6063.5308520394028</v>
      </c>
      <c r="P27" s="28">
        <f>O27/O12</f>
        <v>3.0000000000000001E-3</v>
      </c>
      <c r="Q27" s="16">
        <f>Q12*0.3%</f>
        <v>7529.3229730950516</v>
      </c>
      <c r="R27" s="28">
        <f>Q27/Q12</f>
        <v>3.0000000000000001E-3</v>
      </c>
      <c r="S27" s="16">
        <f>S12*0.3%</f>
        <v>7584.8839237697212</v>
      </c>
      <c r="T27" s="28">
        <f>S27/S12</f>
        <v>3.0000000000000001E-3</v>
      </c>
      <c r="U27" s="16">
        <f>U12*0.3%</f>
        <v>6016.3794520582205</v>
      </c>
      <c r="V27" s="28">
        <f>U27/U12</f>
        <v>3.0000000000000001E-3</v>
      </c>
      <c r="W27" s="16">
        <f>W12*0.3%</f>
        <v>6121.3143106710995</v>
      </c>
      <c r="X27" s="28">
        <f>W27/W12</f>
        <v>3.0000000000000001E-3</v>
      </c>
      <c r="Y27" s="16">
        <f>Y12*0.3%</f>
        <v>9247.2459925131225</v>
      </c>
      <c r="Z27" s="28">
        <f>Y27/Y12</f>
        <v>3.0000000000000001E-3</v>
      </c>
      <c r="AA27" s="59">
        <f t="shared" si="18"/>
        <v>86165.048869339269</v>
      </c>
      <c r="AB27" s="28">
        <f>AA27/AA12</f>
        <v>3.0000000000000001E-3</v>
      </c>
      <c r="AC27" s="160">
        <f t="shared" si="1"/>
        <v>7180.4207391116061</v>
      </c>
      <c r="AD27" s="28">
        <f>AC27/AC12</f>
        <v>2.9999999999999996E-3</v>
      </c>
      <c r="AE27" s="44">
        <f t="shared" si="2"/>
        <v>86165.048869339269</v>
      </c>
      <c r="AF27" s="21">
        <f t="shared" si="3"/>
        <v>0</v>
      </c>
    </row>
    <row r="28" spans="1:34" s="1" customFormat="1">
      <c r="A28" s="3">
        <v>5607</v>
      </c>
      <c r="B28" s="184" t="s">
        <v>57</v>
      </c>
      <c r="C28" s="158"/>
      <c r="D28" s="191">
        <f>C28/C12</f>
        <v>0</v>
      </c>
      <c r="E28" s="157"/>
      <c r="F28" s="191">
        <f>E28/E12</f>
        <v>0</v>
      </c>
      <c r="G28" s="158"/>
      <c r="H28" s="191">
        <f>G28/G12</f>
        <v>0</v>
      </c>
      <c r="I28" s="158"/>
      <c r="J28" s="191">
        <f>I28/I12</f>
        <v>0</v>
      </c>
      <c r="K28" s="16"/>
      <c r="L28" s="191">
        <f>K28/K12</f>
        <v>0</v>
      </c>
      <c r="M28" s="157"/>
      <c r="N28" s="191">
        <f>M28/M12</f>
        <v>0</v>
      </c>
      <c r="O28" s="16"/>
      <c r="P28" s="191"/>
      <c r="Q28" s="16"/>
      <c r="R28" s="191"/>
      <c r="S28" s="16"/>
      <c r="T28" s="191">
        <f>S28/S12</f>
        <v>0</v>
      </c>
      <c r="U28" s="158"/>
      <c r="V28" s="191">
        <f>U28/U12</f>
        <v>0</v>
      </c>
      <c r="W28" s="158"/>
      <c r="X28" s="191">
        <f>W28/W12</f>
        <v>0</v>
      </c>
      <c r="Y28" s="158"/>
      <c r="Z28" s="191">
        <f>Y28/Y12</f>
        <v>0</v>
      </c>
      <c r="AA28" s="59">
        <f t="shared" si="18"/>
        <v>0</v>
      </c>
      <c r="AB28" s="191">
        <f>AA28/AA12</f>
        <v>0</v>
      </c>
      <c r="AC28" s="160">
        <f t="shared" si="1"/>
        <v>0</v>
      </c>
      <c r="AD28" s="191">
        <f>AC28/AC12</f>
        <v>0</v>
      </c>
      <c r="AE28" s="44">
        <f t="shared" si="2"/>
        <v>0</v>
      </c>
      <c r="AF28" s="21">
        <f t="shared" si="3"/>
        <v>0</v>
      </c>
    </row>
    <row r="29" spans="1:34" s="1" customFormat="1">
      <c r="A29" s="3">
        <v>5608</v>
      </c>
      <c r="B29" s="184" t="s">
        <v>58</v>
      </c>
      <c r="C29" s="158"/>
      <c r="D29" s="191">
        <f>C29/C12</f>
        <v>0</v>
      </c>
      <c r="E29" s="157"/>
      <c r="F29" s="191">
        <f>E29/E12</f>
        <v>0</v>
      </c>
      <c r="G29" s="158"/>
      <c r="H29" s="191">
        <f>G29/G12</f>
        <v>0</v>
      </c>
      <c r="I29" s="158"/>
      <c r="J29" s="191">
        <f>I29/I12</f>
        <v>0</v>
      </c>
      <c r="K29" s="16"/>
      <c r="L29" s="191">
        <f>K29/K12</f>
        <v>0</v>
      </c>
      <c r="M29" s="157"/>
      <c r="N29" s="191">
        <f>M29/M12</f>
        <v>0</v>
      </c>
      <c r="O29" s="16"/>
      <c r="P29" s="191"/>
      <c r="Q29" s="16"/>
      <c r="R29" s="191"/>
      <c r="S29" s="16"/>
      <c r="T29" s="191">
        <f>S29/S12</f>
        <v>0</v>
      </c>
      <c r="U29" s="158"/>
      <c r="V29" s="191">
        <f>U29/U12</f>
        <v>0</v>
      </c>
      <c r="W29" s="158"/>
      <c r="X29" s="191">
        <f>W29/W12</f>
        <v>0</v>
      </c>
      <c r="Y29" s="158"/>
      <c r="Z29" s="191">
        <f>Y29/Y12</f>
        <v>0</v>
      </c>
      <c r="AA29" s="59">
        <f t="shared" si="18"/>
        <v>0</v>
      </c>
      <c r="AB29" s="191">
        <f>AA29/AA12</f>
        <v>0</v>
      </c>
      <c r="AC29" s="160">
        <f t="shared" si="1"/>
        <v>0</v>
      </c>
      <c r="AD29" s="191">
        <f>AC29/AC12</f>
        <v>0</v>
      </c>
      <c r="AE29" s="44">
        <f t="shared" si="2"/>
        <v>0</v>
      </c>
      <c r="AF29" s="21">
        <f t="shared" si="3"/>
        <v>0</v>
      </c>
    </row>
    <row r="30" spans="1:34" s="1" customFormat="1">
      <c r="A30" s="3">
        <v>5609</v>
      </c>
      <c r="B30" s="184" t="s">
        <v>59</v>
      </c>
      <c r="C30" s="158"/>
      <c r="D30" s="191">
        <f>C30/C12</f>
        <v>0</v>
      </c>
      <c r="E30" s="157"/>
      <c r="F30" s="191">
        <f>E30/E12</f>
        <v>0</v>
      </c>
      <c r="G30" s="158"/>
      <c r="H30" s="191">
        <f>G30/G12</f>
        <v>0</v>
      </c>
      <c r="I30" s="158"/>
      <c r="J30" s="191">
        <f>I30/I12</f>
        <v>0</v>
      </c>
      <c r="K30" s="16"/>
      <c r="L30" s="191">
        <f>K30/K12</f>
        <v>0</v>
      </c>
      <c r="M30" s="157"/>
      <c r="N30" s="191">
        <f>M30/M12</f>
        <v>0</v>
      </c>
      <c r="O30" s="16"/>
      <c r="P30" s="191"/>
      <c r="Q30" s="16"/>
      <c r="R30" s="191"/>
      <c r="S30" s="16"/>
      <c r="T30" s="191">
        <f>S30/S12</f>
        <v>0</v>
      </c>
      <c r="U30" s="158"/>
      <c r="V30" s="191">
        <f>U30/U12</f>
        <v>0</v>
      </c>
      <c r="W30" s="158"/>
      <c r="X30" s="191">
        <f>W30/W12</f>
        <v>0</v>
      </c>
      <c r="Y30" s="158"/>
      <c r="Z30" s="191">
        <f>Y30/Y12</f>
        <v>0</v>
      </c>
      <c r="AA30" s="59">
        <f t="shared" si="18"/>
        <v>0</v>
      </c>
      <c r="AB30" s="191">
        <f>AA30/AA12</f>
        <v>0</v>
      </c>
      <c r="AC30" s="160">
        <f t="shared" si="1"/>
        <v>0</v>
      </c>
      <c r="AD30" s="191">
        <f>AC30/AC12</f>
        <v>0</v>
      </c>
      <c r="AE30" s="44">
        <f t="shared" si="2"/>
        <v>0</v>
      </c>
      <c r="AF30" s="21">
        <f t="shared" si="3"/>
        <v>0</v>
      </c>
    </row>
    <row r="31" spans="1:34" s="1" customFormat="1">
      <c r="A31" s="3">
        <v>5610</v>
      </c>
      <c r="B31" s="184" t="s">
        <v>60</v>
      </c>
      <c r="C31" s="158"/>
      <c r="D31" s="191">
        <f>C31/C12</f>
        <v>0</v>
      </c>
      <c r="E31" s="157"/>
      <c r="F31" s="191">
        <f>E31/E12</f>
        <v>0</v>
      </c>
      <c r="G31" s="158"/>
      <c r="H31" s="191">
        <f>G31/G12</f>
        <v>0</v>
      </c>
      <c r="I31" s="158"/>
      <c r="J31" s="191">
        <f>I31/I12</f>
        <v>0</v>
      </c>
      <c r="K31" s="16"/>
      <c r="L31" s="191">
        <f>K31/K12</f>
        <v>0</v>
      </c>
      <c r="M31" s="157"/>
      <c r="N31" s="191">
        <f>M31/M12</f>
        <v>0</v>
      </c>
      <c r="O31" s="16"/>
      <c r="P31" s="191"/>
      <c r="Q31" s="16"/>
      <c r="R31" s="191"/>
      <c r="S31" s="16"/>
      <c r="T31" s="191">
        <f>S31/S12</f>
        <v>0</v>
      </c>
      <c r="U31" s="158"/>
      <c r="V31" s="191">
        <f>U31/U12</f>
        <v>0</v>
      </c>
      <c r="W31" s="158"/>
      <c r="X31" s="191">
        <f>W31/W12</f>
        <v>0</v>
      </c>
      <c r="Y31" s="158"/>
      <c r="Z31" s="191">
        <f>Y31/Y12</f>
        <v>0</v>
      </c>
      <c r="AA31" s="59">
        <f t="shared" si="18"/>
        <v>0</v>
      </c>
      <c r="AB31" s="191">
        <f>AA31/AA12</f>
        <v>0</v>
      </c>
      <c r="AC31" s="160">
        <f t="shared" si="1"/>
        <v>0</v>
      </c>
      <c r="AD31" s="191">
        <f>AC31/AC12</f>
        <v>0</v>
      </c>
      <c r="AE31" s="44">
        <f t="shared" si="2"/>
        <v>0</v>
      </c>
      <c r="AF31" s="21">
        <f t="shared" si="3"/>
        <v>0</v>
      </c>
    </row>
    <row r="32" spans="1:34" s="1" customFormat="1">
      <c r="A32" s="3">
        <v>5611</v>
      </c>
      <c r="B32" s="184" t="s">
        <v>98</v>
      </c>
      <c r="C32" s="158"/>
      <c r="D32" s="191">
        <f>C32/C12</f>
        <v>0</v>
      </c>
      <c r="E32" s="157"/>
      <c r="F32" s="191">
        <f>E32/E12</f>
        <v>0</v>
      </c>
      <c r="G32" s="158"/>
      <c r="H32" s="191">
        <f>G32/G12</f>
        <v>0</v>
      </c>
      <c r="I32" s="158"/>
      <c r="J32" s="191">
        <f>I32/I12</f>
        <v>0</v>
      </c>
      <c r="K32" s="16"/>
      <c r="L32" s="191">
        <f>K32/K12</f>
        <v>0</v>
      </c>
      <c r="M32" s="157"/>
      <c r="N32" s="191">
        <f>M32/M12</f>
        <v>0</v>
      </c>
      <c r="O32" s="16"/>
      <c r="P32" s="191"/>
      <c r="Q32" s="16"/>
      <c r="R32" s="191"/>
      <c r="S32" s="16"/>
      <c r="T32" s="191">
        <f>S32/S12</f>
        <v>0</v>
      </c>
      <c r="U32" s="158"/>
      <c r="V32" s="191">
        <f>U32/U12</f>
        <v>0</v>
      </c>
      <c r="W32" s="158"/>
      <c r="X32" s="191">
        <f>W32/W12</f>
        <v>0</v>
      </c>
      <c r="Y32" s="158"/>
      <c r="Z32" s="191">
        <f>Y32/Y12</f>
        <v>0</v>
      </c>
      <c r="AA32" s="59">
        <f t="shared" si="18"/>
        <v>0</v>
      </c>
      <c r="AB32" s="191">
        <f>AA32/AA12</f>
        <v>0</v>
      </c>
      <c r="AC32" s="160">
        <f t="shared" si="1"/>
        <v>0</v>
      </c>
      <c r="AD32" s="191">
        <f>AC32/AC12</f>
        <v>0</v>
      </c>
      <c r="AE32" s="44">
        <f t="shared" si="2"/>
        <v>0</v>
      </c>
      <c r="AF32" s="21">
        <f t="shared" si="3"/>
        <v>0</v>
      </c>
    </row>
    <row r="33" spans="1:37" s="1" customFormat="1">
      <c r="A33" s="3">
        <v>5612</v>
      </c>
      <c r="B33" s="184" t="s">
        <v>61</v>
      </c>
      <c r="C33" s="158"/>
      <c r="D33" s="191">
        <f>C33/C12</f>
        <v>0</v>
      </c>
      <c r="E33" s="157"/>
      <c r="F33" s="191">
        <f>E33/E12</f>
        <v>0</v>
      </c>
      <c r="G33" s="158"/>
      <c r="H33" s="191">
        <f>G33/G12</f>
        <v>0</v>
      </c>
      <c r="I33" s="158"/>
      <c r="J33" s="191">
        <f>I33/I12</f>
        <v>0</v>
      </c>
      <c r="K33" s="16"/>
      <c r="L33" s="191">
        <f>K33/K12</f>
        <v>0</v>
      </c>
      <c r="M33" s="157"/>
      <c r="N33" s="191">
        <f>M33/M12</f>
        <v>0</v>
      </c>
      <c r="O33" s="16"/>
      <c r="P33" s="191"/>
      <c r="Q33" s="16"/>
      <c r="R33" s="191"/>
      <c r="S33" s="16"/>
      <c r="T33" s="191">
        <f>S33/S12</f>
        <v>0</v>
      </c>
      <c r="U33" s="158"/>
      <c r="V33" s="191">
        <f>U33/U12</f>
        <v>0</v>
      </c>
      <c r="W33" s="158"/>
      <c r="X33" s="191">
        <f>W33/W12</f>
        <v>0</v>
      </c>
      <c r="Y33" s="158"/>
      <c r="Z33" s="191">
        <f>Y33/Y12</f>
        <v>0</v>
      </c>
      <c r="AA33" s="59">
        <f t="shared" si="18"/>
        <v>0</v>
      </c>
      <c r="AB33" s="191">
        <f>AA33/AA12</f>
        <v>0</v>
      </c>
      <c r="AC33" s="160">
        <f t="shared" si="1"/>
        <v>0</v>
      </c>
      <c r="AD33" s="191">
        <f>AC33/AC12</f>
        <v>0</v>
      </c>
      <c r="AE33" s="44">
        <f t="shared" si="2"/>
        <v>0</v>
      </c>
      <c r="AF33" s="21">
        <f t="shared" si="3"/>
        <v>0</v>
      </c>
    </row>
    <row r="34" spans="1:37" s="1" customFormat="1">
      <c r="A34" s="192">
        <v>5613</v>
      </c>
      <c r="B34" s="193" t="s">
        <v>62</v>
      </c>
      <c r="C34" s="194"/>
      <c r="D34" s="195">
        <f>C34/C12</f>
        <v>0</v>
      </c>
      <c r="E34" s="196"/>
      <c r="F34" s="195">
        <f>E34/E12</f>
        <v>0</v>
      </c>
      <c r="G34" s="194"/>
      <c r="H34" s="195">
        <f>G34/G12</f>
        <v>0</v>
      </c>
      <c r="I34" s="194"/>
      <c r="J34" s="195">
        <f>I34/I12</f>
        <v>0</v>
      </c>
      <c r="K34" s="197"/>
      <c r="L34" s="195">
        <f>K34/K12</f>
        <v>0</v>
      </c>
      <c r="M34" s="196"/>
      <c r="N34" s="195">
        <f>M34/M12</f>
        <v>0</v>
      </c>
      <c r="O34" s="197"/>
      <c r="P34" s="195"/>
      <c r="Q34" s="197"/>
      <c r="R34" s="195"/>
      <c r="S34" s="197"/>
      <c r="T34" s="195">
        <f>S34/S12</f>
        <v>0</v>
      </c>
      <c r="U34" s="194"/>
      <c r="V34" s="195">
        <f>U34/U12</f>
        <v>0</v>
      </c>
      <c r="W34" s="194"/>
      <c r="X34" s="195">
        <f>W34/W12</f>
        <v>0</v>
      </c>
      <c r="Y34" s="194"/>
      <c r="Z34" s="195">
        <f>Y34/Y12</f>
        <v>0</v>
      </c>
      <c r="AA34" s="198">
        <f t="shared" si="18"/>
        <v>0</v>
      </c>
      <c r="AB34" s="195">
        <f>AA34/AA12</f>
        <v>0</v>
      </c>
      <c r="AC34" s="160">
        <f t="shared" si="1"/>
        <v>0</v>
      </c>
      <c r="AD34" s="195">
        <f>AC34/AC12</f>
        <v>0</v>
      </c>
      <c r="AE34" s="44">
        <f t="shared" si="2"/>
        <v>0</v>
      </c>
      <c r="AF34" s="21">
        <f t="shared" si="3"/>
        <v>0</v>
      </c>
    </row>
    <row r="35" spans="1:37" s="1" customFormat="1">
      <c r="A35" s="199">
        <v>5699</v>
      </c>
      <c r="B35" s="200" t="s">
        <v>99</v>
      </c>
      <c r="C35" s="201">
        <f>SUM(C22:C34)</f>
        <v>6630.6046323481023</v>
      </c>
      <c r="D35" s="202">
        <f>C35/C12</f>
        <v>3.0694379653641904E-3</v>
      </c>
      <c r="E35" s="203">
        <f>SUM(E22:E34)</f>
        <v>5191.9198902752369</v>
      </c>
      <c r="F35" s="202">
        <f>E35/E12</f>
        <v>3.0892517155752417E-3</v>
      </c>
      <c r="G35" s="204">
        <f>SUM(G22:G34)</f>
        <v>8513.423748457386</v>
      </c>
      <c r="H35" s="202">
        <f>G35/G12</f>
        <v>3.0538057156416355E-3</v>
      </c>
      <c r="I35" s="204">
        <f>SUM(I22:I34)</f>
        <v>7534.8552148551908</v>
      </c>
      <c r="J35" s="202">
        <f>I35/I12</f>
        <v>3.0609355209963753E-3</v>
      </c>
      <c r="K35" s="205">
        <f>SUM(K22:K34)</f>
        <v>6904.2023956498724</v>
      </c>
      <c r="L35" s="202">
        <f>K35/K12</f>
        <v>3.0666251873485207E-3</v>
      </c>
      <c r="M35" s="203">
        <f>SUM(M22:M34)</f>
        <v>9727.3654836068708</v>
      </c>
      <c r="N35" s="202">
        <f>M35/M12</f>
        <v>3.0469857812955186E-3</v>
      </c>
      <c r="O35" s="203">
        <f>SUM(O22:O34)</f>
        <v>6213.5308520394028</v>
      </c>
      <c r="P35" s="202">
        <f>O35/O12</f>
        <v>3.0742141849329665E-3</v>
      </c>
      <c r="Q35" s="203">
        <f>SUM(Q22:Q34)</f>
        <v>7679.3229730950516</v>
      </c>
      <c r="R35" s="202">
        <f>Q35/Q12</f>
        <v>3.0597663298025614E-3</v>
      </c>
      <c r="S35" s="203">
        <f>SUM(S22:S34)</f>
        <v>7734.8839237697212</v>
      </c>
      <c r="T35" s="202">
        <f>S35/S12</f>
        <v>3.0593285282309699E-3</v>
      </c>
      <c r="U35" s="204">
        <f>SUM(U22:U34)</f>
        <v>6166.3794520582205</v>
      </c>
      <c r="V35" s="202">
        <f>U35/U12</f>
        <v>3.074795814257702E-3</v>
      </c>
      <c r="W35" s="204">
        <f>SUM(W22:W34)</f>
        <v>6271.3143106710995</v>
      </c>
      <c r="X35" s="202">
        <f>W35/W12</f>
        <v>3.0735136242253614E-3</v>
      </c>
      <c r="Y35" s="204">
        <f>SUM(Y22:Y34)</f>
        <v>9397.2459925131225</v>
      </c>
      <c r="Z35" s="202">
        <f>Y35/Y12</f>
        <v>3.048663137150708E-3</v>
      </c>
      <c r="AA35" s="206">
        <f>SUM(AA22:AA34)</f>
        <v>87965.048869339269</v>
      </c>
      <c r="AB35" s="202">
        <f>AA35/AA12</f>
        <v>3.062670422298356E-3</v>
      </c>
      <c r="AC35" s="207">
        <f t="shared" si="1"/>
        <v>7330.4207391116061</v>
      </c>
      <c r="AD35" s="202">
        <f>AC35/AC12</f>
        <v>3.062670422298356E-3</v>
      </c>
      <c r="AE35" s="44">
        <f t="shared" si="2"/>
        <v>87965.048869339269</v>
      </c>
      <c r="AF35" s="21">
        <f t="shared" si="3"/>
        <v>0</v>
      </c>
    </row>
    <row r="36" spans="1:37" s="1" customFormat="1">
      <c r="A36" s="208">
        <v>5999</v>
      </c>
      <c r="B36" s="209" t="s">
        <v>100</v>
      </c>
      <c r="C36" s="210">
        <f>C21+C35</f>
        <v>1036830.7210212847</v>
      </c>
      <c r="D36" s="211">
        <f>C36/C12</f>
        <v>0.47996943796536412</v>
      </c>
      <c r="E36" s="212">
        <f>E21+E35</f>
        <v>710556.51253978082</v>
      </c>
      <c r="F36" s="211">
        <f>E36/E12</f>
        <v>0.42278925171557524</v>
      </c>
      <c r="G36" s="210">
        <f>G21+G35</f>
        <v>1263584.5476002959</v>
      </c>
      <c r="H36" s="211">
        <f>G36/G12</f>
        <v>0.45325380571564167</v>
      </c>
      <c r="I36" s="210">
        <f>I21+I35</f>
        <v>1046091.6602639902</v>
      </c>
      <c r="J36" s="211">
        <f>I36/I12</f>
        <v>0.42496093552099634</v>
      </c>
      <c r="K36" s="213">
        <f>K21+K35</f>
        <v>886526.49438911828</v>
      </c>
      <c r="L36" s="211">
        <f>K36/K12</f>
        <v>0.39376662518734851</v>
      </c>
      <c r="M36" s="212">
        <f>M21+M35</f>
        <v>1587119.4606336583</v>
      </c>
      <c r="N36" s="211">
        <f>M36/M12</f>
        <v>0.49714698578129551</v>
      </c>
      <c r="O36" s="212">
        <f>O21+O35</f>
        <v>911296.56936645438</v>
      </c>
      <c r="P36" s="211">
        <f>O36/O12</f>
        <v>0.45087421418493301</v>
      </c>
      <c r="Q36" s="212">
        <f>Q21+Q35</f>
        <v>1113234.912855885</v>
      </c>
      <c r="R36" s="211">
        <f>Q36/Q12</f>
        <v>0.44355976632980254</v>
      </c>
      <c r="S36" s="212">
        <f>S21+S35</f>
        <v>1143697.6662403482</v>
      </c>
      <c r="T36" s="211">
        <f>S36/S12</f>
        <v>0.45235932852823096</v>
      </c>
      <c r="U36" s="210">
        <f>U21+U35</f>
        <v>871923.38260323624</v>
      </c>
      <c r="V36" s="211">
        <f>U36/U12</f>
        <v>0.43477479581425776</v>
      </c>
      <c r="W36" s="210">
        <f>W21+W35</f>
        <v>862235.09875284648</v>
      </c>
      <c r="X36" s="211">
        <f>W36/W12</f>
        <v>0.42257351362422541</v>
      </c>
      <c r="Y36" s="210">
        <f>Y21+Y35</f>
        <v>1479709.3588020997</v>
      </c>
      <c r="Z36" s="211">
        <f>Y36/Y12</f>
        <v>0.48004866313715072</v>
      </c>
      <c r="AA36" s="64">
        <f>AA21+AA35</f>
        <v>12912806.385069</v>
      </c>
      <c r="AB36" s="211">
        <f>AA36/AA12</f>
        <v>0.44958390511621432</v>
      </c>
      <c r="AC36" s="214">
        <f t="shared" si="1"/>
        <v>1076067.19875575</v>
      </c>
      <c r="AD36" s="211">
        <f>AC36/AC12</f>
        <v>0.44958390511621432</v>
      </c>
      <c r="AE36" s="44">
        <f t="shared" si="2"/>
        <v>12912806.385068998</v>
      </c>
      <c r="AF36" s="21">
        <f t="shared" si="3"/>
        <v>0</v>
      </c>
    </row>
    <row r="37" spans="1:37" s="1" customFormat="1" ht="15.75" thickBot="1">
      <c r="A37" s="7"/>
      <c r="B37" s="215" t="s">
        <v>68</v>
      </c>
      <c r="C37" s="42">
        <f>(C16-C36)</f>
        <v>1123370.8230947494</v>
      </c>
      <c r="D37" s="131">
        <f>C37/C12</f>
        <v>0.52003056203463582</v>
      </c>
      <c r="E37" s="179">
        <f>(E16-E36)</f>
        <v>970083.45088529808</v>
      </c>
      <c r="F37" s="131">
        <f>E37/E12</f>
        <v>0.57721074828442476</v>
      </c>
      <c r="G37" s="42">
        <f>(G16-G36)</f>
        <v>1524223.368552166</v>
      </c>
      <c r="H37" s="131">
        <f>G37/G12</f>
        <v>0.54674619428435833</v>
      </c>
      <c r="I37" s="42">
        <f>(I16-I36)</f>
        <v>1415526.7646877402</v>
      </c>
      <c r="J37" s="131">
        <f>I37/I12</f>
        <v>0.57503907260373988</v>
      </c>
      <c r="K37" s="18">
        <f>(K16-K36)</f>
        <v>1364874.3041608394</v>
      </c>
      <c r="L37" s="131">
        <f>K37/K12</f>
        <v>0.60623337481265149</v>
      </c>
      <c r="M37" s="179">
        <f>(M16-M36)</f>
        <v>1605335.690568632</v>
      </c>
      <c r="N37" s="131">
        <f>M37/M12</f>
        <v>0.50285301108631919</v>
      </c>
      <c r="O37" s="179">
        <f>(O16-O36)</f>
        <v>1109880.3813133466</v>
      </c>
      <c r="P37" s="131">
        <f>O37/O12</f>
        <v>0.54912578581506699</v>
      </c>
      <c r="Q37" s="179">
        <f>(Q16-Q36)</f>
        <v>1396539.411509132</v>
      </c>
      <c r="R37" s="131">
        <f>Q37/Q12</f>
        <v>0.55644023367019746</v>
      </c>
      <c r="S37" s="179">
        <f>(S16-S36)</f>
        <v>1384596.9750162254</v>
      </c>
      <c r="T37" s="131">
        <f>S37/S12</f>
        <v>0.54764067147176898</v>
      </c>
      <c r="U37" s="42">
        <f>(U16-U36)</f>
        <v>1133536.4347495039</v>
      </c>
      <c r="V37" s="131">
        <f>U37/U12</f>
        <v>0.56522520418574229</v>
      </c>
      <c r="W37" s="42">
        <f>(W16-W36)</f>
        <v>1178203.0048041865</v>
      </c>
      <c r="X37" s="131">
        <f>W37/W12</f>
        <v>0.57742648637577465</v>
      </c>
      <c r="Y37" s="42">
        <f>(Y16-Y36)</f>
        <v>1602705.9720356078</v>
      </c>
      <c r="Z37" s="131">
        <f>Y37/Y12</f>
        <v>0.51995133686284922</v>
      </c>
      <c r="AA37" s="180">
        <f>(AA16-AA36)</f>
        <v>15808876.581377426</v>
      </c>
      <c r="AB37" s="131">
        <f>AA37/AA12</f>
        <v>0.55041609523195478</v>
      </c>
      <c r="AC37" s="181">
        <f t="shared" si="1"/>
        <v>1317406.3817814521</v>
      </c>
      <c r="AD37" s="131">
        <f>AC37/AC12</f>
        <v>0.55041609523195467</v>
      </c>
      <c r="AE37" s="44">
        <f t="shared" si="2"/>
        <v>15808876.581377426</v>
      </c>
      <c r="AF37" s="21">
        <f t="shared" si="3"/>
        <v>0</v>
      </c>
    </row>
    <row r="38" spans="1:37" s="1" customFormat="1" ht="15.75" thickTop="1">
      <c r="A38" s="2">
        <v>6002</v>
      </c>
      <c r="B38" s="216" t="s">
        <v>45</v>
      </c>
      <c r="C38" s="158"/>
      <c r="D38" s="191">
        <f>C38/C12</f>
        <v>0</v>
      </c>
      <c r="E38" s="157"/>
      <c r="F38" s="191">
        <f>E38/E12</f>
        <v>0</v>
      </c>
      <c r="G38" s="158"/>
      <c r="H38" s="191">
        <f>G38/G12</f>
        <v>0</v>
      </c>
      <c r="I38" s="158"/>
      <c r="J38" s="191">
        <f>I38/I12</f>
        <v>0</v>
      </c>
      <c r="K38" s="16"/>
      <c r="L38" s="191">
        <f>K38/K12</f>
        <v>0</v>
      </c>
      <c r="M38" s="157"/>
      <c r="N38" s="191">
        <f>M38/M12</f>
        <v>0</v>
      </c>
      <c r="O38" s="16"/>
      <c r="P38" s="191"/>
      <c r="Q38" s="16"/>
      <c r="R38" s="191"/>
      <c r="S38" s="16"/>
      <c r="T38" s="191">
        <f>S38/S12</f>
        <v>0</v>
      </c>
      <c r="U38" s="158"/>
      <c r="V38" s="191">
        <f>U38/U12</f>
        <v>0</v>
      </c>
      <c r="W38" s="158"/>
      <c r="X38" s="191">
        <f>W38/W12</f>
        <v>0</v>
      </c>
      <c r="Y38" s="158"/>
      <c r="Z38" s="191">
        <f>Y38/Y12</f>
        <v>0</v>
      </c>
      <c r="AA38" s="59">
        <f>C38+E38+G38+I38+K38+M38+O38+Q38+S38+U38+W38+Y38</f>
        <v>0</v>
      </c>
      <c r="AB38" s="191">
        <f>AA38/AA12</f>
        <v>0</v>
      </c>
      <c r="AC38" s="160">
        <f t="shared" si="1"/>
        <v>0</v>
      </c>
      <c r="AD38" s="191">
        <f>AC38/AC12</f>
        <v>0</v>
      </c>
      <c r="AE38" s="44">
        <f t="shared" si="2"/>
        <v>0</v>
      </c>
      <c r="AF38" s="21">
        <f t="shared" si="3"/>
        <v>0</v>
      </c>
    </row>
    <row r="39" spans="1:37" s="1" customFormat="1">
      <c r="A39" s="2">
        <v>6003</v>
      </c>
      <c r="B39" s="2" t="s">
        <v>0</v>
      </c>
      <c r="C39" s="158"/>
      <c r="D39" s="28">
        <f>C39/C12</f>
        <v>0</v>
      </c>
      <c r="E39" s="158"/>
      <c r="F39" s="28">
        <f>E39/E12</f>
        <v>0</v>
      </c>
      <c r="G39" s="158">
        <v>0</v>
      </c>
      <c r="H39" s="28">
        <f>G39/G12</f>
        <v>0</v>
      </c>
      <c r="I39" s="158"/>
      <c r="J39" s="28">
        <f>I39/I12</f>
        <v>0</v>
      </c>
      <c r="K39" s="16">
        <v>0</v>
      </c>
      <c r="L39" s="28">
        <f>K39/K12</f>
        <v>0</v>
      </c>
      <c r="M39" s="158"/>
      <c r="N39" s="28">
        <f>M39/M12</f>
        <v>0</v>
      </c>
      <c r="O39" s="16"/>
      <c r="P39" s="28"/>
      <c r="Q39" s="16"/>
      <c r="R39" s="28"/>
      <c r="S39" s="16"/>
      <c r="T39" s="28">
        <f>S39/S12</f>
        <v>0</v>
      </c>
      <c r="U39" s="16"/>
      <c r="V39" s="28">
        <f>U39/U12</f>
        <v>0</v>
      </c>
      <c r="W39" s="16"/>
      <c r="X39" s="28">
        <f>W39/W12</f>
        <v>0</v>
      </c>
      <c r="Y39" s="16"/>
      <c r="Z39" s="28">
        <f>Y39/Y12</f>
        <v>0</v>
      </c>
      <c r="AA39" s="59">
        <f>C39+E39+G39+I39+K39+M39+O39+Q39+S39+U39+W39+Y39</f>
        <v>0</v>
      </c>
      <c r="AB39" s="28">
        <f>AA39/AA12</f>
        <v>0</v>
      </c>
      <c r="AC39" s="160">
        <f t="shared" si="1"/>
        <v>0</v>
      </c>
      <c r="AD39" s="28">
        <f>AC39/AC12</f>
        <v>0</v>
      </c>
      <c r="AE39" s="44">
        <f t="shared" si="2"/>
        <v>0</v>
      </c>
      <c r="AF39" s="21">
        <f t="shared" si="3"/>
        <v>0</v>
      </c>
    </row>
    <row r="40" spans="1:37" s="1" customFormat="1">
      <c r="A40" s="2">
        <v>6004</v>
      </c>
      <c r="B40" s="216" t="s">
        <v>1</v>
      </c>
      <c r="C40" s="158"/>
      <c r="D40" s="191">
        <f>C40/C12</f>
        <v>0</v>
      </c>
      <c r="E40" s="157"/>
      <c r="F40" s="191">
        <f>E40/E12</f>
        <v>0</v>
      </c>
      <c r="G40" s="158"/>
      <c r="H40" s="191">
        <f>G40/G12</f>
        <v>0</v>
      </c>
      <c r="I40" s="158"/>
      <c r="J40" s="191">
        <f>I40/I12</f>
        <v>0</v>
      </c>
      <c r="K40" s="16"/>
      <c r="L40" s="191">
        <f>K40/K12</f>
        <v>0</v>
      </c>
      <c r="M40" s="157"/>
      <c r="N40" s="191">
        <f>M40/M12</f>
        <v>0</v>
      </c>
      <c r="O40" s="16"/>
      <c r="P40" s="191"/>
      <c r="Q40" s="16"/>
      <c r="R40" s="191"/>
      <c r="S40" s="16"/>
      <c r="T40" s="191">
        <f>S40/S12</f>
        <v>0</v>
      </c>
      <c r="U40" s="158"/>
      <c r="V40" s="191">
        <f>U40/U12</f>
        <v>0</v>
      </c>
      <c r="W40" s="158"/>
      <c r="X40" s="191">
        <f>W40/W12</f>
        <v>0</v>
      </c>
      <c r="Y40" s="158"/>
      <c r="Z40" s="191">
        <f>Y40/Y12</f>
        <v>0</v>
      </c>
      <c r="AA40" s="59">
        <f>C40+E40+G40+I40+K40+M40+O40+Q40+S40+U40+W40+Y40</f>
        <v>0</v>
      </c>
      <c r="AB40" s="191">
        <f>AA40/AA12</f>
        <v>0</v>
      </c>
      <c r="AC40" s="160">
        <f t="shared" si="1"/>
        <v>0</v>
      </c>
      <c r="AD40" s="191">
        <f>AC40/AC12</f>
        <v>0</v>
      </c>
      <c r="AE40" s="44">
        <f t="shared" si="2"/>
        <v>0</v>
      </c>
      <c r="AF40" s="21">
        <f t="shared" si="3"/>
        <v>0</v>
      </c>
    </row>
    <row r="41" spans="1:37" s="1" customFormat="1" ht="15.75" thickBot="1">
      <c r="A41" s="4">
        <v>6099</v>
      </c>
      <c r="B41" s="217" t="s">
        <v>101</v>
      </c>
      <c r="C41" s="168">
        <f>SUM(C38:C40)</f>
        <v>0</v>
      </c>
      <c r="D41" s="218">
        <f>C41/C12</f>
        <v>0</v>
      </c>
      <c r="E41" s="166">
        <f>SUM(E38:E40)</f>
        <v>0</v>
      </c>
      <c r="F41" s="218">
        <f>E41/E12</f>
        <v>0</v>
      </c>
      <c r="G41" s="168">
        <f>SUM(G38:G40)</f>
        <v>0</v>
      </c>
      <c r="H41" s="218">
        <f>G41/G12</f>
        <v>0</v>
      </c>
      <c r="I41" s="168">
        <f>SUM(I38:I40)</f>
        <v>0</v>
      </c>
      <c r="J41" s="218">
        <f>I41/I12</f>
        <v>0</v>
      </c>
      <c r="K41" s="188">
        <f>SUM(K38:K40)</f>
        <v>0</v>
      </c>
      <c r="L41" s="218">
        <f>K41/K12</f>
        <v>0</v>
      </c>
      <c r="M41" s="166">
        <f>SUM(M38:M40)</f>
        <v>0</v>
      </c>
      <c r="N41" s="218">
        <f>M41/M12</f>
        <v>0</v>
      </c>
      <c r="O41" s="188"/>
      <c r="P41" s="218"/>
      <c r="Q41" s="188"/>
      <c r="R41" s="218"/>
      <c r="S41" s="188"/>
      <c r="T41" s="218">
        <f>S41/S12</f>
        <v>0</v>
      </c>
      <c r="U41" s="168">
        <f>SUM(U38:U40)</f>
        <v>0</v>
      </c>
      <c r="V41" s="218">
        <f>U41/U12</f>
        <v>0</v>
      </c>
      <c r="W41" s="168">
        <f>SUM(W38:W40)</f>
        <v>0</v>
      </c>
      <c r="X41" s="218">
        <f>W41/W12</f>
        <v>0</v>
      </c>
      <c r="Y41" s="168">
        <f>SUM(Y38:Y40)</f>
        <v>0</v>
      </c>
      <c r="Z41" s="218">
        <f>Y41/Y12</f>
        <v>0</v>
      </c>
      <c r="AA41" s="189">
        <f>SUM(AA38:AA40)</f>
        <v>0</v>
      </c>
      <c r="AB41" s="218">
        <f>AA41/AA12</f>
        <v>0</v>
      </c>
      <c r="AC41" s="23">
        <f t="shared" si="1"/>
        <v>0</v>
      </c>
      <c r="AD41" s="218">
        <f>AC41/AC12</f>
        <v>0</v>
      </c>
      <c r="AE41" s="44">
        <f t="shared" si="2"/>
        <v>0</v>
      </c>
      <c r="AF41" s="21">
        <f t="shared" si="3"/>
        <v>0</v>
      </c>
    </row>
    <row r="42" spans="1:37" s="1" customFormat="1" ht="15.75" thickTop="1">
      <c r="A42" s="2">
        <v>6101</v>
      </c>
      <c r="B42" s="219" t="s">
        <v>2</v>
      </c>
      <c r="C42" s="16">
        <v>167680</v>
      </c>
      <c r="D42" s="191">
        <f>C42/C12</f>
        <v>7.7622386881783079E-2</v>
      </c>
      <c r="E42" s="16">
        <v>167680</v>
      </c>
      <c r="F42" s="191">
        <f>E42/E12</f>
        <v>9.9771517784377012E-2</v>
      </c>
      <c r="G42" s="16">
        <v>167680</v>
      </c>
      <c r="H42" s="191">
        <f>G42/G12</f>
        <v>6.0147615991929693E-2</v>
      </c>
      <c r="I42" s="16">
        <v>167680</v>
      </c>
      <c r="J42" s="191">
        <f>I42/I12</f>
        <v>6.8117787737814725E-2</v>
      </c>
      <c r="K42" s="16">
        <v>167680</v>
      </c>
      <c r="L42" s="191">
        <f>K42/K12</f>
        <v>7.4478076097332993E-2</v>
      </c>
      <c r="M42" s="16">
        <v>167680</v>
      </c>
      <c r="N42" s="191">
        <f>M42/M12</f>
        <v>5.2523838717550259E-2</v>
      </c>
      <c r="O42" s="16">
        <v>167680</v>
      </c>
      <c r="P42" s="191">
        <f>O42/O12</f>
        <v>8.2961563530398783E-2</v>
      </c>
      <c r="Q42" s="16">
        <v>167680</v>
      </c>
      <c r="R42" s="191">
        <f>Q42/Q12</f>
        <v>6.6810787875289823E-2</v>
      </c>
      <c r="S42" s="16">
        <v>167680</v>
      </c>
      <c r="T42" s="191">
        <f>S42/S12</f>
        <v>6.6321384091793306E-2</v>
      </c>
      <c r="U42" s="16">
        <v>167680</v>
      </c>
      <c r="V42" s="191">
        <f>U42/U12</f>
        <v>8.3611747564876188E-2</v>
      </c>
      <c r="W42" s="16">
        <v>167680</v>
      </c>
      <c r="X42" s="191">
        <f>W42/W12</f>
        <v>8.2178430067390243E-2</v>
      </c>
      <c r="Y42" s="16">
        <v>167680</v>
      </c>
      <c r="Z42" s="191">
        <f>Y42/Y12</f>
        <v>5.4398898916204662E-2</v>
      </c>
      <c r="AA42" s="59">
        <f t="shared" ref="AA42:AA75" si="19">C42+E42+G42+I42+K42+M42+O42+Q42+S42+U42+W42+Y42</f>
        <v>2012160</v>
      </c>
      <c r="AB42" s="28">
        <f>AA42/AA12</f>
        <v>7.0057176073255886E-2</v>
      </c>
      <c r="AC42" s="160">
        <f t="shared" si="1"/>
        <v>167680</v>
      </c>
      <c r="AD42" s="28">
        <f>AC42/AC12</f>
        <v>7.0057176073255886E-2</v>
      </c>
      <c r="AE42" s="44">
        <f t="shared" si="2"/>
        <v>2012160</v>
      </c>
      <c r="AF42" s="21">
        <f t="shared" si="3"/>
        <v>0</v>
      </c>
      <c r="AG42" s="1" t="s">
        <v>199</v>
      </c>
    </row>
    <row r="43" spans="1:37" s="1" customFormat="1">
      <c r="A43" s="2">
        <v>6102</v>
      </c>
      <c r="B43" s="219" t="s">
        <v>3</v>
      </c>
      <c r="C43" s="155">
        <v>2500</v>
      </c>
      <c r="D43" s="191">
        <f>C43/C12</f>
        <v>1.1572994227365082E-3</v>
      </c>
      <c r="E43" s="155">
        <v>2500</v>
      </c>
      <c r="F43" s="191">
        <f>E43/E12</f>
        <v>1.4875285929206975E-3</v>
      </c>
      <c r="G43" s="155">
        <v>2500</v>
      </c>
      <c r="H43" s="191">
        <f>G43/G12</f>
        <v>8.9676192736059298E-4</v>
      </c>
      <c r="I43" s="155">
        <v>2500</v>
      </c>
      <c r="J43" s="191">
        <f>I43/I12</f>
        <v>1.0155920166062548E-3</v>
      </c>
      <c r="K43" s="155">
        <v>2500</v>
      </c>
      <c r="L43" s="191">
        <f>K43/K12</f>
        <v>1.1104197891420114E-3</v>
      </c>
      <c r="M43" s="155">
        <v>2500</v>
      </c>
      <c r="N43" s="191">
        <f>M43/M12</f>
        <v>7.8309635492530805E-4</v>
      </c>
      <c r="O43" s="155">
        <v>2500</v>
      </c>
      <c r="P43" s="191">
        <f>O43/O12</f>
        <v>1.2369030822161078E-3</v>
      </c>
      <c r="Q43" s="155">
        <v>2500</v>
      </c>
      <c r="R43" s="191">
        <f>Q43/Q12</f>
        <v>9.9610549670935459E-4</v>
      </c>
      <c r="S43" s="155">
        <v>2500</v>
      </c>
      <c r="T43" s="191">
        <f>S43/S12</f>
        <v>9.8880880384949466E-4</v>
      </c>
      <c r="U43" s="155">
        <v>2500</v>
      </c>
      <c r="V43" s="191">
        <f>U43/U12</f>
        <v>1.246596904295029E-3</v>
      </c>
      <c r="W43" s="155">
        <v>2500</v>
      </c>
      <c r="X43" s="191">
        <f>W43/W12</f>
        <v>1.2252270704226837E-3</v>
      </c>
      <c r="Y43" s="155">
        <v>2500</v>
      </c>
      <c r="Z43" s="191">
        <f>Y43/Y12</f>
        <v>8.1105228584513157E-4</v>
      </c>
      <c r="AA43" s="59">
        <f t="shared" si="19"/>
        <v>30000</v>
      </c>
      <c r="AB43" s="28">
        <f>AA43/AA12</f>
        <v>1.0445070383059384E-3</v>
      </c>
      <c r="AC43" s="160">
        <f t="shared" si="1"/>
        <v>2500</v>
      </c>
      <c r="AD43" s="28">
        <f>AC43/AC12</f>
        <v>1.0445070383059381E-3</v>
      </c>
      <c r="AE43" s="44">
        <f t="shared" si="2"/>
        <v>30000</v>
      </c>
      <c r="AF43" s="21">
        <f t="shared" si="3"/>
        <v>0</v>
      </c>
      <c r="AK43" s="1" t="s">
        <v>245</v>
      </c>
    </row>
    <row r="44" spans="1:37" s="1" customFormat="1">
      <c r="A44" s="82">
        <v>6103</v>
      </c>
      <c r="B44" s="219" t="s">
        <v>4</v>
      </c>
      <c r="C44" s="185"/>
      <c r="D44" s="191">
        <f>C44/C12</f>
        <v>0</v>
      </c>
      <c r="E44" s="185">
        <v>0</v>
      </c>
      <c r="F44" s="191">
        <f>E44/E12</f>
        <v>0</v>
      </c>
      <c r="G44" s="185">
        <v>0</v>
      </c>
      <c r="H44" s="191">
        <f>G44/G12</f>
        <v>0</v>
      </c>
      <c r="I44" s="185">
        <v>0</v>
      </c>
      <c r="J44" s="191">
        <f>I44/I12</f>
        <v>0</v>
      </c>
      <c r="K44" s="185">
        <v>0</v>
      </c>
      <c r="L44" s="191">
        <f>K44/K12</f>
        <v>0</v>
      </c>
      <c r="M44" s="185">
        <v>0</v>
      </c>
      <c r="N44" s="191">
        <f>M44/M12</f>
        <v>0</v>
      </c>
      <c r="O44" s="185">
        <v>0</v>
      </c>
      <c r="P44" s="191">
        <f>O44/O12</f>
        <v>0</v>
      </c>
      <c r="Q44" s="185">
        <v>0</v>
      </c>
      <c r="R44" s="191">
        <f>Q44/Q12</f>
        <v>0</v>
      </c>
      <c r="S44" s="185">
        <v>0</v>
      </c>
      <c r="T44" s="191">
        <f>S44/S12</f>
        <v>0</v>
      </c>
      <c r="U44" s="185">
        <v>0</v>
      </c>
      <c r="V44" s="191">
        <f>U44/U12</f>
        <v>0</v>
      </c>
      <c r="W44" s="185"/>
      <c r="X44" s="191">
        <f>W44/W12</f>
        <v>0</v>
      </c>
      <c r="Y44" s="185"/>
      <c r="Z44" s="191">
        <f>Y44/Y12</f>
        <v>0</v>
      </c>
      <c r="AA44" s="59">
        <f t="shared" si="19"/>
        <v>0</v>
      </c>
      <c r="AB44" s="28">
        <f>AA44/AA12</f>
        <v>0</v>
      </c>
      <c r="AC44" s="160">
        <f t="shared" si="1"/>
        <v>0</v>
      </c>
      <c r="AD44" s="28">
        <f>AC44/AC12</f>
        <v>0</v>
      </c>
      <c r="AE44" s="44">
        <f t="shared" si="2"/>
        <v>0</v>
      </c>
      <c r="AF44" s="21">
        <f t="shared" si="3"/>
        <v>0</v>
      </c>
    </row>
    <row r="45" spans="1:37" s="1" customFormat="1">
      <c r="A45" s="82">
        <v>6104</v>
      </c>
      <c r="B45" s="219" t="s">
        <v>5</v>
      </c>
      <c r="C45" s="155">
        <v>2000</v>
      </c>
      <c r="D45" s="191">
        <f>C45/C12</f>
        <v>9.2583953818920655E-4</v>
      </c>
      <c r="E45" s="155">
        <v>2000</v>
      </c>
      <c r="F45" s="191">
        <f>E45/E12</f>
        <v>1.190022874336558E-3</v>
      </c>
      <c r="G45" s="155">
        <v>2000</v>
      </c>
      <c r="H45" s="191">
        <f>G45/G12</f>
        <v>7.1740954188847432E-4</v>
      </c>
      <c r="I45" s="155">
        <v>2000</v>
      </c>
      <c r="J45" s="191">
        <f>I45/I12</f>
        <v>8.1247361328500381E-4</v>
      </c>
      <c r="K45" s="155">
        <v>2000</v>
      </c>
      <c r="L45" s="191">
        <f>K45/K12</f>
        <v>8.8833583131360918E-4</v>
      </c>
      <c r="M45" s="155">
        <v>2000</v>
      </c>
      <c r="N45" s="191">
        <f>M45/M12</f>
        <v>6.2647708394024642E-4</v>
      </c>
      <c r="O45" s="155">
        <v>2000</v>
      </c>
      <c r="P45" s="191">
        <f>O45/O12</f>
        <v>9.8952246577288625E-4</v>
      </c>
      <c r="Q45" s="155">
        <v>2000</v>
      </c>
      <c r="R45" s="191">
        <f>Q45/Q12</f>
        <v>7.9688439736748363E-4</v>
      </c>
      <c r="S45" s="155">
        <v>2000</v>
      </c>
      <c r="T45" s="191">
        <f>S45/S12</f>
        <v>7.9104704307959579E-4</v>
      </c>
      <c r="U45" s="155">
        <v>2000</v>
      </c>
      <c r="V45" s="191">
        <f>U45/U12</f>
        <v>9.9727752343602323E-4</v>
      </c>
      <c r="W45" s="155">
        <v>2000</v>
      </c>
      <c r="X45" s="191">
        <f>W45/W12</f>
        <v>9.8018165633814692E-4</v>
      </c>
      <c r="Y45" s="155">
        <v>2000</v>
      </c>
      <c r="Z45" s="191">
        <f>Y45/Y12</f>
        <v>6.4884182867610521E-4</v>
      </c>
      <c r="AA45" s="59">
        <f t="shared" si="19"/>
        <v>24000</v>
      </c>
      <c r="AB45" s="28">
        <f>AA45/AA12</f>
        <v>8.3560563064475062E-4</v>
      </c>
      <c r="AC45" s="160">
        <f t="shared" si="1"/>
        <v>2000</v>
      </c>
      <c r="AD45" s="28">
        <f>AC45/AC12</f>
        <v>8.3560563064475062E-4</v>
      </c>
      <c r="AE45" s="44">
        <f t="shared" si="2"/>
        <v>24000</v>
      </c>
      <c r="AF45" s="21">
        <f t="shared" si="3"/>
        <v>0</v>
      </c>
      <c r="AG45" s="1">
        <v>984</v>
      </c>
    </row>
    <row r="46" spans="1:37" s="1" customFormat="1">
      <c r="A46" s="82">
        <v>6105</v>
      </c>
      <c r="B46" s="219" t="s">
        <v>39</v>
      </c>
      <c r="C46" s="228">
        <f>C16*0.25%</f>
        <v>5400.5038602900859</v>
      </c>
      <c r="D46" s="28">
        <f>C46/C12</f>
        <v>2.5000000000000001E-3</v>
      </c>
      <c r="E46" s="228">
        <f>E16*0.25%</f>
        <v>4201.5999085626972</v>
      </c>
      <c r="F46" s="28">
        <f>E46/E12</f>
        <v>2.5000000000000001E-3</v>
      </c>
      <c r="G46" s="228">
        <f>G16*0.25%</f>
        <v>6969.519790381155</v>
      </c>
      <c r="H46" s="28">
        <f>G46/G12</f>
        <v>2.5000000000000001E-3</v>
      </c>
      <c r="I46" s="228">
        <f>I16*0.25%</f>
        <v>6154.046062379326</v>
      </c>
      <c r="J46" s="28">
        <f>I46/I12</f>
        <v>2.5000000203118404E-3</v>
      </c>
      <c r="K46" s="228">
        <f>K16*0.25%</f>
        <v>5628.5019963748937</v>
      </c>
      <c r="L46" s="28">
        <f>K46/K12</f>
        <v>2.5000000000000001E-3</v>
      </c>
      <c r="M46" s="228">
        <f>M16*0.25%</f>
        <v>7981.1378780057257</v>
      </c>
      <c r="N46" s="28">
        <f>M46/M12</f>
        <v>2.4999999921690367E-3</v>
      </c>
      <c r="O46" s="228">
        <f>O16*0.25%</f>
        <v>5052.9423766995023</v>
      </c>
      <c r="P46" s="28">
        <f>O46/O12</f>
        <v>2.5000000000000001E-3</v>
      </c>
      <c r="Q46" s="228">
        <f>Q16*0.25%</f>
        <v>6274.4358109125424</v>
      </c>
      <c r="R46" s="28">
        <f>Q46/Q12</f>
        <v>2.5000000000000001E-3</v>
      </c>
      <c r="S46" s="228">
        <f>S16*0.25%</f>
        <v>6320.736603141434</v>
      </c>
      <c r="T46" s="28">
        <f>S46/S12</f>
        <v>2.5000000000000001E-3</v>
      </c>
      <c r="U46" s="228">
        <f>U16*0.25%</f>
        <v>5013.64954338185</v>
      </c>
      <c r="V46" s="28">
        <f>U46/U12</f>
        <v>2.5000000000000001E-3</v>
      </c>
      <c r="W46" s="228">
        <f>W16*0.25%</f>
        <v>5101.0952588925829</v>
      </c>
      <c r="X46" s="28">
        <f>W46/W12</f>
        <v>2.5000000000000001E-3</v>
      </c>
      <c r="Y46" s="228">
        <f>Y16*0.25%</f>
        <v>7706.0383270942693</v>
      </c>
      <c r="Z46" s="191">
        <f>Y46/Y12</f>
        <v>2.5000000000000001E-3</v>
      </c>
      <c r="AA46" s="59">
        <f t="shared" si="19"/>
        <v>71804.207416116056</v>
      </c>
      <c r="AB46" s="28">
        <f>AA46/AA12</f>
        <v>2.5000000008704223E-3</v>
      </c>
      <c r="AC46" s="160">
        <f t="shared" si="1"/>
        <v>5983.683951343005</v>
      </c>
      <c r="AD46" s="28">
        <f>AC46/AC12</f>
        <v>2.5000000008704223E-3</v>
      </c>
      <c r="AE46" s="44">
        <f t="shared" si="2"/>
        <v>71804.207416116056</v>
      </c>
      <c r="AF46" s="21">
        <f t="shared" si="3"/>
        <v>0</v>
      </c>
      <c r="AG46" s="124">
        <v>3456</v>
      </c>
    </row>
    <row r="47" spans="1:37" s="1" customFormat="1">
      <c r="A47" s="82">
        <v>6106</v>
      </c>
      <c r="B47" s="219" t="s">
        <v>6</v>
      </c>
      <c r="C47" s="155"/>
      <c r="D47" s="191">
        <f>C47/C12</f>
        <v>0</v>
      </c>
      <c r="E47" s="155">
        <v>0</v>
      </c>
      <c r="F47" s="191">
        <f>E47/E12</f>
        <v>0</v>
      </c>
      <c r="G47" s="155"/>
      <c r="H47" s="191">
        <f>G47/G12</f>
        <v>0</v>
      </c>
      <c r="I47" s="155">
        <v>0</v>
      </c>
      <c r="J47" s="191">
        <f>I47/I12</f>
        <v>0</v>
      </c>
      <c r="K47" s="155">
        <v>0</v>
      </c>
      <c r="L47" s="191">
        <f>K47/K12</f>
        <v>0</v>
      </c>
      <c r="M47" s="155">
        <v>0</v>
      </c>
      <c r="N47" s="191">
        <f>M47/M12</f>
        <v>0</v>
      </c>
      <c r="O47" s="155"/>
      <c r="P47" s="191">
        <f>O47/O12</f>
        <v>0</v>
      </c>
      <c r="Q47" s="155">
        <v>0</v>
      </c>
      <c r="R47" s="191">
        <f>Q47/Q12</f>
        <v>0</v>
      </c>
      <c r="S47" s="155">
        <v>0</v>
      </c>
      <c r="T47" s="191">
        <f>S47/S12</f>
        <v>0</v>
      </c>
      <c r="U47" s="155">
        <v>0</v>
      </c>
      <c r="V47" s="191">
        <f>U47/U12</f>
        <v>0</v>
      </c>
      <c r="W47" s="155">
        <v>0</v>
      </c>
      <c r="X47" s="191">
        <f>W47/W12</f>
        <v>0</v>
      </c>
      <c r="Y47" s="155"/>
      <c r="Z47" s="191">
        <f>Y47/Y12</f>
        <v>0</v>
      </c>
      <c r="AA47" s="59">
        <f t="shared" si="19"/>
        <v>0</v>
      </c>
      <c r="AB47" s="28">
        <f>AA47/AA12</f>
        <v>0</v>
      </c>
      <c r="AC47" s="160">
        <f t="shared" si="1"/>
        <v>0</v>
      </c>
      <c r="AD47" s="28">
        <f>AC47/AC12</f>
        <v>0</v>
      </c>
      <c r="AE47" s="44">
        <f t="shared" si="2"/>
        <v>0</v>
      </c>
      <c r="AF47" s="21">
        <f t="shared" si="3"/>
        <v>0</v>
      </c>
    </row>
    <row r="48" spans="1:37" s="1" customFormat="1">
      <c r="A48" s="82">
        <v>6107</v>
      </c>
      <c r="B48" s="219" t="s">
        <v>7</v>
      </c>
      <c r="C48" s="19"/>
      <c r="D48" s="191">
        <f>C48/C12</f>
        <v>0</v>
      </c>
      <c r="E48" s="19"/>
      <c r="F48" s="191">
        <f>E48/E12</f>
        <v>0</v>
      </c>
      <c r="G48" s="19"/>
      <c r="H48" s="191">
        <f>G48/G12</f>
        <v>0</v>
      </c>
      <c r="I48" s="19"/>
      <c r="J48" s="191">
        <f>I48/I12</f>
        <v>0</v>
      </c>
      <c r="K48" s="19"/>
      <c r="L48" s="191">
        <f>K48/K12</f>
        <v>0</v>
      </c>
      <c r="M48" s="19"/>
      <c r="N48" s="191">
        <f>M48/M12</f>
        <v>0</v>
      </c>
      <c r="O48" s="19"/>
      <c r="P48" s="191">
        <f>O48/O12</f>
        <v>0</v>
      </c>
      <c r="Q48" s="19"/>
      <c r="R48" s="191">
        <f>Q48/Q12</f>
        <v>0</v>
      </c>
      <c r="S48" s="19"/>
      <c r="T48" s="191">
        <f>S48/S12</f>
        <v>0</v>
      </c>
      <c r="U48" s="19"/>
      <c r="V48" s="191">
        <f>U48/U12</f>
        <v>0</v>
      </c>
      <c r="W48" s="19"/>
      <c r="X48" s="191">
        <f>W48/W12</f>
        <v>0</v>
      </c>
      <c r="Y48" s="19"/>
      <c r="Z48" s="191">
        <f>Y48/Y12</f>
        <v>0</v>
      </c>
      <c r="AA48" s="59">
        <f t="shared" si="19"/>
        <v>0</v>
      </c>
      <c r="AB48" s="28">
        <f>AA48/AA12</f>
        <v>0</v>
      </c>
      <c r="AC48" s="160">
        <f t="shared" si="1"/>
        <v>0</v>
      </c>
      <c r="AD48" s="28">
        <f>AC48/AC12</f>
        <v>0</v>
      </c>
      <c r="AE48" s="44">
        <f t="shared" si="2"/>
        <v>0</v>
      </c>
      <c r="AF48" s="21">
        <f t="shared" si="3"/>
        <v>0</v>
      </c>
    </row>
    <row r="49" spans="1:34" s="1" customFormat="1">
      <c r="A49" s="82">
        <v>6108</v>
      </c>
      <c r="B49" s="219" t="s">
        <v>8</v>
      </c>
      <c r="C49" s="19"/>
      <c r="D49" s="191">
        <f>C49/C12</f>
        <v>0</v>
      </c>
      <c r="E49" s="19"/>
      <c r="F49" s="191">
        <f>E49/E12</f>
        <v>0</v>
      </c>
      <c r="G49" s="19"/>
      <c r="H49" s="191">
        <f>G49/G12</f>
        <v>0</v>
      </c>
      <c r="I49" s="19"/>
      <c r="J49" s="191">
        <f>I49/I12</f>
        <v>0</v>
      </c>
      <c r="K49" s="19"/>
      <c r="L49" s="191">
        <f>K49/K12</f>
        <v>0</v>
      </c>
      <c r="M49" s="19"/>
      <c r="N49" s="191">
        <f>M49/M12</f>
        <v>0</v>
      </c>
      <c r="O49" s="19"/>
      <c r="P49" s="191">
        <f>O49/O12</f>
        <v>0</v>
      </c>
      <c r="Q49" s="19"/>
      <c r="R49" s="191">
        <f>Q49/Q12</f>
        <v>0</v>
      </c>
      <c r="S49" s="19"/>
      <c r="T49" s="191">
        <f>S49/S12</f>
        <v>0</v>
      </c>
      <c r="U49" s="19"/>
      <c r="V49" s="191">
        <f>U49/U12</f>
        <v>0</v>
      </c>
      <c r="W49" s="19"/>
      <c r="X49" s="191">
        <f>W49/W12</f>
        <v>0</v>
      </c>
      <c r="Y49" s="19"/>
      <c r="Z49" s="191">
        <f>Y49/Y12</f>
        <v>0</v>
      </c>
      <c r="AA49" s="59">
        <f t="shared" si="19"/>
        <v>0</v>
      </c>
      <c r="AB49" s="28">
        <f>AA49/AA12</f>
        <v>0</v>
      </c>
      <c r="AC49" s="160">
        <f t="shared" si="1"/>
        <v>0</v>
      </c>
      <c r="AD49" s="28">
        <f>AC49/AC12</f>
        <v>0</v>
      </c>
      <c r="AE49" s="44">
        <f t="shared" si="2"/>
        <v>0</v>
      </c>
      <c r="AF49" s="21">
        <f t="shared" si="3"/>
        <v>0</v>
      </c>
    </row>
    <row r="50" spans="1:34" s="1" customFormat="1">
      <c r="A50" s="82">
        <v>6109</v>
      </c>
      <c r="B50" s="219" t="s">
        <v>79</v>
      </c>
      <c r="C50" s="162">
        <v>200</v>
      </c>
      <c r="D50" s="191">
        <f>C50/C12</f>
        <v>9.258395381892066E-5</v>
      </c>
      <c r="E50" s="162">
        <v>200</v>
      </c>
      <c r="F50" s="191">
        <f>E50/E12</f>
        <v>1.190022874336558E-4</v>
      </c>
      <c r="G50" s="162">
        <v>200</v>
      </c>
      <c r="H50" s="191">
        <f>G50/G12</f>
        <v>7.1740954188847429E-5</v>
      </c>
      <c r="I50" s="162">
        <v>200</v>
      </c>
      <c r="J50" s="191">
        <f>I50/I12</f>
        <v>8.1247361328500381E-5</v>
      </c>
      <c r="K50" s="162">
        <v>200</v>
      </c>
      <c r="L50" s="191">
        <f>K50/K12</f>
        <v>8.8833583131360915E-5</v>
      </c>
      <c r="M50" s="162">
        <v>200</v>
      </c>
      <c r="N50" s="191">
        <f>M50/M12</f>
        <v>6.2647708394024645E-5</v>
      </c>
      <c r="O50" s="162">
        <v>200</v>
      </c>
      <c r="P50" s="191">
        <f>O50/O12</f>
        <v>9.8952246577288627E-5</v>
      </c>
      <c r="Q50" s="162">
        <v>200</v>
      </c>
      <c r="R50" s="191">
        <f>Q50/Q12</f>
        <v>7.9688439736748371E-5</v>
      </c>
      <c r="S50" s="162">
        <v>200</v>
      </c>
      <c r="T50" s="191">
        <f>S50/S12</f>
        <v>7.9104704307959576E-5</v>
      </c>
      <c r="U50" s="162">
        <v>200</v>
      </c>
      <c r="V50" s="191">
        <f>U50/U12</f>
        <v>9.9727752343602323E-5</v>
      </c>
      <c r="W50" s="162">
        <v>200</v>
      </c>
      <c r="X50" s="191">
        <f>W50/W12</f>
        <v>9.8018165633814697E-5</v>
      </c>
      <c r="Y50" s="162">
        <v>200</v>
      </c>
      <c r="Z50" s="191">
        <f>Y50/Y12</f>
        <v>6.4884182867610524E-5</v>
      </c>
      <c r="AA50" s="59">
        <f t="shared" si="19"/>
        <v>2400</v>
      </c>
      <c r="AB50" s="28">
        <f>AA50/AA12</f>
        <v>8.3560563064475057E-5</v>
      </c>
      <c r="AC50" s="160">
        <f t="shared" si="1"/>
        <v>200</v>
      </c>
      <c r="AD50" s="28">
        <f>AC50/AC12</f>
        <v>8.3560563064475057E-5</v>
      </c>
      <c r="AE50" s="44">
        <f t="shared" si="2"/>
        <v>2400</v>
      </c>
      <c r="AF50" s="21">
        <f t="shared" si="3"/>
        <v>0</v>
      </c>
    </row>
    <row r="51" spans="1:34" s="1" customFormat="1">
      <c r="A51" s="82">
        <v>6110</v>
      </c>
      <c r="B51" s="219" t="s">
        <v>9</v>
      </c>
      <c r="C51" s="162">
        <v>200</v>
      </c>
      <c r="D51" s="191" t="e">
        <f>C51/C13</f>
        <v>#DIV/0!</v>
      </c>
      <c r="E51" s="162">
        <v>200</v>
      </c>
      <c r="F51" s="191" t="e">
        <f>E51/E13</f>
        <v>#DIV/0!</v>
      </c>
      <c r="G51" s="162">
        <v>200</v>
      </c>
      <c r="H51" s="191" t="e">
        <f>G51/G13</f>
        <v>#DIV/0!</v>
      </c>
      <c r="I51" s="162">
        <v>200</v>
      </c>
      <c r="J51" s="191">
        <f>I51/I13</f>
        <v>10000</v>
      </c>
      <c r="K51" s="162">
        <v>200</v>
      </c>
      <c r="L51" s="191" t="e">
        <f>K51/K13</f>
        <v>#DIV/0!</v>
      </c>
      <c r="M51" s="162">
        <v>200</v>
      </c>
      <c r="N51" s="191">
        <f>M51/M13</f>
        <v>-20000</v>
      </c>
      <c r="O51" s="162">
        <v>200</v>
      </c>
      <c r="P51" s="191" t="e">
        <f>O51/O13</f>
        <v>#DIV/0!</v>
      </c>
      <c r="Q51" s="162">
        <v>200</v>
      </c>
      <c r="R51" s="191" t="e">
        <f>Q51/Q13</f>
        <v>#DIV/0!</v>
      </c>
      <c r="S51" s="162">
        <v>200</v>
      </c>
      <c r="T51" s="191" t="e">
        <f>S51/S13</f>
        <v>#DIV/0!</v>
      </c>
      <c r="U51" s="162">
        <v>200</v>
      </c>
      <c r="V51" s="191" t="e">
        <f>U51/U13</f>
        <v>#DIV/0!</v>
      </c>
      <c r="W51" s="162">
        <v>200</v>
      </c>
      <c r="X51" s="191" t="e">
        <f>W51/W13</f>
        <v>#DIV/0!</v>
      </c>
      <c r="Y51" s="162">
        <v>200</v>
      </c>
      <c r="Z51" s="191" t="e">
        <f>Y51/Y13</f>
        <v>#DIV/0!</v>
      </c>
      <c r="AA51" s="59">
        <f t="shared" si="19"/>
        <v>2400</v>
      </c>
      <c r="AB51" s="28">
        <f>AA51/AA12</f>
        <v>8.3560563064475057E-5</v>
      </c>
      <c r="AC51" s="160">
        <f t="shared" si="1"/>
        <v>200</v>
      </c>
      <c r="AD51" s="28">
        <f>AC51/AC12</f>
        <v>8.3560563064475057E-5</v>
      </c>
      <c r="AE51" s="44">
        <f t="shared" si="2"/>
        <v>2400</v>
      </c>
      <c r="AF51" s="21">
        <f t="shared" si="3"/>
        <v>0</v>
      </c>
      <c r="AG51" s="1" t="s">
        <v>245</v>
      </c>
    </row>
    <row r="52" spans="1:34" s="1" customFormat="1">
      <c r="A52" s="82">
        <v>6111</v>
      </c>
      <c r="B52" s="219" t="s">
        <v>10</v>
      </c>
      <c r="C52" s="311">
        <f>C42*15%</f>
        <v>25152</v>
      </c>
      <c r="D52" s="191">
        <f>C52/C12</f>
        <v>1.1643358032267462E-2</v>
      </c>
      <c r="E52" s="158">
        <f>E42*15%</f>
        <v>25152</v>
      </c>
      <c r="F52" s="191">
        <f>E52/E12</f>
        <v>1.4965727667656553E-2</v>
      </c>
      <c r="G52" s="158">
        <f>G42*15%</f>
        <v>25152</v>
      </c>
      <c r="H52" s="191">
        <f>G52/G12</f>
        <v>9.0221423987894532E-3</v>
      </c>
      <c r="I52" s="311">
        <f>I42*15%</f>
        <v>25152</v>
      </c>
      <c r="J52" s="191">
        <f>I52/I12</f>
        <v>1.0217668160672207E-2</v>
      </c>
      <c r="K52" s="158">
        <v>25152</v>
      </c>
      <c r="L52" s="191">
        <f>K52/K12</f>
        <v>1.1171711414599949E-2</v>
      </c>
      <c r="M52" s="158">
        <f>M42*15%</f>
        <v>25152</v>
      </c>
      <c r="N52" s="191">
        <f>M52/M12</f>
        <v>7.8785758076325395E-3</v>
      </c>
      <c r="O52" s="158">
        <f>O42*15%</f>
        <v>25152</v>
      </c>
      <c r="P52" s="191">
        <f>O52/O12</f>
        <v>1.2444234529559818E-2</v>
      </c>
      <c r="Q52" s="158">
        <f>Q42*15%</f>
        <v>25152</v>
      </c>
      <c r="R52" s="191">
        <f>Q52/Q12</f>
        <v>1.0021618181293475E-2</v>
      </c>
      <c r="S52" s="158">
        <f>S42*15%</f>
        <v>25152</v>
      </c>
      <c r="T52" s="191">
        <f>S52/S12</f>
        <v>9.9482076137689963E-3</v>
      </c>
      <c r="U52" s="158">
        <f>U42*15%</f>
        <v>25152</v>
      </c>
      <c r="V52" s="191">
        <f>U52/U12</f>
        <v>1.2541762134731427E-2</v>
      </c>
      <c r="W52" s="158">
        <f>W42*15%</f>
        <v>25152</v>
      </c>
      <c r="X52" s="191">
        <f>W52/W12</f>
        <v>1.2326764510108536E-2</v>
      </c>
      <c r="Y52" s="158">
        <f>Y42*15%</f>
        <v>25152</v>
      </c>
      <c r="Z52" s="191">
        <f>Y52/Y12</f>
        <v>8.1598348374306989E-3</v>
      </c>
      <c r="AA52" s="59">
        <f t="shared" si="19"/>
        <v>301824</v>
      </c>
      <c r="AB52" s="28">
        <f>AA52/AA12</f>
        <v>1.0508576410988384E-2</v>
      </c>
      <c r="AC52" s="160">
        <f t="shared" si="1"/>
        <v>25152</v>
      </c>
      <c r="AD52" s="28">
        <f>AC52/AC12</f>
        <v>1.0508576410988383E-2</v>
      </c>
      <c r="AE52" s="44">
        <f t="shared" si="2"/>
        <v>301824</v>
      </c>
      <c r="AF52" s="21">
        <f t="shared" si="3"/>
        <v>0</v>
      </c>
      <c r="AG52" s="1" t="s">
        <v>199</v>
      </c>
      <c r="AH52" s="1" t="s">
        <v>200</v>
      </c>
    </row>
    <row r="53" spans="1:34" s="1" customFormat="1">
      <c r="A53" s="82">
        <v>6112</v>
      </c>
      <c r="B53" s="219" t="s">
        <v>11</v>
      </c>
      <c r="C53" s="158">
        <v>7500</v>
      </c>
      <c r="D53" s="191">
        <f>C53/C12</f>
        <v>3.4718982682095246E-3</v>
      </c>
      <c r="E53" s="158">
        <v>7500</v>
      </c>
      <c r="F53" s="191">
        <f>E53/E12</f>
        <v>4.462585778762092E-3</v>
      </c>
      <c r="G53" s="158">
        <v>7500</v>
      </c>
      <c r="H53" s="191">
        <f>G53/G12</f>
        <v>2.6902857820817788E-3</v>
      </c>
      <c r="I53" s="158">
        <v>7500</v>
      </c>
      <c r="J53" s="191">
        <f>I53/I12</f>
        <v>3.0467760498187643E-3</v>
      </c>
      <c r="K53" s="158">
        <v>7500</v>
      </c>
      <c r="L53" s="191">
        <f>K53/K12</f>
        <v>3.3312593674260341E-3</v>
      </c>
      <c r="M53" s="158">
        <v>7500</v>
      </c>
      <c r="N53" s="191">
        <f>M53/M12</f>
        <v>2.3492890647759243E-3</v>
      </c>
      <c r="O53" s="158">
        <v>7500</v>
      </c>
      <c r="P53" s="191">
        <f>O53/O12</f>
        <v>3.7107092466483237E-3</v>
      </c>
      <c r="Q53" s="158">
        <v>7500</v>
      </c>
      <c r="R53" s="191">
        <f>Q53/Q12</f>
        <v>2.9883164901280635E-3</v>
      </c>
      <c r="S53" s="158">
        <v>7500</v>
      </c>
      <c r="T53" s="191">
        <f>S53/S12</f>
        <v>2.9664264115484844E-3</v>
      </c>
      <c r="U53" s="158">
        <v>7500</v>
      </c>
      <c r="V53" s="191">
        <f>U53/U12</f>
        <v>3.7397907128850867E-3</v>
      </c>
      <c r="W53" s="158">
        <v>7500</v>
      </c>
      <c r="X53" s="191">
        <f>W53/W12</f>
        <v>3.6756812112680509E-3</v>
      </c>
      <c r="Y53" s="158">
        <v>7500</v>
      </c>
      <c r="Z53" s="191">
        <f>Y53/Y12</f>
        <v>2.4331568575353944E-3</v>
      </c>
      <c r="AA53" s="59">
        <f t="shared" si="19"/>
        <v>90000</v>
      </c>
      <c r="AB53" s="28">
        <f>AA53/AA12</f>
        <v>3.1335211149178151E-3</v>
      </c>
      <c r="AC53" s="160">
        <f t="shared" si="1"/>
        <v>7500</v>
      </c>
      <c r="AD53" s="28">
        <f>AC53/AC12</f>
        <v>3.1335211149178146E-3</v>
      </c>
      <c r="AE53" s="44">
        <f t="shared" si="2"/>
        <v>90000</v>
      </c>
      <c r="AF53" s="21">
        <f t="shared" si="3"/>
        <v>0</v>
      </c>
      <c r="AG53" s="1" t="s">
        <v>246</v>
      </c>
    </row>
    <row r="54" spans="1:34" s="1" customFormat="1">
      <c r="A54" s="82">
        <v>6113</v>
      </c>
      <c r="B54" s="219" t="s">
        <v>12</v>
      </c>
      <c r="C54" s="158"/>
      <c r="D54" s="191">
        <f>C54/C12</f>
        <v>0</v>
      </c>
      <c r="E54" s="158"/>
      <c r="F54" s="191">
        <f>E54/E12</f>
        <v>0</v>
      </c>
      <c r="G54" s="158"/>
      <c r="H54" s="191">
        <f>G54/G12</f>
        <v>0</v>
      </c>
      <c r="I54" s="158"/>
      <c r="J54" s="191">
        <f>I54/I12</f>
        <v>0</v>
      </c>
      <c r="K54" s="158"/>
      <c r="L54" s="191">
        <f>K54/K12</f>
        <v>0</v>
      </c>
      <c r="M54" s="158"/>
      <c r="N54" s="191">
        <f>M54/M12</f>
        <v>0</v>
      </c>
      <c r="O54" s="158"/>
      <c r="P54" s="191">
        <f>O54/O12</f>
        <v>0</v>
      </c>
      <c r="Q54" s="158"/>
      <c r="R54" s="191">
        <f>Q54/Q12</f>
        <v>0</v>
      </c>
      <c r="S54" s="158"/>
      <c r="T54" s="191">
        <f>S54/S12</f>
        <v>0</v>
      </c>
      <c r="U54" s="158"/>
      <c r="V54" s="191">
        <f>U54/U12</f>
        <v>0</v>
      </c>
      <c r="W54" s="158"/>
      <c r="X54" s="191">
        <f>W54/W12</f>
        <v>0</v>
      </c>
      <c r="Y54" s="158"/>
      <c r="Z54" s="191">
        <f>Y54/Y12</f>
        <v>0</v>
      </c>
      <c r="AA54" s="59">
        <f t="shared" si="19"/>
        <v>0</v>
      </c>
      <c r="AB54" s="28">
        <f>AA54/AA12</f>
        <v>0</v>
      </c>
      <c r="AC54" s="160">
        <f t="shared" si="1"/>
        <v>0</v>
      </c>
      <c r="AD54" s="28">
        <f>AC54/AC12</f>
        <v>0</v>
      </c>
      <c r="AE54" s="44">
        <f t="shared" si="2"/>
        <v>0</v>
      </c>
      <c r="AF54" s="21">
        <f t="shared" si="3"/>
        <v>0</v>
      </c>
    </row>
    <row r="55" spans="1:34" s="1" customFormat="1">
      <c r="A55" s="82">
        <v>6114</v>
      </c>
      <c r="B55" s="219" t="s">
        <v>88</v>
      </c>
      <c r="C55" s="19">
        <v>5000</v>
      </c>
      <c r="D55" s="28">
        <f>C55/C12</f>
        <v>2.3145988454730164E-3</v>
      </c>
      <c r="E55" s="19">
        <v>5000</v>
      </c>
      <c r="F55" s="28">
        <f>E55/E12</f>
        <v>2.9750571858413949E-3</v>
      </c>
      <c r="G55" s="19">
        <v>5000</v>
      </c>
      <c r="H55" s="28">
        <f>G55/G12</f>
        <v>1.793523854721186E-3</v>
      </c>
      <c r="I55" s="19">
        <v>5000</v>
      </c>
      <c r="J55" s="28">
        <f>I55/I12</f>
        <v>2.0311840332125097E-3</v>
      </c>
      <c r="K55" s="19">
        <v>5000</v>
      </c>
      <c r="L55" s="28">
        <f>K55/K12</f>
        <v>2.2208395782840227E-3</v>
      </c>
      <c r="M55" s="19">
        <v>5000</v>
      </c>
      <c r="N55" s="28">
        <f>M55/M12</f>
        <v>1.5661927098506161E-3</v>
      </c>
      <c r="O55" s="19">
        <v>5000</v>
      </c>
      <c r="P55" s="28">
        <f>O55/O12</f>
        <v>2.4738061644322155E-3</v>
      </c>
      <c r="Q55" s="19">
        <v>5000</v>
      </c>
      <c r="R55" s="28">
        <f>Q55/Q12</f>
        <v>1.9922109934187092E-3</v>
      </c>
      <c r="S55" s="19">
        <v>5000</v>
      </c>
      <c r="T55" s="28">
        <f>S55/S12</f>
        <v>1.9776176076989893E-3</v>
      </c>
      <c r="U55" s="19">
        <v>5000</v>
      </c>
      <c r="V55" s="28">
        <f>U55/U12</f>
        <v>2.4931938085900581E-3</v>
      </c>
      <c r="W55" s="19">
        <v>5000</v>
      </c>
      <c r="X55" s="28">
        <f>W55/W12</f>
        <v>2.4504541408453674E-3</v>
      </c>
      <c r="Y55" s="19">
        <v>5000</v>
      </c>
      <c r="Z55" s="28">
        <f>Y55/Y12</f>
        <v>1.6221045716902631E-3</v>
      </c>
      <c r="AA55" s="59">
        <f t="shared" si="19"/>
        <v>60000</v>
      </c>
      <c r="AB55" s="28">
        <f>AA55/AA12</f>
        <v>2.0890140766118767E-3</v>
      </c>
      <c r="AC55" s="160">
        <f t="shared" si="1"/>
        <v>5000</v>
      </c>
      <c r="AD55" s="28">
        <f>AC55/AC12</f>
        <v>2.0890140766118763E-3</v>
      </c>
      <c r="AE55" s="44">
        <f t="shared" si="2"/>
        <v>60000</v>
      </c>
      <c r="AF55" s="21">
        <f t="shared" si="3"/>
        <v>0</v>
      </c>
      <c r="AG55" s="1">
        <v>2654</v>
      </c>
    </row>
    <row r="56" spans="1:34" s="1" customFormat="1">
      <c r="A56" s="82">
        <v>6115</v>
      </c>
      <c r="B56" s="219" t="s">
        <v>13</v>
      </c>
      <c r="C56" s="155">
        <v>750</v>
      </c>
      <c r="D56" s="191">
        <f>C56/C12</f>
        <v>3.4718982682095244E-4</v>
      </c>
      <c r="E56" s="155">
        <v>750</v>
      </c>
      <c r="F56" s="191">
        <f>E56/E12</f>
        <v>4.4625857787620923E-4</v>
      </c>
      <c r="G56" s="155">
        <v>750</v>
      </c>
      <c r="H56" s="28">
        <f>G56/G12</f>
        <v>2.6902857820817788E-4</v>
      </c>
      <c r="I56" s="155">
        <v>750</v>
      </c>
      <c r="J56" s="191">
        <f>I56/I12</f>
        <v>3.0467760498187644E-4</v>
      </c>
      <c r="K56" s="155">
        <v>750</v>
      </c>
      <c r="L56" s="191">
        <f>K56/K12</f>
        <v>3.3312593674260344E-4</v>
      </c>
      <c r="M56" s="155">
        <v>1500</v>
      </c>
      <c r="N56" s="191">
        <f>M56/M12</f>
        <v>4.6985781295518479E-4</v>
      </c>
      <c r="O56" s="155">
        <v>750</v>
      </c>
      <c r="P56" s="191">
        <f>O56/O12</f>
        <v>3.7107092466483237E-4</v>
      </c>
      <c r="Q56" s="155">
        <v>750</v>
      </c>
      <c r="R56" s="191">
        <f>Q56/Q12</f>
        <v>2.9883164901280639E-4</v>
      </c>
      <c r="S56" s="155">
        <v>750</v>
      </c>
      <c r="T56" s="191">
        <f>S56/S12</f>
        <v>2.9664264115484841E-4</v>
      </c>
      <c r="U56" s="155">
        <v>750</v>
      </c>
      <c r="V56" s="191">
        <f>U56/U12</f>
        <v>3.7397907128850871E-4</v>
      </c>
      <c r="W56" s="155">
        <v>750</v>
      </c>
      <c r="X56" s="191">
        <f>W56/W12</f>
        <v>3.6756812112680512E-4</v>
      </c>
      <c r="Y56" s="155">
        <v>1500</v>
      </c>
      <c r="Z56" s="191">
        <f>Y56/Y12</f>
        <v>4.8663137150707891E-4</v>
      </c>
      <c r="AA56" s="59">
        <f>C56+E56+G56+I56+K56+M56+O56+Q56+S56+U56+W56+Y56</f>
        <v>10500</v>
      </c>
      <c r="AB56" s="28">
        <f>AA56/AA12</f>
        <v>3.655774634070784E-4</v>
      </c>
      <c r="AC56" s="160">
        <f t="shared" si="1"/>
        <v>875</v>
      </c>
      <c r="AD56" s="28">
        <f>AC56/AC12</f>
        <v>3.655774634070784E-4</v>
      </c>
      <c r="AE56" s="44">
        <f t="shared" si="2"/>
        <v>10500</v>
      </c>
      <c r="AF56" s="21">
        <f t="shared" si="3"/>
        <v>0</v>
      </c>
      <c r="AG56" s="1" t="s">
        <v>245</v>
      </c>
    </row>
    <row r="57" spans="1:34" s="1" customFormat="1">
      <c r="A57" s="82">
        <v>6116</v>
      </c>
      <c r="B57" s="219" t="s">
        <v>14</v>
      </c>
      <c r="C57" s="19">
        <v>1617.23</v>
      </c>
      <c r="D57" s="28">
        <f>C57/C12</f>
        <v>7.4864773817286524E-4</v>
      </c>
      <c r="E57" s="19">
        <v>1617.23</v>
      </c>
      <c r="F57" s="28">
        <f>E57/E12</f>
        <v>9.6227034653165579E-4</v>
      </c>
      <c r="G57" s="19">
        <v>1617.23</v>
      </c>
      <c r="H57" s="28">
        <f>G57/G12</f>
        <v>5.8010811671414873E-4</v>
      </c>
      <c r="I57" s="19">
        <v>1617.23</v>
      </c>
      <c r="J57" s="28">
        <f>I57/I12</f>
        <v>6.5697835080645334E-4</v>
      </c>
      <c r="K57" s="19">
        <v>1617.23</v>
      </c>
      <c r="L57" s="28">
        <f>K57/K12</f>
        <v>7.1832167823765404E-4</v>
      </c>
      <c r="M57" s="19">
        <v>1617.23</v>
      </c>
      <c r="N57" s="28">
        <f>M57/M12</f>
        <v>5.0657876723034234E-4</v>
      </c>
      <c r="O57" s="19">
        <v>1617.23</v>
      </c>
      <c r="P57" s="28">
        <f>O57/O12</f>
        <v>8.0014270866094243E-4</v>
      </c>
      <c r="Q57" s="19">
        <v>1617.23</v>
      </c>
      <c r="R57" s="28">
        <f>Q57/Q12</f>
        <v>6.4437267697730781E-4</v>
      </c>
      <c r="S57" s="19">
        <v>1617.23</v>
      </c>
      <c r="T57" s="28">
        <f>S57/S12</f>
        <v>6.3965250473980734E-4</v>
      </c>
      <c r="U57" s="19">
        <v>1617.23</v>
      </c>
      <c r="V57" s="28">
        <f>U57/U12</f>
        <v>8.0641356461321986E-4</v>
      </c>
      <c r="W57" s="19">
        <v>1617.23</v>
      </c>
      <c r="X57" s="28">
        <f>W57/W12</f>
        <v>7.9258959003987071E-4</v>
      </c>
      <c r="Y57" s="19">
        <v>1617.23</v>
      </c>
      <c r="Z57" s="28">
        <f>Y57/Y12</f>
        <v>5.2466323529492881E-4</v>
      </c>
      <c r="AA57" s="59">
        <f t="shared" si="19"/>
        <v>19406.759999999998</v>
      </c>
      <c r="AB57" s="28">
        <f>AA57/AA12</f>
        <v>6.75683247023805E-4</v>
      </c>
      <c r="AC57" s="160">
        <f t="shared" si="1"/>
        <v>1617.2299999999998</v>
      </c>
      <c r="AD57" s="28">
        <f>AC57/AC12</f>
        <v>6.756832470238049E-4</v>
      </c>
      <c r="AE57" s="44">
        <f t="shared" si="2"/>
        <v>19406.759999999998</v>
      </c>
      <c r="AF57" s="21">
        <f t="shared" si="3"/>
        <v>0</v>
      </c>
      <c r="AG57" s="1" t="s">
        <v>247</v>
      </c>
    </row>
    <row r="58" spans="1:34" s="1" customFormat="1">
      <c r="A58" s="2">
        <v>6117</v>
      </c>
      <c r="B58" s="219" t="s">
        <v>15</v>
      </c>
      <c r="C58" s="158"/>
      <c r="D58" s="191">
        <f>C58/C12</f>
        <v>0</v>
      </c>
      <c r="E58" s="158">
        <v>0</v>
      </c>
      <c r="F58" s="191">
        <f>E58/E12</f>
        <v>0</v>
      </c>
      <c r="G58" s="158"/>
      <c r="H58" s="191">
        <f>G58/G12</f>
        <v>0</v>
      </c>
      <c r="I58" s="158">
        <v>0</v>
      </c>
      <c r="J58" s="191">
        <f>I58/I12</f>
        <v>0</v>
      </c>
      <c r="K58" s="158"/>
      <c r="L58" s="191">
        <f>K58/K12</f>
        <v>0</v>
      </c>
      <c r="M58" s="158"/>
      <c r="N58" s="191">
        <f>M58/M12</f>
        <v>0</v>
      </c>
      <c r="O58" s="158"/>
      <c r="P58" s="191">
        <f>O58/O12</f>
        <v>0</v>
      </c>
      <c r="Q58" s="158"/>
      <c r="R58" s="191">
        <f>Q58/Q12</f>
        <v>0</v>
      </c>
      <c r="S58" s="158"/>
      <c r="T58" s="191">
        <f>S58/S12</f>
        <v>0</v>
      </c>
      <c r="U58" s="158"/>
      <c r="V58" s="191">
        <f>U58/U12</f>
        <v>0</v>
      </c>
      <c r="W58" s="158"/>
      <c r="X58" s="191">
        <f>W58/W12</f>
        <v>0</v>
      </c>
      <c r="Y58" s="158"/>
      <c r="Z58" s="191">
        <f>Y58/Y12</f>
        <v>0</v>
      </c>
      <c r="AA58" s="59">
        <f t="shared" si="19"/>
        <v>0</v>
      </c>
      <c r="AB58" s="28">
        <f>AA58/AA12</f>
        <v>0</v>
      </c>
      <c r="AC58" s="160">
        <f t="shared" si="1"/>
        <v>0</v>
      </c>
      <c r="AD58" s="28">
        <f>AC58/AC12</f>
        <v>0</v>
      </c>
      <c r="AE58" s="44">
        <f t="shared" si="2"/>
        <v>0</v>
      </c>
      <c r="AF58" s="21">
        <f t="shared" si="3"/>
        <v>0</v>
      </c>
    </row>
    <row r="59" spans="1:34" s="1" customFormat="1">
      <c r="A59" s="2">
        <v>6118</v>
      </c>
      <c r="B59" s="219" t="s">
        <v>16</v>
      </c>
      <c r="C59" s="155">
        <v>20960</v>
      </c>
      <c r="D59" s="191">
        <f>C59/C12</f>
        <v>9.7027983602228848E-3</v>
      </c>
      <c r="E59" s="155">
        <v>20960</v>
      </c>
      <c r="F59" s="191">
        <f>E59/E12</f>
        <v>1.2471439723047126E-2</v>
      </c>
      <c r="G59" s="155">
        <v>20960</v>
      </c>
      <c r="H59" s="191">
        <f>G59/G12</f>
        <v>7.5184519989912116E-3</v>
      </c>
      <c r="I59" s="155">
        <v>20960</v>
      </c>
      <c r="J59" s="191">
        <f>I59/I12</f>
        <v>8.5147234672268406E-3</v>
      </c>
      <c r="K59" s="155">
        <v>20960</v>
      </c>
      <c r="L59" s="191">
        <f>K59/K12</f>
        <v>9.3097595121666241E-3</v>
      </c>
      <c r="M59" s="155">
        <v>20960</v>
      </c>
      <c r="N59" s="191">
        <f>M59/M12</f>
        <v>6.5654798396937823E-3</v>
      </c>
      <c r="O59" s="155">
        <v>20960</v>
      </c>
      <c r="P59" s="191">
        <f>O59/O12</f>
        <v>1.0370195441299848E-2</v>
      </c>
      <c r="Q59" s="155">
        <v>20960</v>
      </c>
      <c r="R59" s="191">
        <f>Q59/Q12</f>
        <v>8.3513484844112279E-3</v>
      </c>
      <c r="S59" s="155">
        <v>20960</v>
      </c>
      <c r="T59" s="191">
        <f>S59/S12</f>
        <v>8.2901730114741633E-3</v>
      </c>
      <c r="U59" s="155">
        <v>20960</v>
      </c>
      <c r="V59" s="191">
        <f>U59/U12</f>
        <v>1.0451468445609523E-2</v>
      </c>
      <c r="W59" s="155">
        <v>20960</v>
      </c>
      <c r="X59" s="191">
        <f>W59/W12</f>
        <v>1.027230375842378E-2</v>
      </c>
      <c r="Y59" s="155">
        <v>20960</v>
      </c>
      <c r="Z59" s="191">
        <f>Y59/Y12</f>
        <v>6.7998623645255827E-3</v>
      </c>
      <c r="AA59" s="59">
        <f t="shared" si="19"/>
        <v>251520</v>
      </c>
      <c r="AB59" s="28">
        <f>AA59/AA12</f>
        <v>8.7571470091569858E-3</v>
      </c>
      <c r="AC59" s="160">
        <f t="shared" si="1"/>
        <v>20960</v>
      </c>
      <c r="AD59" s="28">
        <f>AC59/AC12</f>
        <v>8.7571470091569858E-3</v>
      </c>
      <c r="AE59" s="44">
        <f t="shared" si="2"/>
        <v>251520</v>
      </c>
      <c r="AF59" s="21">
        <f t="shared" si="3"/>
        <v>0</v>
      </c>
      <c r="AG59" s="1" t="s">
        <v>199</v>
      </c>
    </row>
    <row r="60" spans="1:34" s="1" customFormat="1">
      <c r="A60" s="2">
        <v>6119</v>
      </c>
      <c r="B60" s="219" t="s">
        <v>17</v>
      </c>
      <c r="C60" s="158"/>
      <c r="D60" s="191">
        <f>C60/C12</f>
        <v>0</v>
      </c>
      <c r="E60" s="158"/>
      <c r="F60" s="191">
        <f>E60/E12</f>
        <v>0</v>
      </c>
      <c r="G60" s="158"/>
      <c r="H60" s="191">
        <f>G60/G12</f>
        <v>0</v>
      </c>
      <c r="I60" s="158"/>
      <c r="J60" s="191">
        <f>I60/I12</f>
        <v>0</v>
      </c>
      <c r="K60" s="158"/>
      <c r="L60" s="191">
        <f>K60/K12</f>
        <v>0</v>
      </c>
      <c r="M60" s="158"/>
      <c r="N60" s="191">
        <f>M60/M12</f>
        <v>0</v>
      </c>
      <c r="O60" s="158"/>
      <c r="P60" s="191">
        <f>O60/O12</f>
        <v>0</v>
      </c>
      <c r="Q60" s="158"/>
      <c r="R60" s="191">
        <f>Q60/Q12</f>
        <v>0</v>
      </c>
      <c r="S60" s="158"/>
      <c r="T60" s="191">
        <f>S60/S12</f>
        <v>0</v>
      </c>
      <c r="U60" s="158"/>
      <c r="V60" s="191">
        <f>U60/U12</f>
        <v>0</v>
      </c>
      <c r="W60" s="158"/>
      <c r="X60" s="191">
        <f>W60/W12</f>
        <v>0</v>
      </c>
      <c r="Y60" s="158"/>
      <c r="Z60" s="191">
        <f>Y60/Y12</f>
        <v>0</v>
      </c>
      <c r="AA60" s="59">
        <f t="shared" si="19"/>
        <v>0</v>
      </c>
      <c r="AB60" s="28">
        <f>AA60/AA12</f>
        <v>0</v>
      </c>
      <c r="AC60" s="160">
        <f t="shared" si="1"/>
        <v>0</v>
      </c>
      <c r="AD60" s="28">
        <f>AC60/AC12</f>
        <v>0</v>
      </c>
      <c r="AE60" s="44">
        <f t="shared" si="2"/>
        <v>0</v>
      </c>
      <c r="AF60" s="21">
        <f t="shared" si="3"/>
        <v>0</v>
      </c>
    </row>
    <row r="61" spans="1:34" s="1" customFormat="1">
      <c r="A61" s="2">
        <v>6120</v>
      </c>
      <c r="B61" s="219" t="s">
        <v>18</v>
      </c>
      <c r="C61" s="158"/>
      <c r="D61" s="191">
        <f>C61/C12</f>
        <v>0</v>
      </c>
      <c r="E61" s="158"/>
      <c r="F61" s="191">
        <f>E61/E12</f>
        <v>0</v>
      </c>
      <c r="G61" s="158"/>
      <c r="H61" s="191">
        <f>G61/G12</f>
        <v>0</v>
      </c>
      <c r="I61" s="158"/>
      <c r="J61" s="191">
        <f>I61/I12</f>
        <v>0</v>
      </c>
      <c r="K61" s="158"/>
      <c r="L61" s="191">
        <f>K61/K12</f>
        <v>0</v>
      </c>
      <c r="M61" s="158"/>
      <c r="N61" s="191">
        <f>M61/M12</f>
        <v>0</v>
      </c>
      <c r="O61" s="158"/>
      <c r="P61" s="191">
        <f>O61/O12</f>
        <v>0</v>
      </c>
      <c r="Q61" s="158"/>
      <c r="R61" s="191">
        <f>Q61/Q12</f>
        <v>0</v>
      </c>
      <c r="S61" s="158"/>
      <c r="T61" s="191">
        <f>S61/S12</f>
        <v>0</v>
      </c>
      <c r="U61" s="158"/>
      <c r="V61" s="191">
        <f>U61/U12</f>
        <v>0</v>
      </c>
      <c r="W61" s="158"/>
      <c r="X61" s="191">
        <f>W61/W12</f>
        <v>0</v>
      </c>
      <c r="Y61" s="158"/>
      <c r="Z61" s="191">
        <f>Y61/Y12</f>
        <v>0</v>
      </c>
      <c r="AA61" s="59">
        <f t="shared" si="19"/>
        <v>0</v>
      </c>
      <c r="AB61" s="28">
        <f>AA61/AA12</f>
        <v>0</v>
      </c>
      <c r="AC61" s="160">
        <f t="shared" si="1"/>
        <v>0</v>
      </c>
      <c r="AD61" s="28">
        <f>AC61/AC12</f>
        <v>0</v>
      </c>
      <c r="AE61" s="44">
        <f t="shared" si="2"/>
        <v>0</v>
      </c>
      <c r="AF61" s="21">
        <f t="shared" si="3"/>
        <v>0</v>
      </c>
    </row>
    <row r="62" spans="1:34" s="1" customFormat="1">
      <c r="A62" s="2">
        <v>6121</v>
      </c>
      <c r="B62" s="216" t="s">
        <v>19</v>
      </c>
      <c r="C62" s="16">
        <v>500</v>
      </c>
      <c r="D62" s="28">
        <f>C62/C12</f>
        <v>2.3145988454730164E-4</v>
      </c>
      <c r="E62" s="16">
        <v>500</v>
      </c>
      <c r="F62" s="28">
        <f>E62/E12</f>
        <v>2.975057185841395E-4</v>
      </c>
      <c r="G62" s="16">
        <v>500</v>
      </c>
      <c r="H62" s="28">
        <f>G62/G12</f>
        <v>1.7935238547211858E-4</v>
      </c>
      <c r="I62" s="16">
        <v>500</v>
      </c>
      <c r="J62" s="28">
        <f>I62/I12</f>
        <v>2.0311840332125095E-4</v>
      </c>
      <c r="K62" s="16">
        <v>500</v>
      </c>
      <c r="L62" s="28">
        <f>K62/K12</f>
        <v>2.2208395782840229E-4</v>
      </c>
      <c r="M62" s="16">
        <v>500</v>
      </c>
      <c r="N62" s="28">
        <f>M62/M12</f>
        <v>1.5661927098506161E-4</v>
      </c>
      <c r="O62" s="16">
        <v>500</v>
      </c>
      <c r="P62" s="28">
        <f>O62/O12</f>
        <v>2.4738061644322156E-4</v>
      </c>
      <c r="Q62" s="16">
        <v>500</v>
      </c>
      <c r="R62" s="28">
        <f>Q62/Q12</f>
        <v>1.9922109934187091E-4</v>
      </c>
      <c r="S62" s="16">
        <v>500</v>
      </c>
      <c r="T62" s="28">
        <f>S62/S12</f>
        <v>1.9776176076989895E-4</v>
      </c>
      <c r="U62" s="16">
        <v>500</v>
      </c>
      <c r="V62" s="28">
        <f>U62/U12</f>
        <v>2.4931938085900581E-4</v>
      </c>
      <c r="W62" s="16">
        <v>500</v>
      </c>
      <c r="X62" s="28">
        <f>W62/W12</f>
        <v>2.4504541408453673E-4</v>
      </c>
      <c r="Y62" s="16">
        <v>500</v>
      </c>
      <c r="Z62" s="28">
        <f>Y62/Y12</f>
        <v>1.622104571690263E-4</v>
      </c>
      <c r="AA62" s="59">
        <f t="shared" si="19"/>
        <v>6000</v>
      </c>
      <c r="AB62" s="28">
        <f>AA62/AA12</f>
        <v>2.0890140766118766E-4</v>
      </c>
      <c r="AC62" s="160">
        <f t="shared" si="1"/>
        <v>500</v>
      </c>
      <c r="AD62" s="28">
        <f>AC62/AC12</f>
        <v>2.0890140766118766E-4</v>
      </c>
      <c r="AE62" s="44">
        <f t="shared" si="2"/>
        <v>6000</v>
      </c>
      <c r="AF62" s="21">
        <f t="shared" si="3"/>
        <v>0</v>
      </c>
      <c r="AG62" s="1">
        <v>450</v>
      </c>
    </row>
    <row r="63" spans="1:34" s="1" customFormat="1">
      <c r="A63" s="2">
        <v>6122</v>
      </c>
      <c r="B63" s="216" t="s">
        <v>162</v>
      </c>
      <c r="C63" s="158"/>
      <c r="D63" s="191">
        <f>C63/C12</f>
        <v>0</v>
      </c>
      <c r="E63" s="158"/>
      <c r="F63" s="191">
        <f>E63/E12</f>
        <v>0</v>
      </c>
      <c r="G63" s="158"/>
      <c r="H63" s="191">
        <f>G63/G12</f>
        <v>0</v>
      </c>
      <c r="I63" s="158"/>
      <c r="J63" s="191">
        <f>I63/I12</f>
        <v>0</v>
      </c>
      <c r="K63" s="158"/>
      <c r="L63" s="191">
        <f>K63/K12</f>
        <v>0</v>
      </c>
      <c r="M63" s="158"/>
      <c r="N63" s="191">
        <f>M63/M12</f>
        <v>0</v>
      </c>
      <c r="O63" s="158"/>
      <c r="P63" s="191">
        <f>O63/O12</f>
        <v>0</v>
      </c>
      <c r="Q63" s="158"/>
      <c r="R63" s="191">
        <f>Q63/Q12</f>
        <v>0</v>
      </c>
      <c r="S63" s="158"/>
      <c r="T63" s="191">
        <f>S63/S12</f>
        <v>0</v>
      </c>
      <c r="U63" s="158"/>
      <c r="V63" s="191">
        <f>U63/U12</f>
        <v>0</v>
      </c>
      <c r="W63" s="158"/>
      <c r="X63" s="191">
        <f>W63/W12</f>
        <v>0</v>
      </c>
      <c r="Y63" s="158"/>
      <c r="Z63" s="191">
        <f>Y63/Y12</f>
        <v>0</v>
      </c>
      <c r="AA63" s="59">
        <f t="shared" si="19"/>
        <v>0</v>
      </c>
      <c r="AB63" s="28">
        <f>AA63/AA12</f>
        <v>0</v>
      </c>
      <c r="AC63" s="160">
        <f t="shared" si="1"/>
        <v>0</v>
      </c>
      <c r="AD63" s="28">
        <f>AC63/AC12</f>
        <v>0</v>
      </c>
      <c r="AE63" s="44">
        <f t="shared" si="2"/>
        <v>0</v>
      </c>
      <c r="AF63" s="21">
        <f t="shared" si="3"/>
        <v>0</v>
      </c>
    </row>
    <row r="64" spans="1:34" s="1" customFormat="1">
      <c r="A64" s="2">
        <v>6123</v>
      </c>
      <c r="B64" s="216" t="s">
        <v>21</v>
      </c>
      <c r="C64" s="158"/>
      <c r="D64" s="191">
        <f>C64/C12</f>
        <v>0</v>
      </c>
      <c r="E64" s="158"/>
      <c r="F64" s="191">
        <f>E64/E12</f>
        <v>0</v>
      </c>
      <c r="G64" s="158"/>
      <c r="H64" s="191">
        <f>G64/G12</f>
        <v>0</v>
      </c>
      <c r="I64" s="158"/>
      <c r="J64" s="191">
        <f>I64/I12</f>
        <v>0</v>
      </c>
      <c r="K64" s="158"/>
      <c r="L64" s="191">
        <f>K64/K12</f>
        <v>0</v>
      </c>
      <c r="M64" s="158"/>
      <c r="N64" s="191">
        <f>M64/M12</f>
        <v>0</v>
      </c>
      <c r="O64" s="158"/>
      <c r="P64" s="191">
        <f>O64/O12</f>
        <v>0</v>
      </c>
      <c r="Q64" s="158"/>
      <c r="R64" s="191">
        <f>Q64/Q12</f>
        <v>0</v>
      </c>
      <c r="S64" s="158"/>
      <c r="T64" s="191">
        <f>S64/S12</f>
        <v>0</v>
      </c>
      <c r="U64" s="158"/>
      <c r="V64" s="191">
        <f>U64/U12</f>
        <v>0</v>
      </c>
      <c r="W64" s="158"/>
      <c r="X64" s="191">
        <f>W64/W12</f>
        <v>0</v>
      </c>
      <c r="Y64" s="158"/>
      <c r="Z64" s="191">
        <f>Y64/Y12</f>
        <v>0</v>
      </c>
      <c r="AA64" s="59">
        <f t="shared" si="19"/>
        <v>0</v>
      </c>
      <c r="AB64" s="28">
        <f>AA64/AA12</f>
        <v>0</v>
      </c>
      <c r="AC64" s="160">
        <f t="shared" si="1"/>
        <v>0</v>
      </c>
      <c r="AD64" s="28">
        <f>AC64/AC12</f>
        <v>0</v>
      </c>
      <c r="AE64" s="44">
        <f t="shared" si="2"/>
        <v>0</v>
      </c>
      <c r="AF64" s="21">
        <f t="shared" si="3"/>
        <v>0</v>
      </c>
    </row>
    <row r="65" spans="1:32" s="1" customFormat="1">
      <c r="A65" s="82">
        <v>6124</v>
      </c>
      <c r="B65" s="216" t="s">
        <v>22</v>
      </c>
      <c r="C65" s="158">
        <v>5000</v>
      </c>
      <c r="D65" s="191">
        <f>C65/C12</f>
        <v>2.3145988454730164E-3</v>
      </c>
      <c r="E65" s="158">
        <v>5000</v>
      </c>
      <c r="F65" s="191">
        <f>E65/E12</f>
        <v>2.9750571858413949E-3</v>
      </c>
      <c r="G65" s="158">
        <v>5000</v>
      </c>
      <c r="H65" s="191">
        <f>G65/G12</f>
        <v>1.793523854721186E-3</v>
      </c>
      <c r="I65" s="158">
        <v>5000</v>
      </c>
      <c r="J65" s="191">
        <f>I65/I12</f>
        <v>2.0311840332125097E-3</v>
      </c>
      <c r="K65" s="158">
        <v>5000</v>
      </c>
      <c r="L65" s="191">
        <f>K65/K12</f>
        <v>2.2208395782840227E-3</v>
      </c>
      <c r="M65" s="158">
        <v>5000</v>
      </c>
      <c r="N65" s="191">
        <f>M65/M12</f>
        <v>1.5661927098506161E-3</v>
      </c>
      <c r="O65" s="158">
        <v>5000</v>
      </c>
      <c r="P65" s="191">
        <f>O65/O12</f>
        <v>2.4738061644322155E-3</v>
      </c>
      <c r="Q65" s="158">
        <v>5000</v>
      </c>
      <c r="R65" s="191">
        <f>Q65/Q12</f>
        <v>1.9922109934187092E-3</v>
      </c>
      <c r="S65" s="158">
        <v>5000</v>
      </c>
      <c r="T65" s="191">
        <f>S65/S12</f>
        <v>1.9776176076989893E-3</v>
      </c>
      <c r="U65" s="158">
        <v>5000</v>
      </c>
      <c r="V65" s="191">
        <f>U65/U12</f>
        <v>2.4931938085900581E-3</v>
      </c>
      <c r="W65" s="158">
        <v>5000</v>
      </c>
      <c r="X65" s="191">
        <f>W65/W12</f>
        <v>2.4504541408453674E-3</v>
      </c>
      <c r="Y65" s="158">
        <v>5000</v>
      </c>
      <c r="Z65" s="191">
        <f>Y65/Y12</f>
        <v>1.6221045716902631E-3</v>
      </c>
      <c r="AA65" s="59">
        <f t="shared" si="19"/>
        <v>60000</v>
      </c>
      <c r="AB65" s="28">
        <f>AA65/AA12</f>
        <v>2.0890140766118767E-3</v>
      </c>
      <c r="AC65" s="160">
        <f t="shared" si="1"/>
        <v>5000</v>
      </c>
      <c r="AD65" s="28">
        <f>AC65/AC12</f>
        <v>2.0890140766118763E-3</v>
      </c>
      <c r="AE65" s="44">
        <f t="shared" si="2"/>
        <v>60000</v>
      </c>
      <c r="AF65" s="21">
        <f t="shared" si="3"/>
        <v>0</v>
      </c>
    </row>
    <row r="66" spans="1:32" s="1" customFormat="1">
      <c r="A66" s="82">
        <v>6125</v>
      </c>
      <c r="B66" s="15" t="s">
        <v>78</v>
      </c>
      <c r="C66" s="313">
        <v>416.67</v>
      </c>
      <c r="D66" s="28">
        <f>C66/C12</f>
        <v>1.9288478018864835E-4</v>
      </c>
      <c r="E66" s="313">
        <v>416.67</v>
      </c>
      <c r="F66" s="28">
        <f>E66/E12</f>
        <v>2.4792341552490679E-4</v>
      </c>
      <c r="G66" s="313">
        <v>416.67</v>
      </c>
      <c r="H66" s="28">
        <f>G66/G12</f>
        <v>1.4946151690933531E-4</v>
      </c>
      <c r="I66" s="313">
        <v>416.67</v>
      </c>
      <c r="J66" s="28">
        <f>I66/I12</f>
        <v>1.6926669022373128E-4</v>
      </c>
      <c r="K66" s="313">
        <v>416.67</v>
      </c>
      <c r="L66" s="28">
        <f>K66/K12</f>
        <v>1.8507144541672076E-4</v>
      </c>
      <c r="M66" s="313">
        <v>416.67</v>
      </c>
      <c r="N66" s="28">
        <f>M66/M12</f>
        <v>1.3051710328269123E-4</v>
      </c>
      <c r="O66" s="313">
        <v>416.67</v>
      </c>
      <c r="P66" s="28">
        <f>O66/O12</f>
        <v>2.0615216290679428E-4</v>
      </c>
      <c r="Q66" s="313">
        <v>416.67</v>
      </c>
      <c r="R66" s="28">
        <f>Q66/Q12</f>
        <v>1.6601891092555472E-4</v>
      </c>
      <c r="S66" s="313">
        <v>416.67</v>
      </c>
      <c r="T66" s="28">
        <f>S66/S12</f>
        <v>1.6480278571998761E-4</v>
      </c>
      <c r="U66" s="313">
        <v>416.67</v>
      </c>
      <c r="V66" s="28">
        <f>U66/U12</f>
        <v>2.0776781284504388E-4</v>
      </c>
      <c r="W66" s="313">
        <v>416.67</v>
      </c>
      <c r="X66" s="28">
        <f>W66/W12</f>
        <v>2.0420614537320785E-4</v>
      </c>
      <c r="Y66" s="313">
        <v>416.67</v>
      </c>
      <c r="Z66" s="28">
        <f>Y66/Y12</f>
        <v>1.3517646237723639E-4</v>
      </c>
      <c r="AA66" s="59">
        <f t="shared" si="19"/>
        <v>5000.04</v>
      </c>
      <c r="AB66" s="28">
        <f>AA66/AA12</f>
        <v>1.7408589906037412E-4</v>
      </c>
      <c r="AC66" s="160">
        <f t="shared" si="1"/>
        <v>416.67</v>
      </c>
      <c r="AD66" s="28">
        <f>AC66/AC12</f>
        <v>1.7408589906037412E-4</v>
      </c>
      <c r="AE66" s="44">
        <f t="shared" si="2"/>
        <v>5000.04</v>
      </c>
      <c r="AF66" s="21">
        <f t="shared" si="3"/>
        <v>0</v>
      </c>
    </row>
    <row r="67" spans="1:32" s="1" customFormat="1">
      <c r="A67" s="2">
        <v>6126</v>
      </c>
      <c r="B67" s="216" t="s">
        <v>163</v>
      </c>
      <c r="C67" s="158"/>
      <c r="D67" s="191"/>
      <c r="E67" s="158"/>
      <c r="F67" s="191"/>
      <c r="G67" s="158"/>
      <c r="H67" s="191"/>
      <c r="I67" s="158"/>
      <c r="J67" s="191"/>
      <c r="K67" s="158"/>
      <c r="L67" s="191"/>
      <c r="M67" s="158"/>
      <c r="N67" s="191"/>
      <c r="O67" s="158"/>
      <c r="P67" s="191"/>
      <c r="Q67" s="158"/>
      <c r="R67" s="191"/>
      <c r="S67" s="158"/>
      <c r="T67" s="191"/>
      <c r="U67" s="158"/>
      <c r="V67" s="191"/>
      <c r="W67" s="158"/>
      <c r="X67" s="191"/>
      <c r="Y67" s="158"/>
      <c r="Z67" s="191"/>
      <c r="AA67" s="59">
        <f t="shared" si="19"/>
        <v>0</v>
      </c>
      <c r="AB67" s="28"/>
      <c r="AC67" s="160">
        <f t="shared" si="1"/>
        <v>0</v>
      </c>
      <c r="AD67" s="28"/>
      <c r="AE67" s="44">
        <f t="shared" si="2"/>
        <v>0</v>
      </c>
      <c r="AF67" s="21">
        <f t="shared" si="3"/>
        <v>0</v>
      </c>
    </row>
    <row r="68" spans="1:32" s="1" customFormat="1">
      <c r="A68" s="2">
        <v>6127</v>
      </c>
      <c r="B68" s="216" t="s">
        <v>76</v>
      </c>
      <c r="C68" s="16">
        <v>2300</v>
      </c>
      <c r="D68" s="28">
        <f>C68/C$145</f>
        <v>3.1904549633576264E-3</v>
      </c>
      <c r="E68" s="16">
        <v>2300</v>
      </c>
      <c r="F68" s="28">
        <f>E68/E$145</f>
        <v>2.9259546436310058E-3</v>
      </c>
      <c r="G68" s="16">
        <v>2300</v>
      </c>
      <c r="H68" s="28">
        <f>G68/G$145</f>
        <v>2.9433731630083186E-3</v>
      </c>
      <c r="I68" s="16">
        <v>2300</v>
      </c>
      <c r="J68" s="28">
        <f>I68/I$145</f>
        <v>2.8982405541282908E-3</v>
      </c>
      <c r="K68" s="16">
        <v>2300</v>
      </c>
      <c r="L68" s="28">
        <f>K68/K$145</f>
        <v>2.7202440221259631E-3</v>
      </c>
      <c r="M68" s="16">
        <v>2300</v>
      </c>
      <c r="N68" s="28">
        <f>M68/M$145</f>
        <v>3.1573544886849074E-3</v>
      </c>
      <c r="O68" s="16">
        <v>2300</v>
      </c>
      <c r="P68" s="28">
        <f>O68/O$145</f>
        <v>3.0072606842666094E-3</v>
      </c>
      <c r="Q68" s="16">
        <v>2300</v>
      </c>
      <c r="R68" s="28">
        <f>Q68/Q$145</f>
        <v>2.8647461712550874E-3</v>
      </c>
      <c r="S68" s="16">
        <v>2300</v>
      </c>
      <c r="T68" s="28">
        <f>S68/S$145</f>
        <v>2.9467737806439936E-3</v>
      </c>
      <c r="U68" s="16">
        <v>2300</v>
      </c>
      <c r="V68" s="28">
        <f>U68/U$145</f>
        <v>2.9534054462831442E-3</v>
      </c>
      <c r="W68" s="16">
        <v>2300</v>
      </c>
      <c r="X68" s="28">
        <f>W68/W$145</f>
        <v>2.8818412939030295E-3</v>
      </c>
      <c r="Y68" s="16">
        <v>2300</v>
      </c>
      <c r="Z68" s="28">
        <f>Y68/Y$145</f>
        <v>2.9382134836728191E-3</v>
      </c>
      <c r="AA68" s="59">
        <f t="shared" si="19"/>
        <v>27600</v>
      </c>
      <c r="AB68" s="28">
        <f>AA68/AA12</f>
        <v>9.6094647524146322E-4</v>
      </c>
      <c r="AC68" s="160">
        <f t="shared" si="1"/>
        <v>2300</v>
      </c>
      <c r="AD68" s="28">
        <f>AC68/AC12</f>
        <v>9.6094647524146311E-4</v>
      </c>
      <c r="AE68" s="44">
        <f t="shared" si="2"/>
        <v>27600</v>
      </c>
      <c r="AF68" s="21">
        <f t="shared" si="3"/>
        <v>0</v>
      </c>
    </row>
    <row r="69" spans="1:32" s="1" customFormat="1">
      <c r="A69" s="2">
        <v>6129</v>
      </c>
      <c r="B69" s="219" t="s">
        <v>161</v>
      </c>
      <c r="C69" s="158"/>
      <c r="D69" s="28">
        <f>C69/C12</f>
        <v>0</v>
      </c>
      <c r="E69" s="158"/>
      <c r="F69" s="28">
        <f>E69/E12</f>
        <v>0</v>
      </c>
      <c r="G69" s="158"/>
      <c r="H69" s="28">
        <f>G69/G12</f>
        <v>0</v>
      </c>
      <c r="I69" s="158"/>
      <c r="J69" s="28">
        <f>I69/I12</f>
        <v>0</v>
      </c>
      <c r="K69" s="158"/>
      <c r="L69" s="28">
        <f>K69/K12</f>
        <v>0</v>
      </c>
      <c r="M69" s="158"/>
      <c r="N69" s="28">
        <f>M69/M12</f>
        <v>0</v>
      </c>
      <c r="O69" s="158"/>
      <c r="P69" s="28">
        <f>O69/O12</f>
        <v>0</v>
      </c>
      <c r="Q69" s="158"/>
      <c r="R69" s="28">
        <f>Q69/Q12</f>
        <v>0</v>
      </c>
      <c r="S69" s="158"/>
      <c r="T69" s="28">
        <f>S69/S12</f>
        <v>0</v>
      </c>
      <c r="U69" s="158"/>
      <c r="V69" s="28">
        <f>U69/U12</f>
        <v>0</v>
      </c>
      <c r="W69" s="158"/>
      <c r="X69" s="28">
        <f>W69/W12</f>
        <v>0</v>
      </c>
      <c r="Y69" s="158"/>
      <c r="Z69" s="28">
        <f>Y69/Y12</f>
        <v>0</v>
      </c>
      <c r="AA69" s="59">
        <f t="shared" si="19"/>
        <v>0</v>
      </c>
      <c r="AB69" s="28"/>
      <c r="AC69" s="160">
        <f t="shared" si="1"/>
        <v>0</v>
      </c>
      <c r="AD69" s="28"/>
      <c r="AE69" s="44">
        <f t="shared" si="2"/>
        <v>0</v>
      </c>
      <c r="AF69" s="21">
        <f t="shared" si="3"/>
        <v>0</v>
      </c>
    </row>
    <row r="70" spans="1:32" s="1" customFormat="1">
      <c r="A70" s="2">
        <v>6131</v>
      </c>
      <c r="B70" s="15" t="s">
        <v>235</v>
      </c>
      <c r="C70" s="313">
        <v>791.67</v>
      </c>
      <c r="D70" s="28">
        <f>C70/C12</f>
        <v>3.6647969359912455E-4</v>
      </c>
      <c r="E70" s="313">
        <v>791.67</v>
      </c>
      <c r="F70" s="28">
        <f>E70/E12</f>
        <v>4.7105270446301138E-4</v>
      </c>
      <c r="G70" s="313">
        <v>791.67</v>
      </c>
      <c r="H70" s="28">
        <f>G70/G12</f>
        <v>2.8397580601342425E-4</v>
      </c>
      <c r="I70" s="313">
        <v>791.67</v>
      </c>
      <c r="J70" s="28">
        <f>I70/I12</f>
        <v>3.2160549271466945E-4</v>
      </c>
      <c r="K70" s="313">
        <v>791.67</v>
      </c>
      <c r="L70" s="28">
        <f>K70/K12</f>
        <v>3.5163441378802243E-4</v>
      </c>
      <c r="M70" s="313">
        <v>791.67</v>
      </c>
      <c r="N70" s="28">
        <f>M70/M12</f>
        <v>2.4798155652148741E-4</v>
      </c>
      <c r="O70" s="313">
        <v>791.67</v>
      </c>
      <c r="P70" s="28">
        <f>O70/O12</f>
        <v>3.9168762523921044E-4</v>
      </c>
      <c r="Q70" s="313">
        <v>791.67</v>
      </c>
      <c r="R70" s="28">
        <f>Q70/Q12</f>
        <v>3.1543473543195786E-4</v>
      </c>
      <c r="S70" s="313">
        <v>791.67</v>
      </c>
      <c r="T70" s="28">
        <f>S70/S12</f>
        <v>3.1312410629741181E-4</v>
      </c>
      <c r="U70" s="313">
        <v>791.67</v>
      </c>
      <c r="V70" s="28">
        <f>U70/U12</f>
        <v>3.9475734848929821E-4</v>
      </c>
      <c r="W70" s="313">
        <v>791.67</v>
      </c>
      <c r="X70" s="28">
        <f>W70/W12</f>
        <v>3.8799020593661038E-4</v>
      </c>
      <c r="Y70" s="313">
        <v>791.67</v>
      </c>
      <c r="Z70" s="28">
        <f>Y70/Y12</f>
        <v>2.568343052540061E-4</v>
      </c>
      <c r="AA70" s="59">
        <f t="shared" si="19"/>
        <v>9500.0399999999991</v>
      </c>
      <c r="AB70" s="28"/>
      <c r="AC70" s="160">
        <f t="shared" ref="AC70:AC143" si="20">AA70/12</f>
        <v>791.67</v>
      </c>
      <c r="AD70" s="28"/>
      <c r="AE70" s="44"/>
      <c r="AF70" s="21"/>
    </row>
    <row r="71" spans="1:32" s="1" customFormat="1">
      <c r="A71" s="2">
        <v>6132</v>
      </c>
      <c r="B71" s="15" t="s">
        <v>236</v>
      </c>
      <c r="C71" s="313">
        <v>45.83</v>
      </c>
      <c r="D71" s="28">
        <f>C71/C12</f>
        <v>2.1215613017605667E-5</v>
      </c>
      <c r="E71" s="313">
        <v>45.83</v>
      </c>
      <c r="F71" s="28">
        <f>E71/E12</f>
        <v>2.7269374165422223E-5</v>
      </c>
      <c r="G71" s="313">
        <v>45.83</v>
      </c>
      <c r="H71" s="28">
        <f>G71/G12</f>
        <v>1.6439439652374389E-5</v>
      </c>
      <c r="I71" s="313">
        <v>45.83</v>
      </c>
      <c r="J71" s="28">
        <f>I71/I12</f>
        <v>1.861783284842586E-5</v>
      </c>
      <c r="K71" s="313">
        <v>45.83</v>
      </c>
      <c r="L71" s="28">
        <f>K71/K12</f>
        <v>2.0356215574551353E-5</v>
      </c>
      <c r="M71" s="313">
        <v>45.83</v>
      </c>
      <c r="N71" s="28">
        <f>M71/M12</f>
        <v>1.4355722378490746E-5</v>
      </c>
      <c r="O71" s="313">
        <v>45.83</v>
      </c>
      <c r="P71" s="28">
        <f>O71/O12</f>
        <v>2.2674907303185687E-5</v>
      </c>
      <c r="Q71" s="313">
        <v>45.83</v>
      </c>
      <c r="R71" s="28">
        <f>Q71/Q12</f>
        <v>1.8260605965675886E-5</v>
      </c>
      <c r="S71" s="313">
        <v>45.83</v>
      </c>
      <c r="T71" s="28">
        <f>S71/S12</f>
        <v>1.8126842992168938E-5</v>
      </c>
      <c r="U71" s="313">
        <v>45.83</v>
      </c>
      <c r="V71" s="28">
        <f>U71/U12</f>
        <v>2.2852614449536469E-5</v>
      </c>
      <c r="W71" s="313">
        <v>45.83</v>
      </c>
      <c r="X71" s="28">
        <f>W71/W12</f>
        <v>2.2460862654988636E-5</v>
      </c>
      <c r="Y71" s="313">
        <v>45.83</v>
      </c>
      <c r="Z71" s="28">
        <f>Y71/Y12</f>
        <v>1.4868210504112951E-5</v>
      </c>
      <c r="AA71" s="59">
        <f t="shared" si="19"/>
        <v>549.95999999999992</v>
      </c>
      <c r="AB71" s="28"/>
      <c r="AC71" s="160">
        <f t="shared" si="20"/>
        <v>45.829999999999991</v>
      </c>
      <c r="AD71" s="28"/>
      <c r="AE71" s="44"/>
      <c r="AF71" s="21"/>
    </row>
    <row r="72" spans="1:32" s="1" customFormat="1">
      <c r="A72" s="2">
        <v>6133</v>
      </c>
      <c r="B72" s="15" t="s">
        <v>237</v>
      </c>
      <c r="C72" s="314">
        <v>100</v>
      </c>
      <c r="D72" s="28">
        <f>C72/C12</f>
        <v>4.629197690946033E-5</v>
      </c>
      <c r="E72" s="314">
        <v>100</v>
      </c>
      <c r="F72" s="28">
        <f>E72/E12</f>
        <v>5.9501143716827899E-5</v>
      </c>
      <c r="G72" s="314">
        <v>100</v>
      </c>
      <c r="H72" s="28">
        <f>G72/G12</f>
        <v>3.5870477094423715E-5</v>
      </c>
      <c r="I72" s="314">
        <v>100</v>
      </c>
      <c r="J72" s="28">
        <f>I72/I12</f>
        <v>4.062368066425019E-5</v>
      </c>
      <c r="K72" s="314">
        <v>100</v>
      </c>
      <c r="L72" s="28">
        <f>K72/K12</f>
        <v>4.4416791565680457E-5</v>
      </c>
      <c r="M72" s="314">
        <v>100</v>
      </c>
      <c r="N72" s="28">
        <f>M72/M12</f>
        <v>3.1323854197012322E-5</v>
      </c>
      <c r="O72" s="314">
        <v>100</v>
      </c>
      <c r="P72" s="28">
        <f>O72/O12</f>
        <v>4.9476123288644314E-5</v>
      </c>
      <c r="Q72" s="314">
        <v>100</v>
      </c>
      <c r="R72" s="28">
        <f>Q72/Q12</f>
        <v>3.9844219868374185E-5</v>
      </c>
      <c r="S72" s="314">
        <v>100</v>
      </c>
      <c r="T72" s="28">
        <f>S72/S12</f>
        <v>3.9552352153979788E-5</v>
      </c>
      <c r="U72" s="314">
        <v>100</v>
      </c>
      <c r="V72" s="28">
        <f>U72/U12</f>
        <v>4.9863876171801162E-5</v>
      </c>
      <c r="W72" s="314">
        <v>100</v>
      </c>
      <c r="X72" s="28">
        <f>W72/W12</f>
        <v>4.9009082816907349E-5</v>
      </c>
      <c r="Y72" s="314">
        <v>100</v>
      </c>
      <c r="Z72" s="28">
        <f>Y72/Y12</f>
        <v>3.2442091433805262E-5</v>
      </c>
      <c r="AA72" s="59">
        <f t="shared" si="19"/>
        <v>1200</v>
      </c>
      <c r="AB72" s="28"/>
      <c r="AC72" s="160">
        <f t="shared" si="20"/>
        <v>100</v>
      </c>
      <c r="AD72" s="28"/>
      <c r="AE72" s="44"/>
      <c r="AF72" s="21"/>
    </row>
    <row r="73" spans="1:32" s="1" customFormat="1">
      <c r="A73" s="2">
        <v>6134</v>
      </c>
      <c r="B73" s="15" t="s">
        <v>238</v>
      </c>
      <c r="C73" s="313">
        <v>145.83000000000001</v>
      </c>
      <c r="D73" s="28">
        <f>C73/C12</f>
        <v>6.7507589927066008E-5</v>
      </c>
      <c r="E73" s="313">
        <v>145.83000000000001</v>
      </c>
      <c r="F73" s="28">
        <f>E73/E12</f>
        <v>8.677051788225013E-5</v>
      </c>
      <c r="G73" s="313">
        <v>145.83000000000001</v>
      </c>
      <c r="H73" s="28">
        <f>G73/G12</f>
        <v>5.2309916746798113E-5</v>
      </c>
      <c r="I73" s="313">
        <v>145.83000000000001</v>
      </c>
      <c r="J73" s="28">
        <f>I73/I12</f>
        <v>5.9241513512676057E-5</v>
      </c>
      <c r="K73" s="313">
        <v>145.83000000000001</v>
      </c>
      <c r="L73" s="28">
        <f>K73/K12</f>
        <v>6.4773007140231817E-5</v>
      </c>
      <c r="M73" s="313">
        <v>145.83000000000001</v>
      </c>
      <c r="N73" s="28">
        <f>M73/M12</f>
        <v>4.5679576575503075E-5</v>
      </c>
      <c r="O73" s="313">
        <v>145.83000000000001</v>
      </c>
      <c r="P73" s="28">
        <f>O73/O12</f>
        <v>7.2151030591830007E-5</v>
      </c>
      <c r="Q73" s="313">
        <v>145.83000000000001</v>
      </c>
      <c r="R73" s="28">
        <f>Q73/Q12</f>
        <v>5.8104825834050075E-5</v>
      </c>
      <c r="S73" s="313">
        <v>145.83000000000001</v>
      </c>
      <c r="T73" s="28">
        <f>S73/S12</f>
        <v>5.7679195146148733E-5</v>
      </c>
      <c r="U73" s="313">
        <v>145.83000000000001</v>
      </c>
      <c r="V73" s="28">
        <f>U73/U12</f>
        <v>7.2716490621337637E-5</v>
      </c>
      <c r="W73" s="313">
        <v>145.83000000000001</v>
      </c>
      <c r="X73" s="28">
        <f>W73/W12</f>
        <v>7.1469945471895995E-5</v>
      </c>
      <c r="Y73" s="313">
        <v>145.83000000000001</v>
      </c>
      <c r="Z73" s="28">
        <f>Y73/Y12</f>
        <v>4.7310301937918216E-5</v>
      </c>
      <c r="AA73" s="59">
        <f t="shared" si="19"/>
        <v>1749.9599999999998</v>
      </c>
      <c r="AB73" s="28"/>
      <c r="AC73" s="160">
        <f t="shared" si="20"/>
        <v>145.82999999999998</v>
      </c>
      <c r="AD73" s="28"/>
      <c r="AE73" s="44"/>
      <c r="AF73" s="21"/>
    </row>
    <row r="74" spans="1:32" s="1" customFormat="1">
      <c r="A74" s="2">
        <v>6135</v>
      </c>
      <c r="B74" s="15" t="s">
        <v>239</v>
      </c>
      <c r="C74" s="314"/>
      <c r="D74" s="28"/>
      <c r="E74" s="314"/>
      <c r="F74" s="28"/>
      <c r="G74" s="314"/>
      <c r="H74" s="28"/>
      <c r="I74" s="314"/>
      <c r="J74" s="28"/>
      <c r="K74" s="314"/>
      <c r="L74" s="28"/>
      <c r="M74" s="314"/>
      <c r="N74" s="28"/>
      <c r="O74" s="314"/>
      <c r="P74" s="28"/>
      <c r="Q74" s="314"/>
      <c r="R74" s="28"/>
      <c r="S74" s="314"/>
      <c r="T74" s="28"/>
      <c r="U74" s="314"/>
      <c r="V74" s="28"/>
      <c r="W74" s="314"/>
      <c r="X74" s="28"/>
      <c r="Y74" s="314"/>
      <c r="Z74" s="28"/>
      <c r="AA74" s="59">
        <f t="shared" si="19"/>
        <v>0</v>
      </c>
      <c r="AB74" s="28"/>
      <c r="AC74" s="160"/>
      <c r="AD74" s="28"/>
      <c r="AE74" s="44"/>
      <c r="AF74" s="21"/>
    </row>
    <row r="75" spans="1:32" s="1" customFormat="1">
      <c r="A75" s="2">
        <v>6136</v>
      </c>
      <c r="B75" s="15" t="s">
        <v>256</v>
      </c>
      <c r="C75" s="313">
        <f>25*6</f>
        <v>150</v>
      </c>
      <c r="D75" s="28">
        <f>C75/C12</f>
        <v>6.9437965364190488E-5</v>
      </c>
      <c r="E75" s="313">
        <f>25*6</f>
        <v>150</v>
      </c>
      <c r="F75" s="28">
        <f>E75/E12</f>
        <v>8.9251715575241846E-5</v>
      </c>
      <c r="G75" s="313">
        <f>25*6</f>
        <v>150</v>
      </c>
      <c r="H75" s="28">
        <f>G75/G12</f>
        <v>5.3805715641635575E-5</v>
      </c>
      <c r="I75" s="313">
        <f>25*6</f>
        <v>150</v>
      </c>
      <c r="J75" s="28">
        <f>I75/I12</f>
        <v>6.0935520996375286E-5</v>
      </c>
      <c r="K75" s="313">
        <f>25*6</f>
        <v>150</v>
      </c>
      <c r="L75" s="28">
        <f>K75/K12</f>
        <v>6.6625187348520683E-5</v>
      </c>
      <c r="M75" s="313">
        <f>25*6</f>
        <v>150</v>
      </c>
      <c r="N75" s="28">
        <f>M75/M12</f>
        <v>4.698578129551848E-5</v>
      </c>
      <c r="O75" s="313">
        <f>25*6</f>
        <v>150</v>
      </c>
      <c r="P75" s="28">
        <f>O75/O12</f>
        <v>7.4214184932966474E-5</v>
      </c>
      <c r="Q75" s="313">
        <f>25*6</f>
        <v>150</v>
      </c>
      <c r="R75" s="28">
        <f>Q75/Q12</f>
        <v>5.9766329802561275E-5</v>
      </c>
      <c r="S75" s="313">
        <f>25*6</f>
        <v>150</v>
      </c>
      <c r="T75" s="28">
        <f>S75/S12</f>
        <v>5.9328528230969686E-5</v>
      </c>
      <c r="U75" s="313">
        <f>25*6</f>
        <v>150</v>
      </c>
      <c r="V75" s="28">
        <f>U75/U12</f>
        <v>7.4795814257701742E-5</v>
      </c>
      <c r="W75" s="313">
        <f>25*6</f>
        <v>150</v>
      </c>
      <c r="X75" s="28">
        <f>W75/W12</f>
        <v>7.3513624225361016E-5</v>
      </c>
      <c r="Y75" s="313">
        <f>25*6</f>
        <v>150</v>
      </c>
      <c r="Z75" s="28">
        <f>Y75/Y12</f>
        <v>4.8663137150707889E-5</v>
      </c>
      <c r="AA75" s="59">
        <f t="shared" si="19"/>
        <v>1800</v>
      </c>
      <c r="AB75" s="28"/>
      <c r="AC75" s="160">
        <f t="shared" si="20"/>
        <v>150</v>
      </c>
      <c r="AD75" s="28"/>
      <c r="AE75" s="44"/>
      <c r="AF75" s="21"/>
    </row>
    <row r="76" spans="1:32" s="1" customFormat="1" ht="15.75" thickBot="1">
      <c r="A76" s="4">
        <v>6199</v>
      </c>
      <c r="B76" s="217" t="s">
        <v>23</v>
      </c>
      <c r="C76" s="312">
        <f>SUM(C42:C75)</f>
        <v>248409.73386029009</v>
      </c>
      <c r="D76" s="167">
        <f>C76/C12</f>
        <v>0.11499377663945734</v>
      </c>
      <c r="E76" s="168">
        <f>SUM(E42:E75)</f>
        <v>247210.82990856271</v>
      </c>
      <c r="F76" s="167">
        <f>E76/E12</f>
        <v>0.14709327118745685</v>
      </c>
      <c r="G76" s="168">
        <f>SUM(G42:G75)</f>
        <v>249978.74979038117</v>
      </c>
      <c r="H76" s="167">
        <f>G76/G12</f>
        <v>8.9668570184485458E-2</v>
      </c>
      <c r="I76" s="168">
        <f>SUM(I42:I75)</f>
        <v>249163.27606237933</v>
      </c>
      <c r="J76" s="167">
        <f>I76/I12</f>
        <v>0.10121929360016511</v>
      </c>
      <c r="K76" s="168">
        <f>SUM(K42:K75)</f>
        <v>248637.7319963749</v>
      </c>
      <c r="L76" s="167">
        <f>K76/K12</f>
        <v>0.11043690317446503</v>
      </c>
      <c r="M76" s="168">
        <f>SUM(M42:M75)</f>
        <v>251740.36787800572</v>
      </c>
      <c r="N76" s="167">
        <f>M76/M12</f>
        <v>7.8854785789128953E-2</v>
      </c>
      <c r="O76" s="168">
        <f>SUM(O42:O75)</f>
        <v>248062.17237669951</v>
      </c>
      <c r="P76" s="167">
        <f>O76/O12</f>
        <v>0.12273154623758523</v>
      </c>
      <c r="Q76" s="168">
        <f>SUM(Q42:Q75)</f>
        <v>249283.66581091256</v>
      </c>
      <c r="R76" s="167">
        <f>Q76/Q12</f>
        <v>9.9325131901643118E-2</v>
      </c>
      <c r="S76" s="168">
        <f>SUM(S42:S75)</f>
        <v>249329.96660314145</v>
      </c>
      <c r="T76" s="167">
        <f>S76/S12</f>
        <v>9.8615866416274706E-2</v>
      </c>
      <c r="U76" s="168">
        <f>SUM(U42:U75)</f>
        <v>248022.87954338186</v>
      </c>
      <c r="V76" s="167">
        <f>U76/U12</f>
        <v>0.12367382153324748</v>
      </c>
      <c r="W76" s="168">
        <f>SUM(W42:W75)</f>
        <v>248110.32525889258</v>
      </c>
      <c r="X76" s="167">
        <f>W76/W12</f>
        <v>0.12159659478342885</v>
      </c>
      <c r="Y76" s="168">
        <f>SUM(Y42:Y75)</f>
        <v>251465.26832709429</v>
      </c>
      <c r="Z76" s="167">
        <f>Y76/Y12</f>
        <v>8.1580592274939676E-2</v>
      </c>
      <c r="AA76" s="168">
        <f>SUM(AA42:AA75)</f>
        <v>2989414.967416116</v>
      </c>
      <c r="AB76" s="220">
        <f>AA76/AA12</f>
        <v>0.10408216579610835</v>
      </c>
      <c r="AC76" s="168">
        <f>SUM(AC42:AC75)</f>
        <v>249117.91395134301</v>
      </c>
      <c r="AD76" s="220">
        <f>AC76/AC12</f>
        <v>0.10408216579610834</v>
      </c>
      <c r="AE76" s="44">
        <f t="shared" ref="AE76:AE149" si="21">C76+E76+G76+I76+K76+M76+O76+Q76+S76+U76+W76+Y76</f>
        <v>2989414.9674161156</v>
      </c>
      <c r="AF76" s="21">
        <f t="shared" ref="AF76:AF149" si="22">AA76-AE76</f>
        <v>0</v>
      </c>
    </row>
    <row r="77" spans="1:32" s="1" customFormat="1" ht="15.75" thickTop="1">
      <c r="A77" s="2">
        <v>6201</v>
      </c>
      <c r="B77" s="216" t="s">
        <v>24</v>
      </c>
      <c r="C77" s="183">
        <v>76200</v>
      </c>
      <c r="D77" s="191">
        <f>C77/C12</f>
        <v>3.527448640500877E-2</v>
      </c>
      <c r="E77" s="183">
        <v>76200</v>
      </c>
      <c r="F77" s="191">
        <f>E77/E12</f>
        <v>4.5339871512222858E-2</v>
      </c>
      <c r="G77" s="183">
        <v>76200</v>
      </c>
      <c r="H77" s="191">
        <f>G77/G12</f>
        <v>2.7333303545950871E-2</v>
      </c>
      <c r="I77" s="183">
        <v>76200</v>
      </c>
      <c r="J77" s="191">
        <f>I77/I12</f>
        <v>3.0955244666158645E-2</v>
      </c>
      <c r="K77" s="183">
        <v>76200</v>
      </c>
      <c r="L77" s="191">
        <f>K77/K12</f>
        <v>3.3845595173048505E-2</v>
      </c>
      <c r="M77" s="183">
        <v>76200</v>
      </c>
      <c r="N77" s="221">
        <f>M77/M12</f>
        <v>2.3868776898123389E-2</v>
      </c>
      <c r="O77" s="183">
        <v>76200</v>
      </c>
      <c r="P77" s="221">
        <f>O77/O12</f>
        <v>3.770080594594697E-2</v>
      </c>
      <c r="Q77" s="183">
        <v>76200</v>
      </c>
      <c r="R77" s="221">
        <f>Q77/Q12</f>
        <v>3.0361295539701127E-2</v>
      </c>
      <c r="S77" s="183">
        <v>76200</v>
      </c>
      <c r="T77" s="191">
        <f>S77/S12</f>
        <v>3.0138892341332602E-2</v>
      </c>
      <c r="U77" s="183">
        <v>76200</v>
      </c>
      <c r="V77" s="191">
        <f>U77/U12</f>
        <v>3.7996273642912484E-2</v>
      </c>
      <c r="W77" s="183">
        <v>76200</v>
      </c>
      <c r="X77" s="191">
        <f>W77/W12</f>
        <v>3.7344921106483402E-2</v>
      </c>
      <c r="Y77" s="183">
        <v>76200</v>
      </c>
      <c r="Z77" s="191">
        <f>Y77/Y12</f>
        <v>2.472087367255961E-2</v>
      </c>
      <c r="AA77" s="59">
        <f t="shared" ref="AA77:AA92" si="23">C77+E77+G77+I77+K77+M77+O77+Q77+S77+U77+W77+Y77</f>
        <v>914400</v>
      </c>
      <c r="AB77" s="191">
        <f>AA77/AA12</f>
        <v>3.1836574527564998E-2</v>
      </c>
      <c r="AC77" s="160">
        <f t="shared" si="20"/>
        <v>76200</v>
      </c>
      <c r="AD77" s="191">
        <f>AC77/AC12</f>
        <v>3.1836574527564998E-2</v>
      </c>
      <c r="AE77" s="44">
        <f t="shared" si="21"/>
        <v>914400</v>
      </c>
      <c r="AF77" s="21">
        <f t="shared" si="22"/>
        <v>0</v>
      </c>
    </row>
    <row r="78" spans="1:32" s="1" customFormat="1">
      <c r="A78" s="2">
        <v>6202</v>
      </c>
      <c r="B78" s="216" t="s">
        <v>25</v>
      </c>
      <c r="C78" s="183">
        <v>38100</v>
      </c>
      <c r="D78" s="191">
        <f>C78/C12</f>
        <v>1.7637243202504385E-2</v>
      </c>
      <c r="E78" s="183">
        <v>38100</v>
      </c>
      <c r="F78" s="191">
        <f>E78/E12</f>
        <v>2.2669935756111429E-2</v>
      </c>
      <c r="G78" s="183">
        <v>38100</v>
      </c>
      <c r="H78" s="191">
        <f>G78/G12</f>
        <v>1.3666651772975436E-2</v>
      </c>
      <c r="I78" s="183">
        <v>38100</v>
      </c>
      <c r="J78" s="191">
        <f>I78/I12</f>
        <v>1.5477622333079323E-2</v>
      </c>
      <c r="K78" s="183">
        <v>38100</v>
      </c>
      <c r="L78" s="191">
        <f>K78/K12</f>
        <v>1.6922797586524253E-2</v>
      </c>
      <c r="M78" s="183">
        <v>38100</v>
      </c>
      <c r="N78" s="221">
        <f>M78/M12</f>
        <v>1.1934388449061695E-2</v>
      </c>
      <c r="O78" s="183">
        <v>38100</v>
      </c>
      <c r="P78" s="221">
        <f>O78/O12</f>
        <v>1.8850402972973485E-2</v>
      </c>
      <c r="Q78" s="183">
        <v>38100</v>
      </c>
      <c r="R78" s="221">
        <f>Q78/Q12</f>
        <v>1.5180647769850564E-2</v>
      </c>
      <c r="S78" s="183">
        <v>38100</v>
      </c>
      <c r="T78" s="191">
        <f>S78/S12</f>
        <v>1.5069446170666301E-2</v>
      </c>
      <c r="U78" s="183">
        <v>38100</v>
      </c>
      <c r="V78" s="191">
        <f>U78/U12</f>
        <v>1.8998136821456242E-2</v>
      </c>
      <c r="W78" s="183">
        <v>38100</v>
      </c>
      <c r="X78" s="191">
        <f>W78/W12</f>
        <v>1.8672460553241701E-2</v>
      </c>
      <c r="Y78" s="183">
        <v>38100</v>
      </c>
      <c r="Z78" s="191">
        <f>Y78/Y12</f>
        <v>1.2360436836279805E-2</v>
      </c>
      <c r="AA78" s="59">
        <f t="shared" si="23"/>
        <v>457200</v>
      </c>
      <c r="AB78" s="191">
        <f>AA78/AA12</f>
        <v>1.5918287263782499E-2</v>
      </c>
      <c r="AC78" s="160">
        <f t="shared" si="20"/>
        <v>38100</v>
      </c>
      <c r="AD78" s="191">
        <f>AC78/AC12</f>
        <v>1.5918287263782499E-2</v>
      </c>
      <c r="AE78" s="44">
        <f t="shared" si="21"/>
        <v>457200</v>
      </c>
      <c r="AF78" s="21">
        <f t="shared" si="22"/>
        <v>0</v>
      </c>
    </row>
    <row r="79" spans="1:32" s="1" customFormat="1">
      <c r="A79" s="2">
        <v>6203</v>
      </c>
      <c r="B79" s="216" t="s">
        <v>26</v>
      </c>
      <c r="C79" s="183">
        <v>12700</v>
      </c>
      <c r="D79" s="191">
        <f>C79/C12</f>
        <v>5.8790810675014614E-3</v>
      </c>
      <c r="E79" s="183">
        <v>12700</v>
      </c>
      <c r="F79" s="191">
        <f>E79/E12</f>
        <v>7.5566452520371427E-3</v>
      </c>
      <c r="G79" s="183">
        <v>12700</v>
      </c>
      <c r="H79" s="191">
        <f>G79/G12</f>
        <v>4.5555505909918121E-3</v>
      </c>
      <c r="I79" s="183">
        <v>12700</v>
      </c>
      <c r="J79" s="191">
        <f>I79/I12</f>
        <v>5.1592074443597745E-3</v>
      </c>
      <c r="K79" s="183">
        <v>12700</v>
      </c>
      <c r="L79" s="191">
        <f>K79/K12</f>
        <v>5.6409325288414181E-3</v>
      </c>
      <c r="M79" s="183">
        <v>12700</v>
      </c>
      <c r="N79" s="221">
        <f>M79/M12</f>
        <v>3.9781294830205649E-3</v>
      </c>
      <c r="O79" s="183">
        <v>12700</v>
      </c>
      <c r="P79" s="221">
        <f>O79/O12</f>
        <v>6.2834676576578275E-3</v>
      </c>
      <c r="Q79" s="183">
        <v>12700</v>
      </c>
      <c r="R79" s="221">
        <f>Q79/Q12</f>
        <v>5.0602159232835215E-3</v>
      </c>
      <c r="S79" s="183">
        <v>12700</v>
      </c>
      <c r="T79" s="191">
        <f>S79/S12</f>
        <v>5.0231487235554333E-3</v>
      </c>
      <c r="U79" s="183">
        <v>12700</v>
      </c>
      <c r="V79" s="191">
        <f>U79/U12</f>
        <v>6.3327122738187471E-3</v>
      </c>
      <c r="W79" s="183">
        <v>12700</v>
      </c>
      <c r="X79" s="191">
        <f>W79/W12</f>
        <v>6.2241535177472327E-3</v>
      </c>
      <c r="Y79" s="183">
        <v>12700</v>
      </c>
      <c r="Z79" s="191">
        <f>Y79/Y12</f>
        <v>4.120145612093268E-3</v>
      </c>
      <c r="AA79" s="59">
        <f t="shared" si="23"/>
        <v>152400</v>
      </c>
      <c r="AB79" s="191">
        <f>AA79/AA12</f>
        <v>5.3060957545941669E-3</v>
      </c>
      <c r="AC79" s="160">
        <f t="shared" si="20"/>
        <v>12700</v>
      </c>
      <c r="AD79" s="191">
        <f>AC79/AC12</f>
        <v>5.3060957545941661E-3</v>
      </c>
      <c r="AE79" s="44">
        <f t="shared" si="21"/>
        <v>152400</v>
      </c>
      <c r="AF79" s="21">
        <f t="shared" si="22"/>
        <v>0</v>
      </c>
    </row>
    <row r="80" spans="1:32" s="1" customFormat="1">
      <c r="A80" s="2">
        <v>6204</v>
      </c>
      <c r="B80" s="216" t="s">
        <v>27</v>
      </c>
      <c r="C80" s="20"/>
      <c r="D80" s="191">
        <f>C80/C12</f>
        <v>0</v>
      </c>
      <c r="E80" s="20"/>
      <c r="F80" s="191">
        <f>E80/E12</f>
        <v>0</v>
      </c>
      <c r="G80" s="20"/>
      <c r="H80" s="191">
        <f>G80/G12</f>
        <v>0</v>
      </c>
      <c r="I80" s="20"/>
      <c r="J80" s="191">
        <f>I80/I12</f>
        <v>0</v>
      </c>
      <c r="K80" s="20"/>
      <c r="L80" s="191">
        <f>K80/K12</f>
        <v>0</v>
      </c>
      <c r="M80" s="20"/>
      <c r="N80" s="221">
        <f>M80/M12</f>
        <v>0</v>
      </c>
      <c r="O80" s="20"/>
      <c r="P80" s="221">
        <f>O80/O12</f>
        <v>0</v>
      </c>
      <c r="Q80" s="20"/>
      <c r="R80" s="221">
        <f>Q80/Q12</f>
        <v>0</v>
      </c>
      <c r="S80" s="20"/>
      <c r="T80" s="191">
        <f>S80/S12</f>
        <v>0</v>
      </c>
      <c r="U80" s="20"/>
      <c r="V80" s="191">
        <f>U80/U12</f>
        <v>0</v>
      </c>
      <c r="W80" s="20"/>
      <c r="X80" s="191">
        <f>W80/W12</f>
        <v>0</v>
      </c>
      <c r="Y80" s="20"/>
      <c r="Z80" s="191">
        <f>Y80/Y12</f>
        <v>0</v>
      </c>
      <c r="AA80" s="59">
        <f t="shared" si="23"/>
        <v>0</v>
      </c>
      <c r="AB80" s="191">
        <f>AA80/AA12</f>
        <v>0</v>
      </c>
      <c r="AC80" s="160">
        <f t="shared" si="20"/>
        <v>0</v>
      </c>
      <c r="AD80" s="191">
        <f>AC80/AC12</f>
        <v>0</v>
      </c>
      <c r="AE80" s="44">
        <f t="shared" si="21"/>
        <v>0</v>
      </c>
      <c r="AF80" s="21">
        <f t="shared" si="22"/>
        <v>0</v>
      </c>
    </row>
    <row r="81" spans="1:32" s="1" customFormat="1">
      <c r="A81" s="2">
        <v>6205</v>
      </c>
      <c r="B81" s="216" t="s">
        <v>28</v>
      </c>
      <c r="C81" s="20"/>
      <c r="D81" s="191">
        <f>C81/C12</f>
        <v>0</v>
      </c>
      <c r="E81" s="20"/>
      <c r="F81" s="191">
        <f>E81/E12</f>
        <v>0</v>
      </c>
      <c r="G81" s="20"/>
      <c r="H81" s="191">
        <f>G81/G12</f>
        <v>0</v>
      </c>
      <c r="I81" s="20"/>
      <c r="J81" s="191">
        <f>I81/I12</f>
        <v>0</v>
      </c>
      <c r="K81" s="20"/>
      <c r="L81" s="191">
        <f>K81/K12</f>
        <v>0</v>
      </c>
      <c r="M81" s="20"/>
      <c r="N81" s="221">
        <f>M81/M12</f>
        <v>0</v>
      </c>
      <c r="O81" s="20"/>
      <c r="P81" s="221">
        <f>O81/O12</f>
        <v>0</v>
      </c>
      <c r="Q81" s="20"/>
      <c r="R81" s="221">
        <f>Q81/Q12</f>
        <v>0</v>
      </c>
      <c r="S81" s="20"/>
      <c r="T81" s="191">
        <f>S81/S12</f>
        <v>0</v>
      </c>
      <c r="U81" s="20"/>
      <c r="V81" s="191">
        <f>U81/U12</f>
        <v>0</v>
      </c>
      <c r="W81" s="20"/>
      <c r="X81" s="191">
        <f>W81/W12</f>
        <v>0</v>
      </c>
      <c r="Y81" s="20"/>
      <c r="Z81" s="191">
        <f>Y81/Y12</f>
        <v>0</v>
      </c>
      <c r="AA81" s="59">
        <f t="shared" si="23"/>
        <v>0</v>
      </c>
      <c r="AB81" s="191">
        <f>AA81/AA12</f>
        <v>0</v>
      </c>
      <c r="AC81" s="160">
        <f t="shared" si="20"/>
        <v>0</v>
      </c>
      <c r="AD81" s="191">
        <f>AC81/AC12</f>
        <v>0</v>
      </c>
      <c r="AE81" s="44">
        <f t="shared" si="21"/>
        <v>0</v>
      </c>
      <c r="AF81" s="21">
        <f t="shared" si="22"/>
        <v>0</v>
      </c>
    </row>
    <row r="82" spans="1:32" s="1" customFormat="1">
      <c r="A82" s="2">
        <v>6206</v>
      </c>
      <c r="B82" s="2" t="s">
        <v>156</v>
      </c>
      <c r="C82" s="20">
        <v>5160</v>
      </c>
      <c r="D82" s="191">
        <f>C82/C12</f>
        <v>2.3886660085281528E-3</v>
      </c>
      <c r="E82" s="20">
        <v>5160</v>
      </c>
      <c r="F82" s="191">
        <f>E82/E12</f>
        <v>3.0702590157883195E-3</v>
      </c>
      <c r="G82" s="20">
        <v>5160</v>
      </c>
      <c r="H82" s="191">
        <f>G82/G12</f>
        <v>1.8509166180722639E-3</v>
      </c>
      <c r="I82" s="20">
        <v>5160</v>
      </c>
      <c r="J82" s="191">
        <f>I82/I12</f>
        <v>2.0961819222753099E-3</v>
      </c>
      <c r="K82" s="20">
        <v>5160</v>
      </c>
      <c r="L82" s="191">
        <f>K82/K12</f>
        <v>2.2919064447891116E-3</v>
      </c>
      <c r="M82" s="20">
        <v>5160</v>
      </c>
      <c r="N82" s="221">
        <f>M82/M12</f>
        <v>1.6163108765658357E-3</v>
      </c>
      <c r="O82" s="20">
        <v>5160</v>
      </c>
      <c r="P82" s="221">
        <f>O82/O12</f>
        <v>2.5529679616940466E-3</v>
      </c>
      <c r="Q82" s="20">
        <v>5160</v>
      </c>
      <c r="R82" s="221">
        <f>Q82/Q12</f>
        <v>2.0559617452081077E-3</v>
      </c>
      <c r="S82" s="20">
        <v>5160</v>
      </c>
      <c r="T82" s="191">
        <f>S82/S12</f>
        <v>2.040901371145357E-3</v>
      </c>
      <c r="U82" s="20">
        <v>5160</v>
      </c>
      <c r="V82" s="191">
        <f>U82/U12</f>
        <v>2.5729760104649399E-3</v>
      </c>
      <c r="W82" s="20">
        <v>5160</v>
      </c>
      <c r="X82" s="191">
        <f>W82/W12</f>
        <v>2.528868673352419E-3</v>
      </c>
      <c r="Y82" s="20">
        <v>5462.1</v>
      </c>
      <c r="Z82" s="191">
        <f>Y82/Y12</f>
        <v>1.7720194762058774E-3</v>
      </c>
      <c r="AA82" s="59">
        <f t="shared" si="23"/>
        <v>62222.1</v>
      </c>
      <c r="AB82" s="191">
        <f>AA82/AA12</f>
        <v>2.1663807129391976E-3</v>
      </c>
      <c r="AC82" s="160">
        <f t="shared" si="20"/>
        <v>5185.1750000000002</v>
      </c>
      <c r="AD82" s="191">
        <f>AC82/AC12</f>
        <v>2.1663807129391976E-3</v>
      </c>
      <c r="AE82" s="44">
        <f t="shared" si="21"/>
        <v>62222.1</v>
      </c>
      <c r="AF82" s="21">
        <f t="shared" si="22"/>
        <v>0</v>
      </c>
    </row>
    <row r="83" spans="1:32" s="1" customFormat="1">
      <c r="A83" s="2">
        <v>6207</v>
      </c>
      <c r="B83" s="2" t="s">
        <v>157</v>
      </c>
      <c r="C83" s="222">
        <v>3350</v>
      </c>
      <c r="D83" s="191">
        <f>C83/C$12</f>
        <v>1.5507812264669209E-3</v>
      </c>
      <c r="E83" s="222">
        <v>3350</v>
      </c>
      <c r="F83" s="191">
        <f>E83/E$12</f>
        <v>1.9932883145137347E-3</v>
      </c>
      <c r="G83" s="222">
        <v>3350</v>
      </c>
      <c r="H83" s="191">
        <f>G83/G$12</f>
        <v>1.2016609826631945E-3</v>
      </c>
      <c r="I83" s="222">
        <v>3350</v>
      </c>
      <c r="J83" s="191">
        <f>I83/I$12</f>
        <v>1.3608933022523813E-3</v>
      </c>
      <c r="K83" s="222">
        <v>3350</v>
      </c>
      <c r="L83" s="191">
        <f>K83/K$12</f>
        <v>1.4879625174502953E-3</v>
      </c>
      <c r="M83" s="222">
        <v>3350</v>
      </c>
      <c r="N83" s="221">
        <f>M83/M$12</f>
        <v>1.0493491155999127E-3</v>
      </c>
      <c r="O83" s="222">
        <v>3350</v>
      </c>
      <c r="P83" s="221">
        <f>O83/O$12</f>
        <v>1.6574501301695845E-3</v>
      </c>
      <c r="Q83" s="222">
        <v>3350</v>
      </c>
      <c r="R83" s="221">
        <f>Q83/Q$12</f>
        <v>1.334781365590535E-3</v>
      </c>
      <c r="S83" s="222">
        <v>3350</v>
      </c>
      <c r="T83" s="191">
        <f>S83/S$12</f>
        <v>1.325003797158323E-3</v>
      </c>
      <c r="U83" s="222">
        <v>3350</v>
      </c>
      <c r="V83" s="191">
        <f>U83/U$12</f>
        <v>1.6704398517553389E-3</v>
      </c>
      <c r="W83" s="222">
        <v>3350</v>
      </c>
      <c r="X83" s="191">
        <f>W83/W$12</f>
        <v>1.6418042743663961E-3</v>
      </c>
      <c r="Y83" s="222">
        <v>3050</v>
      </c>
      <c r="Z83" s="191">
        <f>Y83/Y$12</f>
        <v>9.8948378873106048E-4</v>
      </c>
      <c r="AA83" s="59">
        <f t="shared" si="23"/>
        <v>39900</v>
      </c>
      <c r="AB83" s="28">
        <f>AA83/AA$12</f>
        <v>1.3891943609468979E-3</v>
      </c>
      <c r="AC83" s="160">
        <f t="shared" si="20"/>
        <v>3325</v>
      </c>
      <c r="AD83" s="28">
        <f>AC83/AC$12</f>
        <v>1.3891943609468979E-3</v>
      </c>
      <c r="AE83" s="44">
        <f t="shared" si="21"/>
        <v>39900</v>
      </c>
      <c r="AF83" s="21">
        <f t="shared" si="22"/>
        <v>0</v>
      </c>
    </row>
    <row r="84" spans="1:32" s="1" customFormat="1">
      <c r="A84" s="2">
        <v>6208</v>
      </c>
      <c r="B84" s="2" t="s">
        <v>158</v>
      </c>
      <c r="C84" s="20"/>
      <c r="D84" s="191">
        <f>C84/C12</f>
        <v>0</v>
      </c>
      <c r="E84" s="20"/>
      <c r="F84" s="191">
        <f>E84/E12</f>
        <v>0</v>
      </c>
      <c r="G84" s="20"/>
      <c r="H84" s="191">
        <f>G84/G12</f>
        <v>0</v>
      </c>
      <c r="I84" s="20"/>
      <c r="J84" s="191">
        <f>I84/I12</f>
        <v>0</v>
      </c>
      <c r="K84" s="20"/>
      <c r="L84" s="191">
        <f>K84/K12</f>
        <v>0</v>
      </c>
      <c r="M84" s="20"/>
      <c r="N84" s="221">
        <f>M84/M12</f>
        <v>0</v>
      </c>
      <c r="O84" s="20"/>
      <c r="P84" s="221">
        <f>O84/O12</f>
        <v>0</v>
      </c>
      <c r="Q84" s="20"/>
      <c r="R84" s="221">
        <f>Q84/Q12</f>
        <v>0</v>
      </c>
      <c r="S84" s="20"/>
      <c r="T84" s="191">
        <f>S84/S12</f>
        <v>0</v>
      </c>
      <c r="U84" s="20"/>
      <c r="V84" s="191">
        <f>U84/U12</f>
        <v>0</v>
      </c>
      <c r="W84" s="20"/>
      <c r="X84" s="191">
        <f>W84/W12</f>
        <v>0</v>
      </c>
      <c r="Y84" s="20"/>
      <c r="Z84" s="191">
        <f>Y84/Y12</f>
        <v>0</v>
      </c>
      <c r="AA84" s="59">
        <f t="shared" si="23"/>
        <v>0</v>
      </c>
      <c r="AB84" s="191">
        <f>AA84/AA12</f>
        <v>0</v>
      </c>
      <c r="AC84" s="160">
        <f t="shared" si="20"/>
        <v>0</v>
      </c>
      <c r="AD84" s="191">
        <f>AC84/AC12</f>
        <v>0</v>
      </c>
      <c r="AE84" s="44">
        <f t="shared" si="21"/>
        <v>0</v>
      </c>
      <c r="AF84" s="21">
        <f t="shared" si="22"/>
        <v>0</v>
      </c>
    </row>
    <row r="85" spans="1:32" s="1" customFormat="1">
      <c r="A85" s="2">
        <v>6209</v>
      </c>
      <c r="B85" s="216" t="s">
        <v>29</v>
      </c>
      <c r="C85" s="20">
        <v>9525</v>
      </c>
      <c r="D85" s="28">
        <f>C85/C12</f>
        <v>4.4093108006260963E-3</v>
      </c>
      <c r="E85" s="20">
        <v>9525</v>
      </c>
      <c r="F85" s="28">
        <f>E85/E12</f>
        <v>5.6674839390278573E-3</v>
      </c>
      <c r="G85" s="20">
        <v>9525</v>
      </c>
      <c r="H85" s="28">
        <f>G85/G12</f>
        <v>3.4166629432438589E-3</v>
      </c>
      <c r="I85" s="20">
        <v>9525</v>
      </c>
      <c r="J85" s="28">
        <f>I85/I12</f>
        <v>3.8694055832698307E-3</v>
      </c>
      <c r="K85" s="20">
        <v>9525</v>
      </c>
      <c r="L85" s="28">
        <f>K85/K12</f>
        <v>4.2306993966310632E-3</v>
      </c>
      <c r="M85" s="20">
        <v>9525</v>
      </c>
      <c r="N85" s="91">
        <f>M85/M12</f>
        <v>2.9835971122654237E-3</v>
      </c>
      <c r="O85" s="20">
        <v>9525</v>
      </c>
      <c r="P85" s="91">
        <f>O85/O12</f>
        <v>4.7126007432433713E-3</v>
      </c>
      <c r="Q85" s="20">
        <v>9525</v>
      </c>
      <c r="R85" s="91">
        <f>Q85/Q12</f>
        <v>3.7951619424626409E-3</v>
      </c>
      <c r="S85" s="20">
        <v>9525</v>
      </c>
      <c r="T85" s="28">
        <f>S85/S12</f>
        <v>3.7673615426665752E-3</v>
      </c>
      <c r="U85" s="20">
        <v>9525</v>
      </c>
      <c r="V85" s="28">
        <f>U85/U12</f>
        <v>4.7495342053640605E-3</v>
      </c>
      <c r="W85" s="20">
        <v>9525</v>
      </c>
      <c r="X85" s="28">
        <f>W85/W12</f>
        <v>4.6681151383104252E-3</v>
      </c>
      <c r="Y85" s="20">
        <v>9525</v>
      </c>
      <c r="Z85" s="28">
        <f>Y85/Y12</f>
        <v>3.0901092090699512E-3</v>
      </c>
      <c r="AA85" s="59">
        <f t="shared" si="23"/>
        <v>114300</v>
      </c>
      <c r="AB85" s="28">
        <f>AA85/AA12</f>
        <v>3.9795718159456248E-3</v>
      </c>
      <c r="AC85" s="160">
        <f t="shared" si="20"/>
        <v>9525</v>
      </c>
      <c r="AD85" s="28">
        <f>AC85/AC12</f>
        <v>3.9795718159456248E-3</v>
      </c>
      <c r="AE85" s="44">
        <f t="shared" si="21"/>
        <v>114300</v>
      </c>
      <c r="AF85" s="21">
        <f t="shared" si="22"/>
        <v>0</v>
      </c>
    </row>
    <row r="86" spans="1:32" s="1" customFormat="1">
      <c r="A86" s="2">
        <v>6210</v>
      </c>
      <c r="B86" s="216" t="s">
        <v>30</v>
      </c>
      <c r="C86" s="20">
        <v>4384.1095890410961</v>
      </c>
      <c r="D86" s="191">
        <f>C86/C12</f>
        <v>2.0294909986443401E-3</v>
      </c>
      <c r="E86" s="20">
        <v>4384.1095890410961</v>
      </c>
      <c r="F86" s="191">
        <f>E86/E12</f>
        <v>2.6085953472785757E-3</v>
      </c>
      <c r="G86" s="20">
        <v>4384.1095890410961</v>
      </c>
      <c r="H86" s="191">
        <f>G86/G12</f>
        <v>1.5726010259314201E-3</v>
      </c>
      <c r="I86" s="20">
        <v>4384.1095890410961</v>
      </c>
      <c r="J86" s="191">
        <f>I86/I12</f>
        <v>1.7809866794228262E-3</v>
      </c>
      <c r="K86" s="20">
        <v>4384.1095890410961</v>
      </c>
      <c r="L86" s="191">
        <f>K86/K12</f>
        <v>1.9472808181753938E-3</v>
      </c>
      <c r="M86" s="20">
        <v>4384.1095890410961</v>
      </c>
      <c r="N86" s="221">
        <f>M86/M12</f>
        <v>1.373272095508469E-3</v>
      </c>
      <c r="O86" s="20">
        <v>4384.1095890410961</v>
      </c>
      <c r="P86" s="221">
        <f>O86/O12</f>
        <v>2.1690874653832503E-3</v>
      </c>
      <c r="Q86" s="20">
        <v>4384.1095890410961</v>
      </c>
      <c r="R86" s="221">
        <f>Q86/Q12</f>
        <v>1.7468142639280101E-3</v>
      </c>
      <c r="S86" s="20">
        <v>4384.1095890410961</v>
      </c>
      <c r="T86" s="191">
        <f>S86/S12</f>
        <v>1.7340184634739306E-3</v>
      </c>
      <c r="U86" s="20">
        <v>4384.1095890410961</v>
      </c>
      <c r="V86" s="191">
        <f>U86/U12</f>
        <v>2.186086976715513E-3</v>
      </c>
      <c r="W86" s="20">
        <v>4384.1095890410961</v>
      </c>
      <c r="X86" s="191">
        <f>W86/W12</f>
        <v>2.1486118992771271E-3</v>
      </c>
      <c r="Y86" s="20">
        <v>4384.1095890410961</v>
      </c>
      <c r="Z86" s="191">
        <f>Y86/Y12</f>
        <v>1.4222968414349365E-3</v>
      </c>
      <c r="AA86" s="59">
        <f t="shared" si="23"/>
        <v>52609.315068493139</v>
      </c>
      <c r="AB86" s="191">
        <f>AA86/AA12</f>
        <v>1.8316933289831913E-3</v>
      </c>
      <c r="AC86" s="160">
        <f t="shared" si="20"/>
        <v>4384.1095890410952</v>
      </c>
      <c r="AD86" s="191">
        <f>AC86/AC12</f>
        <v>1.8316933289831913E-3</v>
      </c>
      <c r="AE86" s="44">
        <f t="shared" si="21"/>
        <v>52609.315068493139</v>
      </c>
      <c r="AF86" s="21">
        <f t="shared" si="22"/>
        <v>0</v>
      </c>
    </row>
    <row r="87" spans="1:32" s="1" customFormat="1">
      <c r="A87" s="2">
        <v>6211</v>
      </c>
      <c r="B87" s="216" t="s">
        <v>31</v>
      </c>
      <c r="C87" s="20">
        <v>4750</v>
      </c>
      <c r="D87" s="191">
        <f>C87/C12</f>
        <v>2.1988689031993656E-3</v>
      </c>
      <c r="E87" s="20">
        <v>4750</v>
      </c>
      <c r="F87" s="191">
        <f>E87/E12</f>
        <v>2.8263043265493253E-3</v>
      </c>
      <c r="G87" s="20">
        <v>4750</v>
      </c>
      <c r="H87" s="191">
        <f>G87/G12</f>
        <v>1.7038476619851265E-3</v>
      </c>
      <c r="I87" s="20">
        <v>4750</v>
      </c>
      <c r="J87" s="191">
        <f>I87/I12</f>
        <v>1.929624831551884E-3</v>
      </c>
      <c r="K87" s="20">
        <v>4750</v>
      </c>
      <c r="L87" s="191">
        <f>K87/K12</f>
        <v>2.1097975993698216E-3</v>
      </c>
      <c r="M87" s="20">
        <v>4750</v>
      </c>
      <c r="N87" s="221">
        <f>M87/M12</f>
        <v>1.4878830743580852E-3</v>
      </c>
      <c r="O87" s="20">
        <v>4750</v>
      </c>
      <c r="P87" s="221">
        <f>O87/O12</f>
        <v>2.3501158562106049E-3</v>
      </c>
      <c r="Q87" s="20">
        <v>4750</v>
      </c>
      <c r="R87" s="221">
        <f>Q87/Q12</f>
        <v>1.8926004437477737E-3</v>
      </c>
      <c r="S87" s="20">
        <v>4750</v>
      </c>
      <c r="T87" s="191">
        <f>S87/S12</f>
        <v>1.8787367273140399E-3</v>
      </c>
      <c r="U87" s="20">
        <v>4750</v>
      </c>
      <c r="V87" s="191">
        <f>U87/U12</f>
        <v>2.368534118160555E-3</v>
      </c>
      <c r="W87" s="20">
        <v>4750</v>
      </c>
      <c r="X87" s="191">
        <f>W87/W12</f>
        <v>2.327931433803099E-3</v>
      </c>
      <c r="Y87" s="20">
        <v>4750</v>
      </c>
      <c r="Z87" s="191">
        <f>Y87/Y12</f>
        <v>1.5409993431057499E-3</v>
      </c>
      <c r="AA87" s="59">
        <f t="shared" si="23"/>
        <v>57000</v>
      </c>
      <c r="AB87" s="191">
        <f>AA87/AA12</f>
        <v>1.9845633727812828E-3</v>
      </c>
      <c r="AC87" s="160">
        <f t="shared" si="20"/>
        <v>4750</v>
      </c>
      <c r="AD87" s="191">
        <f>AC87/AC12</f>
        <v>1.9845633727812828E-3</v>
      </c>
      <c r="AE87" s="44">
        <f t="shared" si="21"/>
        <v>57000</v>
      </c>
      <c r="AF87" s="21">
        <f t="shared" si="22"/>
        <v>0</v>
      </c>
    </row>
    <row r="88" spans="1:32" s="1" customFormat="1">
      <c r="A88" s="2">
        <v>6212</v>
      </c>
      <c r="B88" s="216" t="s">
        <v>32</v>
      </c>
      <c r="C88" s="100">
        <v>250</v>
      </c>
      <c r="D88" s="28">
        <f>C88/C12</f>
        <v>1.1572994227365082E-4</v>
      </c>
      <c r="E88" s="100">
        <v>250</v>
      </c>
      <c r="F88" s="28">
        <f>E88/E12</f>
        <v>1.4875285929206975E-4</v>
      </c>
      <c r="G88" s="100">
        <v>250</v>
      </c>
      <c r="H88" s="28">
        <f>G88/G12</f>
        <v>8.967619273605929E-5</v>
      </c>
      <c r="I88" s="100">
        <v>250</v>
      </c>
      <c r="J88" s="28">
        <f>I88/I12</f>
        <v>1.0155920166062548E-4</v>
      </c>
      <c r="K88" s="100">
        <v>250</v>
      </c>
      <c r="L88" s="28">
        <f>K88/K12</f>
        <v>1.1104197891420115E-4</v>
      </c>
      <c r="M88" s="100">
        <v>250</v>
      </c>
      <c r="N88" s="91">
        <f>M88/M12</f>
        <v>7.8309635492530803E-5</v>
      </c>
      <c r="O88" s="100">
        <v>250</v>
      </c>
      <c r="P88" s="91">
        <f>O88/O12</f>
        <v>1.2369030822161078E-4</v>
      </c>
      <c r="Q88" s="100">
        <v>250</v>
      </c>
      <c r="R88" s="91">
        <f>Q88/Q12</f>
        <v>9.9610549670935453E-5</v>
      </c>
      <c r="S88" s="100">
        <v>250</v>
      </c>
      <c r="T88" s="28">
        <f>S88/S12</f>
        <v>9.8880880384949474E-5</v>
      </c>
      <c r="U88" s="100">
        <v>250</v>
      </c>
      <c r="V88" s="28">
        <f>U88/U12</f>
        <v>1.246596904295029E-4</v>
      </c>
      <c r="W88" s="100">
        <v>250</v>
      </c>
      <c r="X88" s="28">
        <f>W88/W12</f>
        <v>1.2252270704226836E-4</v>
      </c>
      <c r="Y88" s="100">
        <v>250</v>
      </c>
      <c r="Z88" s="28">
        <f>Y88/Y12</f>
        <v>8.1105228584513151E-5</v>
      </c>
      <c r="AA88" s="59">
        <f t="shared" si="23"/>
        <v>3000</v>
      </c>
      <c r="AB88" s="28">
        <f>AA88/AA12</f>
        <v>1.0445070383059383E-4</v>
      </c>
      <c r="AC88" s="160">
        <f t="shared" si="20"/>
        <v>250</v>
      </c>
      <c r="AD88" s="28">
        <f>AC88/AC12</f>
        <v>1.0445070383059383E-4</v>
      </c>
      <c r="AE88" s="44">
        <f t="shared" si="21"/>
        <v>3000</v>
      </c>
      <c r="AF88" s="21">
        <f t="shared" si="22"/>
        <v>0</v>
      </c>
    </row>
    <row r="89" spans="1:32" s="1" customFormat="1">
      <c r="A89" s="2">
        <v>6213</v>
      </c>
      <c r="B89" s="216" t="s">
        <v>33</v>
      </c>
      <c r="C89" s="100"/>
      <c r="D89" s="28">
        <f>C89/C12</f>
        <v>0</v>
      </c>
      <c r="E89" s="100"/>
      <c r="F89" s="28">
        <f>E89/E12</f>
        <v>0</v>
      </c>
      <c r="G89" s="100"/>
      <c r="H89" s="28">
        <f>G89/G12</f>
        <v>0</v>
      </c>
      <c r="I89" s="100"/>
      <c r="J89" s="28">
        <f>I89/I12</f>
        <v>0</v>
      </c>
      <c r="K89" s="100"/>
      <c r="L89" s="28">
        <f>K89/K12</f>
        <v>0</v>
      </c>
      <c r="M89" s="100"/>
      <c r="N89" s="91">
        <f>M89/M12</f>
        <v>0</v>
      </c>
      <c r="O89" s="100"/>
      <c r="P89" s="91">
        <f>O89/O12</f>
        <v>0</v>
      </c>
      <c r="Q89" s="100"/>
      <c r="R89" s="91">
        <f>Q89/Q12</f>
        <v>0</v>
      </c>
      <c r="S89" s="100"/>
      <c r="T89" s="28">
        <f>S89/S12</f>
        <v>0</v>
      </c>
      <c r="U89" s="100"/>
      <c r="V89" s="28">
        <f>U89/U12</f>
        <v>0</v>
      </c>
      <c r="W89" s="100"/>
      <c r="X89" s="28">
        <f>W89/W12</f>
        <v>0</v>
      </c>
      <c r="Y89" s="100"/>
      <c r="Z89" s="28">
        <f>Y89/Y12</f>
        <v>0</v>
      </c>
      <c r="AA89" s="59">
        <f t="shared" si="23"/>
        <v>0</v>
      </c>
      <c r="AB89" s="28">
        <f>AA89/AA12</f>
        <v>0</v>
      </c>
      <c r="AC89" s="160">
        <f t="shared" si="20"/>
        <v>0</v>
      </c>
      <c r="AD89" s="28">
        <f>AC89/AC12</f>
        <v>0</v>
      </c>
      <c r="AE89" s="44">
        <f t="shared" si="21"/>
        <v>0</v>
      </c>
      <c r="AF89" s="21">
        <f t="shared" si="22"/>
        <v>0</v>
      </c>
    </row>
    <row r="90" spans="1:32" s="1" customFormat="1">
      <c r="A90" s="2">
        <v>6214</v>
      </c>
      <c r="B90" s="216" t="s">
        <v>34</v>
      </c>
      <c r="C90" s="100">
        <v>7620</v>
      </c>
      <c r="D90" s="28">
        <f>C90/C12</f>
        <v>3.527448640500877E-3</v>
      </c>
      <c r="E90" s="100">
        <v>7620</v>
      </c>
      <c r="F90" s="28">
        <f>E90/E12</f>
        <v>4.5339871512222862E-3</v>
      </c>
      <c r="G90" s="100">
        <v>7620</v>
      </c>
      <c r="H90" s="28">
        <f>G90/G12</f>
        <v>2.7333303545950872E-3</v>
      </c>
      <c r="I90" s="100">
        <v>7620</v>
      </c>
      <c r="J90" s="28">
        <f>I90/I12</f>
        <v>3.0955244666158645E-3</v>
      </c>
      <c r="K90" s="100">
        <v>7620</v>
      </c>
      <c r="L90" s="28">
        <f>K90/K12</f>
        <v>3.384559517304851E-3</v>
      </c>
      <c r="M90" s="100">
        <v>7620</v>
      </c>
      <c r="N90" s="91">
        <f>M90/M12</f>
        <v>2.3868776898123387E-3</v>
      </c>
      <c r="O90" s="100">
        <v>7620</v>
      </c>
      <c r="P90" s="91">
        <f>O90/O12</f>
        <v>3.7700805945946967E-3</v>
      </c>
      <c r="Q90" s="100">
        <v>7620</v>
      </c>
      <c r="R90" s="91">
        <f>Q90/Q12</f>
        <v>3.0361295539701127E-3</v>
      </c>
      <c r="S90" s="100">
        <v>7620</v>
      </c>
      <c r="T90" s="28">
        <f>S90/S12</f>
        <v>3.0138892341332602E-3</v>
      </c>
      <c r="U90" s="100">
        <v>7620</v>
      </c>
      <c r="V90" s="28">
        <f>U90/U12</f>
        <v>3.7996273642912481E-3</v>
      </c>
      <c r="W90" s="100">
        <v>7620</v>
      </c>
      <c r="X90" s="28">
        <f>W90/W12</f>
        <v>3.7344921106483397E-3</v>
      </c>
      <c r="Y90" s="100">
        <v>7620</v>
      </c>
      <c r="Z90" s="28">
        <f>Y90/Y12</f>
        <v>2.4720873672559609E-3</v>
      </c>
      <c r="AA90" s="59">
        <f t="shared" si="23"/>
        <v>91440</v>
      </c>
      <c r="AB90" s="28">
        <f>AA90/AA12</f>
        <v>3.1836574527564997E-3</v>
      </c>
      <c r="AC90" s="160">
        <f t="shared" si="20"/>
        <v>7620</v>
      </c>
      <c r="AD90" s="28">
        <f>AC90/AC12</f>
        <v>3.1836574527564997E-3</v>
      </c>
      <c r="AE90" s="44">
        <f t="shared" si="21"/>
        <v>91440</v>
      </c>
      <c r="AF90" s="21">
        <f t="shared" si="22"/>
        <v>0</v>
      </c>
    </row>
    <row r="91" spans="1:32" s="1" customFormat="1">
      <c r="A91" s="2">
        <v>6215</v>
      </c>
      <c r="B91" s="216" t="s">
        <v>35</v>
      </c>
      <c r="C91" s="100"/>
      <c r="D91" s="191">
        <f>C91/C12</f>
        <v>0</v>
      </c>
      <c r="E91" s="100"/>
      <c r="F91" s="191">
        <f>E91/E12</f>
        <v>0</v>
      </c>
      <c r="G91" s="100"/>
      <c r="H91" s="191">
        <f>G91/G12</f>
        <v>0</v>
      </c>
      <c r="I91" s="100"/>
      <c r="J91" s="191">
        <f>I91/I12</f>
        <v>0</v>
      </c>
      <c r="K91" s="100"/>
      <c r="L91" s="191">
        <f>K91/K12</f>
        <v>0</v>
      </c>
      <c r="M91" s="100"/>
      <c r="N91" s="221">
        <f>M91/M12</f>
        <v>0</v>
      </c>
      <c r="O91" s="100"/>
      <c r="P91" s="221">
        <f>O91/O12</f>
        <v>0</v>
      </c>
      <c r="Q91" s="100"/>
      <c r="R91" s="221">
        <f>Q91/Q12</f>
        <v>0</v>
      </c>
      <c r="S91" s="100"/>
      <c r="T91" s="191">
        <f>S91/S12</f>
        <v>0</v>
      </c>
      <c r="U91" s="100"/>
      <c r="V91" s="191">
        <f>U91/U12</f>
        <v>0</v>
      </c>
      <c r="W91" s="100"/>
      <c r="X91" s="191">
        <f>W91/W12</f>
        <v>0</v>
      </c>
      <c r="Y91" s="100"/>
      <c r="Z91" s="191">
        <f>Y91/Y12</f>
        <v>0</v>
      </c>
      <c r="AA91" s="59">
        <f t="shared" si="23"/>
        <v>0</v>
      </c>
      <c r="AB91" s="191">
        <f>AA91/AA12</f>
        <v>0</v>
      </c>
      <c r="AC91" s="160">
        <f t="shared" si="20"/>
        <v>0</v>
      </c>
      <c r="AD91" s="191">
        <f>AC91/AC12</f>
        <v>0</v>
      </c>
      <c r="AE91" s="44">
        <f t="shared" si="21"/>
        <v>0</v>
      </c>
      <c r="AF91" s="21">
        <f t="shared" si="22"/>
        <v>0</v>
      </c>
    </row>
    <row r="92" spans="1:32" s="1" customFormat="1">
      <c r="A92" s="2">
        <v>6216</v>
      </c>
      <c r="B92" s="216" t="s">
        <v>91</v>
      </c>
      <c r="C92" s="100"/>
      <c r="D92" s="191">
        <f>C92/C12</f>
        <v>0</v>
      </c>
      <c r="E92" s="100">
        <v>0</v>
      </c>
      <c r="F92" s="191">
        <f>E92/E12</f>
        <v>0</v>
      </c>
      <c r="G92" s="100">
        <v>0</v>
      </c>
      <c r="H92" s="191">
        <f>G92/G12</f>
        <v>0</v>
      </c>
      <c r="I92" s="100">
        <v>0</v>
      </c>
      <c r="J92" s="191">
        <f>I92/I12</f>
        <v>0</v>
      </c>
      <c r="K92" s="100">
        <v>0</v>
      </c>
      <c r="L92" s="191">
        <f>K92/K12</f>
        <v>0</v>
      </c>
      <c r="M92" s="100"/>
      <c r="N92" s="221">
        <f>M92/M12</f>
        <v>0</v>
      </c>
      <c r="O92" s="100"/>
      <c r="P92" s="221">
        <f>O92/O12</f>
        <v>0</v>
      </c>
      <c r="Q92" s="100">
        <v>0</v>
      </c>
      <c r="R92" s="221">
        <f>Q92/Q12</f>
        <v>0</v>
      </c>
      <c r="S92" s="100">
        <v>0</v>
      </c>
      <c r="T92" s="191">
        <f>S92/S12</f>
        <v>0</v>
      </c>
      <c r="U92" s="100">
        <v>0</v>
      </c>
      <c r="V92" s="191">
        <f>U92/U12</f>
        <v>0</v>
      </c>
      <c r="W92" s="100">
        <v>0</v>
      </c>
      <c r="X92" s="191">
        <f>W92/W12</f>
        <v>0</v>
      </c>
      <c r="Y92" s="100">
        <v>0</v>
      </c>
      <c r="Z92" s="191">
        <f>Y92/Y12</f>
        <v>0</v>
      </c>
      <c r="AA92" s="59">
        <f t="shared" si="23"/>
        <v>0</v>
      </c>
      <c r="AB92" s="191">
        <f>AA92/AA12</f>
        <v>0</v>
      </c>
      <c r="AC92" s="160">
        <f t="shared" si="20"/>
        <v>0</v>
      </c>
      <c r="AD92" s="191">
        <f>AC92/AC12</f>
        <v>0</v>
      </c>
      <c r="AE92" s="44">
        <f t="shared" si="21"/>
        <v>0</v>
      </c>
      <c r="AF92" s="21">
        <f t="shared" si="22"/>
        <v>0</v>
      </c>
    </row>
    <row r="93" spans="1:32" s="1" customFormat="1" ht="15.75" thickBot="1">
      <c r="A93" s="4">
        <v>6299</v>
      </c>
      <c r="B93" s="217" t="s">
        <v>102</v>
      </c>
      <c r="C93" s="168">
        <f>SUM(C77:C92)</f>
        <v>162039.10958904109</v>
      </c>
      <c r="D93" s="167">
        <f>C93/C12</f>
        <v>7.5011107195254015E-2</v>
      </c>
      <c r="E93" s="168">
        <f>SUM(E77:E92)</f>
        <v>162039.10958904109</v>
      </c>
      <c r="F93" s="167">
        <f>E93/E12</f>
        <v>9.6415123474043601E-2</v>
      </c>
      <c r="G93" s="168">
        <f>SUM(G77:G92)</f>
        <v>162039.10958904109</v>
      </c>
      <c r="H93" s="167">
        <f>G93/G12</f>
        <v>5.812420168914513E-2</v>
      </c>
      <c r="I93" s="168">
        <f>SUM(I77:I92)</f>
        <v>162039.10958904109</v>
      </c>
      <c r="J93" s="167">
        <f>I93/I12</f>
        <v>6.5826250430646466E-2</v>
      </c>
      <c r="K93" s="168">
        <f>SUM(K77:K92)</f>
        <v>162039.10958904109</v>
      </c>
      <c r="L93" s="167">
        <f>K93/K12</f>
        <v>7.1972573561048914E-2</v>
      </c>
      <c r="M93" s="168">
        <f>SUM(M77:M92)</f>
        <v>162039.10958904109</v>
      </c>
      <c r="N93" s="167">
        <f>M93/M12</f>
        <v>5.0756894429808241E-2</v>
      </c>
      <c r="O93" s="168">
        <f>SUM(O77:O92)</f>
        <v>162039.10958904109</v>
      </c>
      <c r="P93" s="167">
        <f>O93/O12</f>
        <v>8.017066963609544E-2</v>
      </c>
      <c r="Q93" s="168">
        <f>SUM(Q77:Q92)</f>
        <v>162039.10958904109</v>
      </c>
      <c r="R93" s="167">
        <f>Q93/Q12</f>
        <v>6.4563219097413332E-2</v>
      </c>
      <c r="S93" s="168">
        <f>SUM(S77:S92)</f>
        <v>162039.10958904109</v>
      </c>
      <c r="T93" s="167">
        <f>S93/S12</f>
        <v>6.4090279251830765E-2</v>
      </c>
      <c r="U93" s="168">
        <f>SUM(U77:U92)</f>
        <v>162039.10958904109</v>
      </c>
      <c r="V93" s="167">
        <f>U93/U12</f>
        <v>8.0798980955368624E-2</v>
      </c>
      <c r="W93" s="168">
        <f>SUM(W77:W92)</f>
        <v>162039.10958904109</v>
      </c>
      <c r="X93" s="167">
        <f>W93/W12</f>
        <v>7.94138814142724E-2</v>
      </c>
      <c r="Y93" s="168">
        <f>SUM(Y77:Y92)</f>
        <v>162041.2095890411</v>
      </c>
      <c r="Z93" s="167">
        <f>Y93/Y12</f>
        <v>5.2569557375320729E-2</v>
      </c>
      <c r="AA93" s="189">
        <f>SUM(AA77:AA92)</f>
        <v>1944471.4150684932</v>
      </c>
      <c r="AB93" s="220">
        <f>AA93/AA12</f>
        <v>6.770046929412496E-2</v>
      </c>
      <c r="AC93" s="23">
        <f t="shared" si="20"/>
        <v>162039.28458904111</v>
      </c>
      <c r="AD93" s="220">
        <f>AC93/AC12</f>
        <v>6.770046929412496E-2</v>
      </c>
      <c r="AE93" s="44">
        <f t="shared" si="21"/>
        <v>1944471.4150684935</v>
      </c>
      <c r="AF93" s="21">
        <f t="shared" si="22"/>
        <v>0</v>
      </c>
    </row>
    <row r="94" spans="1:32" s="1" customFormat="1" ht="15.75" thickTop="1">
      <c r="A94" s="2">
        <v>6301</v>
      </c>
      <c r="B94" s="216" t="s">
        <v>36</v>
      </c>
      <c r="C94" s="332"/>
      <c r="D94" s="28">
        <f t="shared" ref="D94:R114" si="24">C94/C$12</f>
        <v>0</v>
      </c>
      <c r="E94" s="332"/>
      <c r="F94" s="28">
        <f t="shared" si="24"/>
        <v>0</v>
      </c>
      <c r="G94" s="332"/>
      <c r="H94" s="28">
        <f t="shared" si="24"/>
        <v>0</v>
      </c>
      <c r="I94" s="332"/>
      <c r="J94" s="28">
        <f t="shared" si="24"/>
        <v>0</v>
      </c>
      <c r="K94" s="332"/>
      <c r="L94" s="28">
        <f t="shared" si="24"/>
        <v>0</v>
      </c>
      <c r="M94" s="332"/>
      <c r="N94" s="28">
        <f t="shared" si="24"/>
        <v>0</v>
      </c>
      <c r="O94" s="332"/>
      <c r="P94" s="28">
        <f t="shared" si="24"/>
        <v>0</v>
      </c>
      <c r="Q94" s="332"/>
      <c r="R94" s="28">
        <f t="shared" si="24"/>
        <v>0</v>
      </c>
      <c r="S94" s="332"/>
      <c r="T94" s="28">
        <f t="shared" ref="T94:X114" si="25">S94/S$12</f>
        <v>0</v>
      </c>
      <c r="U94" s="332"/>
      <c r="V94" s="28">
        <f t="shared" si="25"/>
        <v>0</v>
      </c>
      <c r="W94" s="332"/>
      <c r="X94" s="28">
        <f t="shared" si="25"/>
        <v>0</v>
      </c>
      <c r="Y94" s="332"/>
      <c r="Z94" s="28">
        <f t="shared" ref="Z94:Z114" si="26">Y94/Y$12</f>
        <v>0</v>
      </c>
      <c r="AA94" s="319">
        <f t="shared" ref="AA94:AA114" si="27">C94+E94+G94+I94+K94+M94+O94+Q94+S94+U94+W94+Y94</f>
        <v>0</v>
      </c>
      <c r="AB94" s="316">
        <f>AA94/AA$12</f>
        <v>0</v>
      </c>
      <c r="AC94" s="317">
        <f t="shared" si="20"/>
        <v>0</v>
      </c>
      <c r="AD94" s="316">
        <f>AC94/AC$12</f>
        <v>0</v>
      </c>
      <c r="AE94" s="44">
        <f t="shared" si="21"/>
        <v>0</v>
      </c>
      <c r="AF94" s="21">
        <f t="shared" si="22"/>
        <v>0</v>
      </c>
    </row>
    <row r="95" spans="1:32" s="1" customFormat="1">
      <c r="A95" s="2">
        <v>6302</v>
      </c>
      <c r="B95" s="216" t="s">
        <v>37</v>
      </c>
      <c r="C95" s="227"/>
      <c r="D95" s="28">
        <f t="shared" si="24"/>
        <v>0</v>
      </c>
      <c r="E95" s="227"/>
      <c r="F95" s="28">
        <f t="shared" si="24"/>
        <v>0</v>
      </c>
      <c r="G95" s="227"/>
      <c r="H95" s="28">
        <f t="shared" si="24"/>
        <v>0</v>
      </c>
      <c r="I95" s="227"/>
      <c r="J95" s="28">
        <f t="shared" si="24"/>
        <v>0</v>
      </c>
      <c r="K95" s="227"/>
      <c r="L95" s="28">
        <f t="shared" si="24"/>
        <v>0</v>
      </c>
      <c r="M95" s="227"/>
      <c r="N95" s="28">
        <f t="shared" si="24"/>
        <v>0</v>
      </c>
      <c r="O95" s="227"/>
      <c r="P95" s="28">
        <f t="shared" si="24"/>
        <v>0</v>
      </c>
      <c r="Q95" s="227"/>
      <c r="R95" s="28">
        <f t="shared" si="24"/>
        <v>0</v>
      </c>
      <c r="S95" s="227"/>
      <c r="T95" s="28">
        <f t="shared" si="25"/>
        <v>0</v>
      </c>
      <c r="U95" s="227"/>
      <c r="V95" s="28">
        <f t="shared" si="25"/>
        <v>0</v>
      </c>
      <c r="W95" s="227"/>
      <c r="X95" s="28">
        <f t="shared" si="25"/>
        <v>0</v>
      </c>
      <c r="Y95" s="227"/>
      <c r="Z95" s="28">
        <f t="shared" si="26"/>
        <v>0</v>
      </c>
      <c r="AA95" s="319">
        <f t="shared" si="27"/>
        <v>0</v>
      </c>
      <c r="AB95" s="316">
        <f t="shared" ref="AB95:AB99" si="28">AA95/AA$12</f>
        <v>0</v>
      </c>
      <c r="AC95" s="317">
        <f t="shared" si="20"/>
        <v>0</v>
      </c>
      <c r="AD95" s="316">
        <f t="shared" ref="AD95:AD99" si="29">AC95/AC$12</f>
        <v>0</v>
      </c>
      <c r="AE95" s="44">
        <f t="shared" si="21"/>
        <v>0</v>
      </c>
      <c r="AF95" s="21">
        <f t="shared" si="22"/>
        <v>0</v>
      </c>
    </row>
    <row r="96" spans="1:32" s="1" customFormat="1">
      <c r="A96" s="2">
        <v>6303</v>
      </c>
      <c r="B96" s="2" t="s">
        <v>115</v>
      </c>
      <c r="C96" s="227"/>
      <c r="D96" s="28">
        <f t="shared" si="24"/>
        <v>0</v>
      </c>
      <c r="E96" s="227"/>
      <c r="F96" s="28">
        <f t="shared" si="24"/>
        <v>0</v>
      </c>
      <c r="G96" s="227"/>
      <c r="H96" s="28">
        <f t="shared" si="24"/>
        <v>0</v>
      </c>
      <c r="I96" s="227"/>
      <c r="J96" s="28">
        <f t="shared" si="24"/>
        <v>0</v>
      </c>
      <c r="K96" s="227">
        <v>50000</v>
      </c>
      <c r="L96" s="28">
        <f t="shared" si="24"/>
        <v>2.2208395782840229E-2</v>
      </c>
      <c r="M96" s="227"/>
      <c r="N96" s="28">
        <f t="shared" si="24"/>
        <v>0</v>
      </c>
      <c r="O96" s="227"/>
      <c r="P96" s="28">
        <f t="shared" si="24"/>
        <v>0</v>
      </c>
      <c r="Q96" s="227"/>
      <c r="R96" s="28">
        <f t="shared" si="24"/>
        <v>0</v>
      </c>
      <c r="S96" s="227"/>
      <c r="T96" s="28">
        <f t="shared" si="25"/>
        <v>0</v>
      </c>
      <c r="U96" s="227"/>
      <c r="V96" s="28">
        <f t="shared" si="25"/>
        <v>0</v>
      </c>
      <c r="W96" s="227">
        <v>34000</v>
      </c>
      <c r="X96" s="28">
        <f t="shared" si="25"/>
        <v>1.6663088157748498E-2</v>
      </c>
      <c r="Y96" s="227"/>
      <c r="Z96" s="28">
        <f t="shared" si="26"/>
        <v>0</v>
      </c>
      <c r="AA96" s="319">
        <f t="shared" si="27"/>
        <v>84000</v>
      </c>
      <c r="AB96" s="316">
        <f t="shared" si="28"/>
        <v>2.9246197072566272E-3</v>
      </c>
      <c r="AC96" s="317">
        <f t="shared" si="20"/>
        <v>7000</v>
      </c>
      <c r="AD96" s="316">
        <f t="shared" si="29"/>
        <v>2.9246197072566272E-3</v>
      </c>
      <c r="AE96" s="44">
        <f t="shared" si="21"/>
        <v>84000</v>
      </c>
      <c r="AF96" s="21">
        <f t="shared" si="22"/>
        <v>0</v>
      </c>
    </row>
    <row r="97" spans="1:32" s="1" customFormat="1">
      <c r="A97" s="2">
        <v>6304</v>
      </c>
      <c r="B97" s="2" t="s">
        <v>38</v>
      </c>
      <c r="C97" s="280"/>
      <c r="D97" s="28">
        <f t="shared" si="24"/>
        <v>0</v>
      </c>
      <c r="E97" s="280"/>
      <c r="F97" s="28">
        <f t="shared" si="24"/>
        <v>0</v>
      </c>
      <c r="G97" s="280"/>
      <c r="H97" s="28">
        <f t="shared" si="24"/>
        <v>0</v>
      </c>
      <c r="I97" s="280"/>
      <c r="J97" s="28">
        <f t="shared" si="24"/>
        <v>0</v>
      </c>
      <c r="K97" s="280"/>
      <c r="L97" s="28">
        <f t="shared" si="24"/>
        <v>0</v>
      </c>
      <c r="M97" s="280"/>
      <c r="N97" s="28">
        <f t="shared" si="24"/>
        <v>0</v>
      </c>
      <c r="O97" s="280"/>
      <c r="P97" s="28">
        <f t="shared" si="24"/>
        <v>0</v>
      </c>
      <c r="Q97" s="280"/>
      <c r="R97" s="28">
        <f t="shared" si="24"/>
        <v>0</v>
      </c>
      <c r="S97" s="280"/>
      <c r="T97" s="28">
        <f t="shared" si="25"/>
        <v>0</v>
      </c>
      <c r="U97" s="280"/>
      <c r="V97" s="28">
        <f t="shared" si="25"/>
        <v>0</v>
      </c>
      <c r="W97" s="280"/>
      <c r="X97" s="28">
        <f t="shared" si="25"/>
        <v>0</v>
      </c>
      <c r="Y97" s="280"/>
      <c r="Z97" s="28">
        <f t="shared" si="26"/>
        <v>0</v>
      </c>
      <c r="AA97" s="319">
        <f t="shared" si="27"/>
        <v>0</v>
      </c>
      <c r="AB97" s="316">
        <f t="shared" si="28"/>
        <v>0</v>
      </c>
      <c r="AC97" s="317">
        <f t="shared" si="20"/>
        <v>0</v>
      </c>
      <c r="AD97" s="316">
        <f t="shared" si="29"/>
        <v>0</v>
      </c>
      <c r="AE97" s="44">
        <f t="shared" si="21"/>
        <v>0</v>
      </c>
      <c r="AF97" s="21">
        <f t="shared" si="22"/>
        <v>0</v>
      </c>
    </row>
    <row r="98" spans="1:32" s="1" customFormat="1">
      <c r="A98" s="82">
        <v>6305</v>
      </c>
      <c r="B98" s="2" t="s">
        <v>39</v>
      </c>
      <c r="C98" s="227"/>
      <c r="D98" s="28">
        <f t="shared" si="24"/>
        <v>0</v>
      </c>
      <c r="E98" s="227"/>
      <c r="F98" s="28">
        <f t="shared" si="24"/>
        <v>0</v>
      </c>
      <c r="G98" s="227"/>
      <c r="H98" s="28">
        <f t="shared" si="24"/>
        <v>0</v>
      </c>
      <c r="I98" s="227"/>
      <c r="J98" s="28">
        <f t="shared" si="24"/>
        <v>0</v>
      </c>
      <c r="K98" s="227"/>
      <c r="L98" s="28">
        <f t="shared" si="24"/>
        <v>0</v>
      </c>
      <c r="M98" s="227"/>
      <c r="N98" s="28">
        <f t="shared" si="24"/>
        <v>0</v>
      </c>
      <c r="O98" s="227"/>
      <c r="P98" s="28">
        <f t="shared" si="24"/>
        <v>0</v>
      </c>
      <c r="Q98" s="227"/>
      <c r="R98" s="28">
        <f t="shared" si="24"/>
        <v>0</v>
      </c>
      <c r="S98" s="227"/>
      <c r="T98" s="28">
        <f t="shared" si="25"/>
        <v>0</v>
      </c>
      <c r="U98" s="227"/>
      <c r="V98" s="28">
        <f t="shared" si="25"/>
        <v>0</v>
      </c>
      <c r="W98" s="227"/>
      <c r="X98" s="28">
        <f t="shared" si="25"/>
        <v>0</v>
      </c>
      <c r="Y98" s="227"/>
      <c r="Z98" s="28">
        <f t="shared" si="26"/>
        <v>0</v>
      </c>
      <c r="AA98" s="319">
        <f t="shared" si="27"/>
        <v>0</v>
      </c>
      <c r="AB98" s="316">
        <f t="shared" si="28"/>
        <v>0</v>
      </c>
      <c r="AC98" s="317">
        <f t="shared" si="20"/>
        <v>0</v>
      </c>
      <c r="AD98" s="316">
        <f t="shared" si="29"/>
        <v>0</v>
      </c>
      <c r="AE98" s="44">
        <f t="shared" si="21"/>
        <v>0</v>
      </c>
      <c r="AF98" s="21">
        <f t="shared" si="22"/>
        <v>0</v>
      </c>
    </row>
    <row r="99" spans="1:32" s="1" customFormat="1">
      <c r="A99" s="2">
        <v>6306</v>
      </c>
      <c r="B99" s="2" t="s">
        <v>40</v>
      </c>
      <c r="C99" s="227"/>
      <c r="D99" s="28">
        <f t="shared" si="24"/>
        <v>0</v>
      </c>
      <c r="E99" s="227"/>
      <c r="F99" s="28">
        <f t="shared" si="24"/>
        <v>0</v>
      </c>
      <c r="G99" s="227"/>
      <c r="H99" s="28">
        <f t="shared" si="24"/>
        <v>0</v>
      </c>
      <c r="I99" s="227"/>
      <c r="J99" s="28">
        <f t="shared" si="24"/>
        <v>0</v>
      </c>
      <c r="K99" s="227"/>
      <c r="L99" s="28">
        <f t="shared" si="24"/>
        <v>0</v>
      </c>
      <c r="M99" s="227"/>
      <c r="N99" s="28">
        <f t="shared" si="24"/>
        <v>0</v>
      </c>
      <c r="O99" s="227"/>
      <c r="P99" s="28">
        <f t="shared" si="24"/>
        <v>0</v>
      </c>
      <c r="Q99" s="227"/>
      <c r="R99" s="28">
        <f t="shared" si="24"/>
        <v>0</v>
      </c>
      <c r="S99" s="227"/>
      <c r="T99" s="28">
        <f t="shared" si="25"/>
        <v>0</v>
      </c>
      <c r="U99" s="227"/>
      <c r="V99" s="28">
        <f t="shared" si="25"/>
        <v>0</v>
      </c>
      <c r="W99" s="227"/>
      <c r="X99" s="28">
        <f t="shared" si="25"/>
        <v>0</v>
      </c>
      <c r="Y99" s="227"/>
      <c r="Z99" s="28">
        <f t="shared" si="26"/>
        <v>0</v>
      </c>
      <c r="AA99" s="319">
        <f t="shared" si="27"/>
        <v>0</v>
      </c>
      <c r="AB99" s="316">
        <f t="shared" si="28"/>
        <v>0</v>
      </c>
      <c r="AC99" s="317">
        <f t="shared" si="20"/>
        <v>0</v>
      </c>
      <c r="AD99" s="316">
        <f t="shared" si="29"/>
        <v>0</v>
      </c>
      <c r="AE99" s="44">
        <f t="shared" si="21"/>
        <v>0</v>
      </c>
      <c r="AF99" s="21">
        <f t="shared" si="22"/>
        <v>0</v>
      </c>
    </row>
    <row r="100" spans="1:32" s="1" customFormat="1">
      <c r="A100" s="2">
        <v>6307</v>
      </c>
      <c r="B100" s="2" t="s">
        <v>248</v>
      </c>
      <c r="C100" s="227"/>
      <c r="D100" s="28">
        <f t="shared" si="24"/>
        <v>0</v>
      </c>
      <c r="E100" s="227">
        <v>625</v>
      </c>
      <c r="F100" s="28">
        <f t="shared" si="24"/>
        <v>3.7188214823017437E-4</v>
      </c>
      <c r="G100" s="227">
        <v>625</v>
      </c>
      <c r="H100" s="28">
        <f t="shared" si="24"/>
        <v>2.2419048184014825E-4</v>
      </c>
      <c r="I100" s="227">
        <v>3495</v>
      </c>
      <c r="J100" s="28">
        <f t="shared" si="24"/>
        <v>1.4197976392155442E-3</v>
      </c>
      <c r="K100" s="227">
        <v>625</v>
      </c>
      <c r="L100" s="28">
        <f t="shared" si="24"/>
        <v>2.7760494728550284E-4</v>
      </c>
      <c r="M100" s="227"/>
      <c r="N100" s="28">
        <f t="shared" si="24"/>
        <v>0</v>
      </c>
      <c r="O100" s="227">
        <v>625</v>
      </c>
      <c r="P100" s="28">
        <f t="shared" si="24"/>
        <v>3.0922577055402694E-4</v>
      </c>
      <c r="Q100" s="227">
        <v>625</v>
      </c>
      <c r="R100" s="28">
        <f t="shared" si="24"/>
        <v>2.4902637417733865E-4</v>
      </c>
      <c r="S100" s="227">
        <v>625</v>
      </c>
      <c r="T100" s="28">
        <f t="shared" si="25"/>
        <v>2.4720220096237366E-4</v>
      </c>
      <c r="U100" s="227">
        <v>625</v>
      </c>
      <c r="V100" s="28">
        <f t="shared" si="25"/>
        <v>3.1164922607375726E-4</v>
      </c>
      <c r="W100" s="227">
        <v>625</v>
      </c>
      <c r="X100" s="28">
        <f t="shared" si="25"/>
        <v>3.0630676760567093E-4</v>
      </c>
      <c r="Y100" s="227">
        <v>625</v>
      </c>
      <c r="Z100" s="28">
        <f t="shared" si="26"/>
        <v>2.0276307146128289E-4</v>
      </c>
      <c r="AA100" s="319">
        <f t="shared" si="27"/>
        <v>9120</v>
      </c>
      <c r="AB100" s="316">
        <f>AA100/AA$12</f>
        <v>3.1753013964500525E-4</v>
      </c>
      <c r="AC100" s="317">
        <f t="shared" si="20"/>
        <v>760</v>
      </c>
      <c r="AD100" s="316">
        <f>AC100/AC$12</f>
        <v>3.175301396450052E-4</v>
      </c>
      <c r="AE100" s="44">
        <f t="shared" si="21"/>
        <v>9120</v>
      </c>
      <c r="AF100" s="21">
        <f t="shared" si="22"/>
        <v>0</v>
      </c>
    </row>
    <row r="101" spans="1:32" s="1" customFormat="1">
      <c r="A101" s="2">
        <v>6308</v>
      </c>
      <c r="B101" s="2" t="s">
        <v>126</v>
      </c>
      <c r="C101" s="227"/>
      <c r="D101" s="28">
        <f t="shared" si="24"/>
        <v>0</v>
      </c>
      <c r="E101" s="227"/>
      <c r="F101" s="28">
        <f t="shared" si="24"/>
        <v>0</v>
      </c>
      <c r="G101" s="227"/>
      <c r="H101" s="28">
        <f t="shared" si="24"/>
        <v>0</v>
      </c>
      <c r="I101" s="227"/>
      <c r="J101" s="28">
        <f t="shared" si="24"/>
        <v>0</v>
      </c>
      <c r="K101" s="227"/>
      <c r="L101" s="28">
        <f t="shared" si="24"/>
        <v>0</v>
      </c>
      <c r="M101" s="227"/>
      <c r="N101" s="28">
        <f t="shared" si="24"/>
        <v>0</v>
      </c>
      <c r="O101" s="227"/>
      <c r="P101" s="28">
        <f t="shared" si="24"/>
        <v>0</v>
      </c>
      <c r="Q101" s="227"/>
      <c r="R101" s="28">
        <f t="shared" si="24"/>
        <v>0</v>
      </c>
      <c r="S101" s="227"/>
      <c r="T101" s="28">
        <f t="shared" si="25"/>
        <v>0</v>
      </c>
      <c r="U101" s="227"/>
      <c r="V101" s="28">
        <f t="shared" si="25"/>
        <v>0</v>
      </c>
      <c r="W101" s="227"/>
      <c r="X101" s="28">
        <f t="shared" si="25"/>
        <v>0</v>
      </c>
      <c r="Y101" s="227"/>
      <c r="Z101" s="28">
        <f t="shared" si="26"/>
        <v>0</v>
      </c>
      <c r="AA101" s="319">
        <f t="shared" si="27"/>
        <v>0</v>
      </c>
      <c r="AB101" s="316">
        <f>AA101/AA$12</f>
        <v>0</v>
      </c>
      <c r="AC101" s="317">
        <f t="shared" si="20"/>
        <v>0</v>
      </c>
      <c r="AD101" s="316">
        <f>AC101/AC$12</f>
        <v>0</v>
      </c>
      <c r="AE101" s="44">
        <f t="shared" si="21"/>
        <v>0</v>
      </c>
      <c r="AF101" s="21">
        <f t="shared" si="22"/>
        <v>0</v>
      </c>
    </row>
    <row r="102" spans="1:32" s="1" customFormat="1">
      <c r="A102" s="2">
        <v>6309</v>
      </c>
      <c r="B102" s="2" t="s">
        <v>127</v>
      </c>
      <c r="C102" s="227">
        <v>6167.5198463340012</v>
      </c>
      <c r="D102" s="28">
        <f t="shared" si="24"/>
        <v>2.8550668631513189E-3</v>
      </c>
      <c r="E102" s="227">
        <v>6229.1950447973413</v>
      </c>
      <c r="F102" s="28">
        <f t="shared" si="24"/>
        <v>3.7064422960063881E-3</v>
      </c>
      <c r="G102" s="227">
        <v>3145.7434976226573</v>
      </c>
      <c r="H102" s="28">
        <f t="shared" si="24"/>
        <v>1.1283932007640587E-3</v>
      </c>
      <c r="I102" s="227">
        <v>3304.0444395393929</v>
      </c>
      <c r="J102" s="28">
        <f t="shared" si="24"/>
        <v>1.3422244621233979E-3</v>
      </c>
      <c r="K102" s="227">
        <v>6882.4678884397481</v>
      </c>
      <c r="L102" s="28">
        <f t="shared" si="24"/>
        <v>3.0569714165831719E-3</v>
      </c>
      <c r="M102" s="227">
        <v>3521.7779093852555</v>
      </c>
      <c r="N102" s="28">
        <f t="shared" si="24"/>
        <v>1.1031565774784261E-3</v>
      </c>
      <c r="O102" s="227">
        <v>3775.8119033238186</v>
      </c>
      <c r="P102" s="28">
        <f t="shared" si="24"/>
        <v>1.8681253524357999E-3</v>
      </c>
      <c r="Q102" s="227">
        <v>3932.0922786403839</v>
      </c>
      <c r="R102" s="28">
        <f t="shared" si="24"/>
        <v>1.566711492928839E-3</v>
      </c>
      <c r="S102" s="227">
        <v>8235.4114140291676</v>
      </c>
      <c r="T102" s="28">
        <f t="shared" si="25"/>
        <v>3.257298923805863E-3</v>
      </c>
      <c r="U102" s="227">
        <v>8511.8806647006495</v>
      </c>
      <c r="V102" s="28">
        <f t="shared" si="25"/>
        <v>4.2443536345378174E-3</v>
      </c>
      <c r="W102" s="227">
        <v>4470.1088950006588</v>
      </c>
      <c r="X102" s="28">
        <f t="shared" si="25"/>
        <v>2.1907593703568147E-3</v>
      </c>
      <c r="Y102" s="227">
        <v>4695.05490508818</v>
      </c>
      <c r="Z102" s="28">
        <f t="shared" si="26"/>
        <v>1.5231740051760661E-3</v>
      </c>
      <c r="AA102" s="319">
        <f t="shared" si="27"/>
        <v>62871.108686901251</v>
      </c>
      <c r="AB102" s="316">
        <f>AA102/AA$12</f>
        <v>2.1889771843188657E-3</v>
      </c>
      <c r="AC102" s="317">
        <f t="shared" si="20"/>
        <v>5239.2590572417712</v>
      </c>
      <c r="AD102" s="316">
        <f>AC102/AC$12</f>
        <v>2.1889771843188657E-3</v>
      </c>
      <c r="AE102" s="44">
        <f t="shared" si="21"/>
        <v>62871.108686901251</v>
      </c>
      <c r="AF102" s="21">
        <f t="shared" si="22"/>
        <v>0</v>
      </c>
    </row>
    <row r="103" spans="1:32" s="1" customFormat="1">
      <c r="A103" s="2">
        <v>6310</v>
      </c>
      <c r="B103" s="2" t="s">
        <v>128</v>
      </c>
      <c r="C103" s="227"/>
      <c r="D103" s="28">
        <f t="shared" si="24"/>
        <v>0</v>
      </c>
      <c r="E103" s="227">
        <v>2000</v>
      </c>
      <c r="F103" s="28">
        <f t="shared" si="24"/>
        <v>1.190022874336558E-3</v>
      </c>
      <c r="G103" s="227">
        <v>2000</v>
      </c>
      <c r="H103" s="28">
        <f t="shared" si="24"/>
        <v>7.1740954188847432E-4</v>
      </c>
      <c r="I103" s="227">
        <v>2000</v>
      </c>
      <c r="J103" s="28">
        <f t="shared" si="24"/>
        <v>8.1247361328500381E-4</v>
      </c>
      <c r="K103" s="227">
        <v>2000</v>
      </c>
      <c r="L103" s="28">
        <f t="shared" si="24"/>
        <v>8.8833583131360918E-4</v>
      </c>
      <c r="M103" s="227"/>
      <c r="N103" s="28">
        <f t="shared" si="24"/>
        <v>0</v>
      </c>
      <c r="O103" s="227">
        <v>2000</v>
      </c>
      <c r="P103" s="28">
        <f t="shared" si="24"/>
        <v>9.8952246577288625E-4</v>
      </c>
      <c r="Q103" s="227">
        <v>2000</v>
      </c>
      <c r="R103" s="28">
        <f t="shared" si="24"/>
        <v>7.9688439736748363E-4</v>
      </c>
      <c r="S103" s="227">
        <v>2000</v>
      </c>
      <c r="T103" s="28">
        <f t="shared" si="25"/>
        <v>7.9104704307959579E-4</v>
      </c>
      <c r="U103" s="227">
        <v>2000</v>
      </c>
      <c r="V103" s="28">
        <f t="shared" si="25"/>
        <v>9.9727752343602323E-4</v>
      </c>
      <c r="W103" s="227">
        <v>2000</v>
      </c>
      <c r="X103" s="28">
        <f t="shared" si="25"/>
        <v>9.8018165633814692E-4</v>
      </c>
      <c r="Y103" s="227">
        <v>2000</v>
      </c>
      <c r="Z103" s="28">
        <f t="shared" si="26"/>
        <v>6.4884182867610521E-4</v>
      </c>
      <c r="AA103" s="319">
        <f t="shared" si="27"/>
        <v>20000</v>
      </c>
      <c r="AB103" s="316">
        <f t="shared" ref="AB103:AB114" si="30">AA103/AA$12</f>
        <v>6.9633802553729224E-4</v>
      </c>
      <c r="AC103" s="317">
        <f t="shared" si="20"/>
        <v>1666.6666666666667</v>
      </c>
      <c r="AD103" s="316">
        <f t="shared" ref="AD103:AD114" si="31">AC103/AC$12</f>
        <v>6.9633802553729213E-4</v>
      </c>
      <c r="AE103" s="44">
        <f t="shared" si="21"/>
        <v>20000</v>
      </c>
      <c r="AF103" s="21">
        <f t="shared" si="22"/>
        <v>0</v>
      </c>
    </row>
    <row r="104" spans="1:32" s="1" customFormat="1">
      <c r="A104" s="2">
        <v>6311</v>
      </c>
      <c r="B104" s="2" t="s">
        <v>129</v>
      </c>
      <c r="C104" s="227">
        <v>10000</v>
      </c>
      <c r="D104" s="28">
        <f t="shared" si="24"/>
        <v>4.6291976909460329E-3</v>
      </c>
      <c r="E104" s="227"/>
      <c r="F104" s="28">
        <f t="shared" si="24"/>
        <v>0</v>
      </c>
      <c r="G104" s="227"/>
      <c r="H104" s="28">
        <f t="shared" si="24"/>
        <v>0</v>
      </c>
      <c r="I104" s="227"/>
      <c r="J104" s="28">
        <f t="shared" si="24"/>
        <v>0</v>
      </c>
      <c r="K104" s="227"/>
      <c r="L104" s="28">
        <f t="shared" si="24"/>
        <v>0</v>
      </c>
      <c r="M104" s="227"/>
      <c r="N104" s="28">
        <f t="shared" si="24"/>
        <v>0</v>
      </c>
      <c r="O104" s="227"/>
      <c r="P104" s="28">
        <f t="shared" si="24"/>
        <v>0</v>
      </c>
      <c r="Q104" s="227"/>
      <c r="R104" s="28">
        <f t="shared" si="24"/>
        <v>0</v>
      </c>
      <c r="S104" s="227"/>
      <c r="T104" s="28">
        <f t="shared" si="25"/>
        <v>0</v>
      </c>
      <c r="U104" s="227"/>
      <c r="V104" s="28">
        <f t="shared" si="25"/>
        <v>0</v>
      </c>
      <c r="W104" s="227"/>
      <c r="X104" s="28">
        <f t="shared" si="25"/>
        <v>0</v>
      </c>
      <c r="Y104" s="227"/>
      <c r="Z104" s="28">
        <f t="shared" si="26"/>
        <v>0</v>
      </c>
      <c r="AA104" s="319">
        <f t="shared" si="27"/>
        <v>10000</v>
      </c>
      <c r="AB104" s="316">
        <f t="shared" si="30"/>
        <v>3.4816901276864612E-4</v>
      </c>
      <c r="AC104" s="317">
        <f t="shared" si="20"/>
        <v>833.33333333333337</v>
      </c>
      <c r="AD104" s="316">
        <f t="shared" si="31"/>
        <v>3.4816901276864606E-4</v>
      </c>
      <c r="AE104" s="44">
        <f t="shared" si="21"/>
        <v>10000</v>
      </c>
      <c r="AF104" s="21">
        <f t="shared" si="22"/>
        <v>0</v>
      </c>
    </row>
    <row r="105" spans="1:32" s="1" customFormat="1">
      <c r="A105" s="2">
        <v>6312</v>
      </c>
      <c r="B105" s="2" t="s">
        <v>130</v>
      </c>
      <c r="C105" s="227"/>
      <c r="D105" s="28">
        <f t="shared" si="24"/>
        <v>0</v>
      </c>
      <c r="E105" s="227"/>
      <c r="F105" s="28">
        <f t="shared" si="24"/>
        <v>0</v>
      </c>
      <c r="G105" s="227"/>
      <c r="H105" s="28">
        <f t="shared" si="24"/>
        <v>0</v>
      </c>
      <c r="I105" s="227"/>
      <c r="J105" s="28">
        <f t="shared" si="24"/>
        <v>0</v>
      </c>
      <c r="K105" s="227"/>
      <c r="L105" s="28">
        <f t="shared" si="24"/>
        <v>0</v>
      </c>
      <c r="M105" s="227"/>
      <c r="N105" s="28">
        <f t="shared" si="24"/>
        <v>0</v>
      </c>
      <c r="O105" s="227"/>
      <c r="P105" s="28">
        <f t="shared" si="24"/>
        <v>0</v>
      </c>
      <c r="Q105" s="227"/>
      <c r="R105" s="28">
        <f t="shared" si="24"/>
        <v>0</v>
      </c>
      <c r="S105" s="227"/>
      <c r="T105" s="28">
        <f t="shared" si="25"/>
        <v>0</v>
      </c>
      <c r="U105" s="227"/>
      <c r="V105" s="28">
        <f t="shared" si="25"/>
        <v>0</v>
      </c>
      <c r="W105" s="227"/>
      <c r="X105" s="28">
        <f t="shared" si="25"/>
        <v>0</v>
      </c>
      <c r="Y105" s="227"/>
      <c r="Z105" s="28">
        <f t="shared" si="26"/>
        <v>0</v>
      </c>
      <c r="AA105" s="319">
        <f t="shared" si="27"/>
        <v>0</v>
      </c>
      <c r="AB105" s="316">
        <f t="shared" si="30"/>
        <v>0</v>
      </c>
      <c r="AC105" s="317">
        <f t="shared" si="20"/>
        <v>0</v>
      </c>
      <c r="AD105" s="316">
        <f t="shared" si="31"/>
        <v>0</v>
      </c>
      <c r="AE105" s="44">
        <f t="shared" si="21"/>
        <v>0</v>
      </c>
      <c r="AF105" s="21">
        <f t="shared" si="22"/>
        <v>0</v>
      </c>
    </row>
    <row r="106" spans="1:32" s="1" customFormat="1">
      <c r="A106" s="2">
        <v>6313</v>
      </c>
      <c r="B106" s="2" t="s">
        <v>131</v>
      </c>
      <c r="C106" s="227"/>
      <c r="D106" s="28">
        <f t="shared" si="24"/>
        <v>0</v>
      </c>
      <c r="E106" s="227"/>
      <c r="F106" s="28">
        <f t="shared" si="24"/>
        <v>0</v>
      </c>
      <c r="G106" s="227">
        <v>2272.727272727273</v>
      </c>
      <c r="H106" s="28">
        <f t="shared" si="24"/>
        <v>8.1523811578235726E-4</v>
      </c>
      <c r="I106" s="227"/>
      <c r="J106" s="28">
        <f t="shared" si="24"/>
        <v>0</v>
      </c>
      <c r="K106" s="227">
        <v>2272.727272727273</v>
      </c>
      <c r="L106" s="28">
        <f t="shared" si="24"/>
        <v>1.0094725355836469E-3</v>
      </c>
      <c r="M106" s="227"/>
      <c r="N106" s="28">
        <f t="shared" si="24"/>
        <v>0</v>
      </c>
      <c r="O106" s="227"/>
      <c r="P106" s="28">
        <f t="shared" si="24"/>
        <v>0</v>
      </c>
      <c r="Q106" s="227">
        <v>2272.727272727273</v>
      </c>
      <c r="R106" s="28">
        <f t="shared" si="24"/>
        <v>9.055504515539588E-4</v>
      </c>
      <c r="S106" s="227"/>
      <c r="T106" s="28">
        <f t="shared" si="25"/>
        <v>0</v>
      </c>
      <c r="U106" s="227"/>
      <c r="V106" s="28">
        <f t="shared" si="25"/>
        <v>0</v>
      </c>
      <c r="W106" s="227"/>
      <c r="X106" s="28">
        <f t="shared" si="25"/>
        <v>0</v>
      </c>
      <c r="Y106" s="227">
        <v>2272.727272727273</v>
      </c>
      <c r="Z106" s="28">
        <f t="shared" si="26"/>
        <v>7.3732025985921051E-4</v>
      </c>
      <c r="AA106" s="319">
        <f t="shared" si="27"/>
        <v>9090.9090909090919</v>
      </c>
      <c r="AB106" s="316">
        <f t="shared" si="30"/>
        <v>3.1651728433513285E-4</v>
      </c>
      <c r="AC106" s="317">
        <f t="shared" si="20"/>
        <v>757.57575757575762</v>
      </c>
      <c r="AD106" s="316">
        <f t="shared" si="31"/>
        <v>3.165172843351328E-4</v>
      </c>
      <c r="AE106" s="44"/>
      <c r="AF106" s="21"/>
    </row>
    <row r="107" spans="1:32" s="1" customFormat="1">
      <c r="A107" s="2">
        <v>6314</v>
      </c>
      <c r="B107" s="2" t="s">
        <v>210</v>
      </c>
      <c r="C107" s="227">
        <f>600000/12</f>
        <v>50000</v>
      </c>
      <c r="D107" s="28">
        <f t="shared" si="24"/>
        <v>2.3145988454730163E-2</v>
      </c>
      <c r="E107" s="227">
        <f>600000/12</f>
        <v>50000</v>
      </c>
      <c r="F107" s="28">
        <f t="shared" si="24"/>
        <v>2.9750571858413948E-2</v>
      </c>
      <c r="G107" s="227">
        <f>600000/12</f>
        <v>50000</v>
      </c>
      <c r="H107" s="28">
        <f t="shared" si="24"/>
        <v>1.7935238547211858E-2</v>
      </c>
      <c r="I107" s="227">
        <f>600000/12</f>
        <v>50000</v>
      </c>
      <c r="J107" s="28">
        <f t="shared" si="24"/>
        <v>2.0311840332125096E-2</v>
      </c>
      <c r="K107" s="227">
        <f>600000/12</f>
        <v>50000</v>
      </c>
      <c r="L107" s="28">
        <f t="shared" si="24"/>
        <v>2.2208395782840229E-2</v>
      </c>
      <c r="M107" s="227">
        <f>600000/12</f>
        <v>50000</v>
      </c>
      <c r="N107" s="28">
        <f t="shared" si="24"/>
        <v>1.5661927098506161E-2</v>
      </c>
      <c r="O107" s="227">
        <f>600000/12</f>
        <v>50000</v>
      </c>
      <c r="P107" s="28">
        <f t="shared" si="24"/>
        <v>2.4738061644322157E-2</v>
      </c>
      <c r="Q107" s="227">
        <f>600000/12</f>
        <v>50000</v>
      </c>
      <c r="R107" s="28">
        <f t="shared" si="24"/>
        <v>1.9922109934187093E-2</v>
      </c>
      <c r="S107" s="227">
        <f>600000/12</f>
        <v>50000</v>
      </c>
      <c r="T107" s="28">
        <f t="shared" si="25"/>
        <v>1.9776176076989897E-2</v>
      </c>
      <c r="U107" s="227">
        <f>600000/12</f>
        <v>50000</v>
      </c>
      <c r="V107" s="28">
        <f t="shared" si="25"/>
        <v>2.4931938085900579E-2</v>
      </c>
      <c r="W107" s="227">
        <f>600000/12</f>
        <v>50000</v>
      </c>
      <c r="X107" s="28">
        <f t="shared" si="25"/>
        <v>2.4504541408453675E-2</v>
      </c>
      <c r="Y107" s="227">
        <f>600000/12</f>
        <v>50000</v>
      </c>
      <c r="Z107" s="28">
        <f t="shared" si="26"/>
        <v>1.6221045716902631E-2</v>
      </c>
      <c r="AA107" s="319">
        <f t="shared" si="27"/>
        <v>600000</v>
      </c>
      <c r="AB107" s="316">
        <f t="shared" si="30"/>
        <v>2.0890140766118767E-2</v>
      </c>
      <c r="AC107" s="317">
        <f t="shared" si="20"/>
        <v>50000</v>
      </c>
      <c r="AD107" s="316">
        <f t="shared" si="31"/>
        <v>2.0890140766118764E-2</v>
      </c>
      <c r="AE107" s="44">
        <f t="shared" si="21"/>
        <v>600000</v>
      </c>
      <c r="AF107" s="21">
        <f t="shared" si="22"/>
        <v>0</v>
      </c>
    </row>
    <row r="108" spans="1:32" s="1" customFormat="1">
      <c r="A108" s="2">
        <v>6315</v>
      </c>
      <c r="B108" s="2" t="s">
        <v>249</v>
      </c>
      <c r="C108" s="227"/>
      <c r="D108" s="28">
        <f t="shared" si="24"/>
        <v>0</v>
      </c>
      <c r="E108" s="227">
        <v>5498.2699999999995</v>
      </c>
      <c r="F108" s="28">
        <f t="shared" si="24"/>
        <v>3.2715335346392331E-3</v>
      </c>
      <c r="G108" s="227">
        <v>7025.0199999999995</v>
      </c>
      <c r="H108" s="28">
        <f t="shared" si="24"/>
        <v>2.5199081899786847E-3</v>
      </c>
      <c r="I108" s="227">
        <v>5498.2699999999995</v>
      </c>
      <c r="J108" s="28">
        <f t="shared" si="24"/>
        <v>2.2335996468582689E-3</v>
      </c>
      <c r="K108" s="227">
        <v>2413.25</v>
      </c>
      <c r="L108" s="28">
        <f t="shared" si="24"/>
        <v>1.0718882224587836E-3</v>
      </c>
      <c r="M108" s="227"/>
      <c r="N108" s="28">
        <f t="shared" si="24"/>
        <v>0</v>
      </c>
      <c r="O108" s="227">
        <v>1649.875</v>
      </c>
      <c r="P108" s="28">
        <f t="shared" si="24"/>
        <v>8.1629418910852036E-4</v>
      </c>
      <c r="Q108" s="227">
        <v>2413.25</v>
      </c>
      <c r="R108" s="28">
        <f t="shared" si="24"/>
        <v>9.6154063597353998E-4</v>
      </c>
      <c r="S108" s="227"/>
      <c r="T108" s="28">
        <f t="shared" si="25"/>
        <v>0</v>
      </c>
      <c r="U108" s="227">
        <v>1649.875</v>
      </c>
      <c r="V108" s="28">
        <f t="shared" si="25"/>
        <v>8.2269162698950433E-4</v>
      </c>
      <c r="W108" s="227"/>
      <c r="X108" s="28">
        <f t="shared" si="25"/>
        <v>0</v>
      </c>
      <c r="Y108" s="227">
        <v>2413.25</v>
      </c>
      <c r="Z108" s="28">
        <f t="shared" si="26"/>
        <v>7.8290877152630543E-4</v>
      </c>
      <c r="AA108" s="319">
        <f t="shared" si="27"/>
        <v>28561.059999999998</v>
      </c>
      <c r="AB108" s="316">
        <f t="shared" si="30"/>
        <v>9.9440760638260656E-4</v>
      </c>
      <c r="AC108" s="317">
        <f t="shared" si="20"/>
        <v>2380.0883333333331</v>
      </c>
      <c r="AD108" s="316">
        <f t="shared" si="31"/>
        <v>9.9440760638260656E-4</v>
      </c>
      <c r="AE108" s="44"/>
      <c r="AF108" s="21"/>
    </row>
    <row r="109" spans="1:32" s="1" customFormat="1">
      <c r="A109" s="2">
        <v>6316</v>
      </c>
      <c r="B109" s="2" t="s">
        <v>250</v>
      </c>
      <c r="C109" s="227"/>
      <c r="D109" s="28">
        <f t="shared" si="24"/>
        <v>0</v>
      </c>
      <c r="E109" s="227">
        <v>15316.75</v>
      </c>
      <c r="F109" s="28">
        <f t="shared" si="24"/>
        <v>9.1136414302472376E-3</v>
      </c>
      <c r="G109" s="227"/>
      <c r="H109" s="28">
        <f t="shared" si="24"/>
        <v>0</v>
      </c>
      <c r="I109" s="227"/>
      <c r="J109" s="28">
        <f t="shared" si="24"/>
        <v>0</v>
      </c>
      <c r="K109" s="227">
        <v>17237.5</v>
      </c>
      <c r="L109" s="28">
        <f t="shared" si="24"/>
        <v>7.6563444461341685E-3</v>
      </c>
      <c r="M109" s="227">
        <v>6550.25</v>
      </c>
      <c r="N109" s="28">
        <f t="shared" si="24"/>
        <v>2.0517907595397995E-3</v>
      </c>
      <c r="O109" s="227"/>
      <c r="P109" s="28">
        <f t="shared" si="24"/>
        <v>0</v>
      </c>
      <c r="Q109" s="227">
        <v>17237.5</v>
      </c>
      <c r="R109" s="28">
        <f t="shared" si="24"/>
        <v>6.8681473998110001E-3</v>
      </c>
      <c r="S109" s="227">
        <v>6550.25</v>
      </c>
      <c r="T109" s="28">
        <f t="shared" si="25"/>
        <v>2.5907779469660614E-3</v>
      </c>
      <c r="U109" s="227">
        <v>5516</v>
      </c>
      <c r="V109" s="28">
        <f t="shared" si="25"/>
        <v>2.750491409636552E-3</v>
      </c>
      <c r="W109" s="227"/>
      <c r="X109" s="28">
        <f t="shared" si="25"/>
        <v>0</v>
      </c>
      <c r="Y109" s="227"/>
      <c r="Z109" s="28">
        <f t="shared" si="26"/>
        <v>0</v>
      </c>
      <c r="AA109" s="319">
        <f t="shared" si="27"/>
        <v>68408.25</v>
      </c>
      <c r="AB109" s="316">
        <f t="shared" si="30"/>
        <v>2.3817632867730735E-3</v>
      </c>
      <c r="AC109" s="317">
        <f t="shared" si="20"/>
        <v>5700.6875</v>
      </c>
      <c r="AD109" s="316">
        <f t="shared" si="31"/>
        <v>2.3817632867730735E-3</v>
      </c>
      <c r="AE109" s="44"/>
      <c r="AF109" s="21"/>
    </row>
    <row r="110" spans="1:32" s="1" customFormat="1">
      <c r="A110" s="2">
        <v>6317</v>
      </c>
      <c r="B110" s="2" t="s">
        <v>251</v>
      </c>
      <c r="C110" s="227"/>
      <c r="D110" s="28">
        <f t="shared" si="24"/>
        <v>0</v>
      </c>
      <c r="E110" s="227">
        <v>3890.75</v>
      </c>
      <c r="F110" s="28">
        <f t="shared" si="24"/>
        <v>2.3150407491624816E-3</v>
      </c>
      <c r="G110" s="227"/>
      <c r="H110" s="28">
        <f t="shared" si="24"/>
        <v>0</v>
      </c>
      <c r="I110" s="227">
        <v>17017.106250000001</v>
      </c>
      <c r="J110" s="28">
        <f t="shared" si="24"/>
        <v>6.9129749012961606E-3</v>
      </c>
      <c r="K110" s="227">
        <v>4438.65625</v>
      </c>
      <c r="L110" s="28">
        <f t="shared" si="24"/>
        <v>1.9715086948795483E-3</v>
      </c>
      <c r="M110" s="227"/>
      <c r="N110" s="28">
        <f t="shared" si="24"/>
        <v>0</v>
      </c>
      <c r="O110" s="227"/>
      <c r="P110" s="28">
        <f t="shared" si="24"/>
        <v>0</v>
      </c>
      <c r="Q110" s="227">
        <v>11510.463749999999</v>
      </c>
      <c r="R110" s="28">
        <f t="shared" si="24"/>
        <v>4.5862544844195077E-3</v>
      </c>
      <c r="S110" s="227"/>
      <c r="T110" s="28">
        <f t="shared" si="25"/>
        <v>0</v>
      </c>
      <c r="U110" s="227">
        <v>3890.75</v>
      </c>
      <c r="V110" s="28">
        <f t="shared" si="25"/>
        <v>1.9400787621543535E-3</v>
      </c>
      <c r="W110" s="227"/>
      <c r="X110" s="28">
        <f t="shared" si="25"/>
        <v>0</v>
      </c>
      <c r="Y110" s="227"/>
      <c r="Z110" s="28">
        <f t="shared" si="26"/>
        <v>0</v>
      </c>
      <c r="AA110" s="319">
        <f t="shared" si="27"/>
        <v>40747.72625</v>
      </c>
      <c r="AB110" s="316">
        <f t="shared" si="30"/>
        <v>1.4187095621029547E-3</v>
      </c>
      <c r="AC110" s="317">
        <f t="shared" si="20"/>
        <v>3395.6438541666666</v>
      </c>
      <c r="AD110" s="316">
        <f t="shared" si="31"/>
        <v>1.4187095621029544E-3</v>
      </c>
      <c r="AE110" s="44"/>
      <c r="AF110" s="21"/>
    </row>
    <row r="111" spans="1:32" s="1" customFormat="1">
      <c r="A111" s="2">
        <v>6318</v>
      </c>
      <c r="B111" s="2" t="s">
        <v>252</v>
      </c>
      <c r="C111" s="227">
        <v>6570</v>
      </c>
      <c r="D111" s="28">
        <f t="shared" si="24"/>
        <v>3.0413828829515435E-3</v>
      </c>
      <c r="E111" s="227">
        <v>6570</v>
      </c>
      <c r="F111" s="28">
        <f t="shared" si="24"/>
        <v>3.9092251421955927E-3</v>
      </c>
      <c r="G111" s="227">
        <v>6570</v>
      </c>
      <c r="H111" s="28">
        <f t="shared" si="24"/>
        <v>2.3566903451036382E-3</v>
      </c>
      <c r="I111" s="227">
        <v>6570</v>
      </c>
      <c r="J111" s="28">
        <f t="shared" si="24"/>
        <v>2.6689758196412373E-3</v>
      </c>
      <c r="K111" s="227">
        <v>6570</v>
      </c>
      <c r="L111" s="28">
        <f t="shared" si="24"/>
        <v>2.9181832058652059E-3</v>
      </c>
      <c r="M111" s="227">
        <v>6570</v>
      </c>
      <c r="N111" s="28">
        <f t="shared" si="24"/>
        <v>2.0579772207437097E-3</v>
      </c>
      <c r="O111" s="227">
        <v>6570</v>
      </c>
      <c r="P111" s="28">
        <f t="shared" si="24"/>
        <v>3.2505813000639314E-3</v>
      </c>
      <c r="Q111" s="227">
        <v>6570</v>
      </c>
      <c r="R111" s="28">
        <f t="shared" si="24"/>
        <v>2.6177652453521836E-3</v>
      </c>
      <c r="S111" s="227">
        <v>6570</v>
      </c>
      <c r="T111" s="28">
        <f t="shared" si="25"/>
        <v>2.5985895365164724E-3</v>
      </c>
      <c r="U111" s="227">
        <v>6570</v>
      </c>
      <c r="V111" s="28">
        <f t="shared" si="25"/>
        <v>3.2760566644873361E-3</v>
      </c>
      <c r="W111" s="227">
        <v>6570</v>
      </c>
      <c r="X111" s="28">
        <f t="shared" si="25"/>
        <v>3.2198967410708127E-3</v>
      </c>
      <c r="Y111" s="227">
        <v>6570</v>
      </c>
      <c r="Z111" s="28">
        <f t="shared" si="26"/>
        <v>2.1314454072010056E-3</v>
      </c>
      <c r="AA111" s="319">
        <f t="shared" si="27"/>
        <v>78840</v>
      </c>
      <c r="AB111" s="316">
        <f t="shared" si="30"/>
        <v>2.7449644966680057E-3</v>
      </c>
      <c r="AC111" s="317">
        <f t="shared" si="20"/>
        <v>6570</v>
      </c>
      <c r="AD111" s="316">
        <f t="shared" si="31"/>
        <v>2.7449644966680057E-3</v>
      </c>
      <c r="AE111" s="44"/>
      <c r="AF111" s="21"/>
    </row>
    <row r="112" spans="1:32" s="1" customFormat="1">
      <c r="A112" s="2">
        <v>6319</v>
      </c>
      <c r="B112" s="2" t="s">
        <v>253</v>
      </c>
      <c r="C112" s="227"/>
      <c r="D112" s="28">
        <f t="shared" si="24"/>
        <v>0</v>
      </c>
      <c r="E112" s="227">
        <v>53770</v>
      </c>
      <c r="F112" s="28">
        <f t="shared" si="24"/>
        <v>3.1993764976538358E-2</v>
      </c>
      <c r="G112" s="227">
        <v>53770</v>
      </c>
      <c r="H112" s="28">
        <f t="shared" si="24"/>
        <v>1.9287555533671633E-2</v>
      </c>
      <c r="I112" s="227">
        <v>53770</v>
      </c>
      <c r="J112" s="28">
        <f t="shared" si="24"/>
        <v>2.1843353093167327E-2</v>
      </c>
      <c r="K112" s="227">
        <v>53770</v>
      </c>
      <c r="L112" s="28">
        <f t="shared" si="24"/>
        <v>2.3882908824866381E-2</v>
      </c>
      <c r="M112" s="227"/>
      <c r="N112" s="28">
        <f t="shared" si="24"/>
        <v>0</v>
      </c>
      <c r="O112" s="227">
        <v>53770</v>
      </c>
      <c r="P112" s="28">
        <f t="shared" si="24"/>
        <v>2.6603311492304049E-2</v>
      </c>
      <c r="Q112" s="227">
        <v>53770</v>
      </c>
      <c r="R112" s="28">
        <f t="shared" si="24"/>
        <v>2.1424237023224799E-2</v>
      </c>
      <c r="S112" s="227">
        <v>53770</v>
      </c>
      <c r="T112" s="28">
        <f t="shared" si="25"/>
        <v>2.1267299753194933E-2</v>
      </c>
      <c r="U112" s="227">
        <v>53770</v>
      </c>
      <c r="V112" s="28">
        <f t="shared" si="25"/>
        <v>2.6811806217577484E-2</v>
      </c>
      <c r="W112" s="227">
        <v>53770</v>
      </c>
      <c r="X112" s="28">
        <f t="shared" si="25"/>
        <v>2.635218383065108E-2</v>
      </c>
      <c r="Y112" s="227">
        <v>53770</v>
      </c>
      <c r="Z112" s="28">
        <f t="shared" si="26"/>
        <v>1.7444112563957087E-2</v>
      </c>
      <c r="AA112" s="319">
        <f t="shared" si="27"/>
        <v>537700</v>
      </c>
      <c r="AB112" s="316">
        <f t="shared" si="30"/>
        <v>1.8721047816570101E-2</v>
      </c>
      <c r="AC112" s="317">
        <f t="shared" si="20"/>
        <v>44808.333333333336</v>
      </c>
      <c r="AD112" s="316">
        <f t="shared" si="31"/>
        <v>1.8721047816570101E-2</v>
      </c>
      <c r="AE112" s="44"/>
      <c r="AF112" s="21"/>
    </row>
    <row r="113" spans="1:32" s="1" customFormat="1">
      <c r="A113" s="2">
        <v>6320</v>
      </c>
      <c r="B113" s="2" t="s">
        <v>254</v>
      </c>
      <c r="C113" s="227"/>
      <c r="D113" s="28">
        <f t="shared" si="24"/>
        <v>0</v>
      </c>
      <c r="E113" s="227"/>
      <c r="F113" s="28">
        <f t="shared" si="24"/>
        <v>0</v>
      </c>
      <c r="G113" s="227"/>
      <c r="H113" s="28">
        <f t="shared" si="24"/>
        <v>0</v>
      </c>
      <c r="I113" s="227"/>
      <c r="J113" s="28">
        <f t="shared" si="24"/>
        <v>0</v>
      </c>
      <c r="K113" s="227"/>
      <c r="L113" s="28">
        <f t="shared" si="24"/>
        <v>0</v>
      </c>
      <c r="M113" s="227"/>
      <c r="N113" s="28">
        <f t="shared" si="24"/>
        <v>0</v>
      </c>
      <c r="O113" s="227"/>
      <c r="P113" s="28">
        <f t="shared" si="24"/>
        <v>0</v>
      </c>
      <c r="Q113" s="227"/>
      <c r="R113" s="28">
        <f t="shared" si="24"/>
        <v>0</v>
      </c>
      <c r="S113" s="227"/>
      <c r="T113" s="28">
        <f t="shared" si="25"/>
        <v>0</v>
      </c>
      <c r="U113" s="227"/>
      <c r="V113" s="28">
        <f t="shared" si="25"/>
        <v>0</v>
      </c>
      <c r="W113" s="227"/>
      <c r="X113" s="28">
        <f t="shared" si="25"/>
        <v>0</v>
      </c>
      <c r="Y113" s="227"/>
      <c r="Z113" s="28">
        <f t="shared" si="26"/>
        <v>0</v>
      </c>
      <c r="AA113" s="319">
        <f t="shared" si="27"/>
        <v>0</v>
      </c>
      <c r="AB113" s="316">
        <f t="shared" si="30"/>
        <v>0</v>
      </c>
      <c r="AC113" s="317">
        <f t="shared" si="20"/>
        <v>0</v>
      </c>
      <c r="AD113" s="316">
        <f t="shared" si="31"/>
        <v>0</v>
      </c>
      <c r="AE113" s="44"/>
      <c r="AF113" s="21"/>
    </row>
    <row r="114" spans="1:32" s="1" customFormat="1">
      <c r="A114" s="2">
        <v>6321</v>
      </c>
      <c r="B114" s="2" t="s">
        <v>255</v>
      </c>
      <c r="C114" s="272"/>
      <c r="D114" s="333">
        <f t="shared" si="24"/>
        <v>0</v>
      </c>
      <c r="E114" s="272"/>
      <c r="F114" s="333">
        <f t="shared" si="24"/>
        <v>0</v>
      </c>
      <c r="G114" s="272"/>
      <c r="H114" s="333">
        <f t="shared" si="24"/>
        <v>0</v>
      </c>
      <c r="I114" s="272"/>
      <c r="J114" s="333">
        <f t="shared" si="24"/>
        <v>0</v>
      </c>
      <c r="K114" s="272"/>
      <c r="L114" s="333">
        <f t="shared" si="24"/>
        <v>0</v>
      </c>
      <c r="M114" s="272"/>
      <c r="N114" s="333">
        <f t="shared" si="24"/>
        <v>0</v>
      </c>
      <c r="O114" s="272"/>
      <c r="P114" s="333">
        <f t="shared" si="24"/>
        <v>0</v>
      </c>
      <c r="Q114" s="272"/>
      <c r="R114" s="333">
        <f t="shared" si="24"/>
        <v>0</v>
      </c>
      <c r="S114" s="272"/>
      <c r="T114" s="333">
        <f t="shared" si="25"/>
        <v>0</v>
      </c>
      <c r="U114" s="272"/>
      <c r="V114" s="333">
        <f t="shared" si="25"/>
        <v>0</v>
      </c>
      <c r="W114" s="272"/>
      <c r="X114" s="333">
        <f t="shared" si="25"/>
        <v>0</v>
      </c>
      <c r="Y114" s="272"/>
      <c r="Z114" s="28">
        <f t="shared" si="26"/>
        <v>0</v>
      </c>
      <c r="AA114" s="319">
        <f t="shared" si="27"/>
        <v>0</v>
      </c>
      <c r="AB114" s="316">
        <f t="shared" si="30"/>
        <v>0</v>
      </c>
      <c r="AC114" s="317">
        <f t="shared" si="20"/>
        <v>0</v>
      </c>
      <c r="AD114" s="316">
        <f t="shared" si="31"/>
        <v>0</v>
      </c>
      <c r="AE114" s="44"/>
      <c r="AF114" s="21"/>
    </row>
    <row r="115" spans="1:32" s="1" customFormat="1" ht="15.75" thickBot="1">
      <c r="A115" s="4">
        <v>6399</v>
      </c>
      <c r="B115" s="217" t="s">
        <v>103</v>
      </c>
      <c r="C115" s="320">
        <f>SUM(C94:C114)</f>
        <v>72737.519846334006</v>
      </c>
      <c r="D115" s="321">
        <f>C115/C12</f>
        <v>3.3671635891779059E-2</v>
      </c>
      <c r="E115" s="320">
        <f>SUM(E94:E114)</f>
        <v>143899.96504479734</v>
      </c>
      <c r="F115" s="321">
        <f>E115/E12</f>
        <v>8.562212500976997E-2</v>
      </c>
      <c r="G115" s="320">
        <f>SUM(G94:G114)</f>
        <v>125408.49077034992</v>
      </c>
      <c r="H115" s="321">
        <f>G115/G12</f>
        <v>4.4984623956240852E-2</v>
      </c>
      <c r="I115" s="320">
        <f>SUM(I94:I114)</f>
        <v>141654.4206895394</v>
      </c>
      <c r="J115" s="321">
        <f>I115/I12</f>
        <v>5.7545239507712037E-2</v>
      </c>
      <c r="K115" s="320">
        <f>SUM(K94:K114)</f>
        <v>196209.60141116701</v>
      </c>
      <c r="L115" s="321">
        <f>K115/K12</f>
        <v>8.7150009690650468E-2</v>
      </c>
      <c r="M115" s="320">
        <f>SUM(M94:M114)</f>
        <v>66642.027909385259</v>
      </c>
      <c r="N115" s="321">
        <f>M115/M12</f>
        <v>2.0874851656268095E-2</v>
      </c>
      <c r="O115" s="320">
        <f>SUM(O94:O114)</f>
        <v>118390.68690332382</v>
      </c>
      <c r="P115" s="321">
        <f>O115/O12</f>
        <v>5.8575122214561369E-2</v>
      </c>
      <c r="Q115" s="320">
        <f>SUM(Q94:Q114)</f>
        <v>150331.03330136766</v>
      </c>
      <c r="R115" s="321">
        <f>Q115/Q12</f>
        <v>5.9898227438995741E-2</v>
      </c>
      <c r="S115" s="320">
        <f>SUM(S94:S114)</f>
        <v>127750.66141402916</v>
      </c>
      <c r="T115" s="321">
        <f>S115/S12</f>
        <v>5.0528391481515195E-2</v>
      </c>
      <c r="U115" s="320">
        <f>SUM(U94:U114)</f>
        <v>132533.50566470064</v>
      </c>
      <c r="V115" s="321">
        <f>U115/U12</f>
        <v>6.6086343150793397E-2</v>
      </c>
      <c r="W115" s="320">
        <f>SUM(W94:W114)</f>
        <v>151435.10889500065</v>
      </c>
      <c r="X115" s="321">
        <f>W115/W12</f>
        <v>7.42169579322247E-2</v>
      </c>
      <c r="Y115" s="320">
        <f>SUM(Y94:Y114)</f>
        <v>122346.03217781545</v>
      </c>
      <c r="Z115" s="321">
        <f>Y115/Y12</f>
        <v>3.969161162475969E-2</v>
      </c>
      <c r="AA115" s="320">
        <f>SUM(AA94:AA114)</f>
        <v>1549339.0540278102</v>
      </c>
      <c r="AB115" s="321">
        <f>AA115/AA12</f>
        <v>5.3943184888477075E-2</v>
      </c>
      <c r="AC115" s="322">
        <f t="shared" si="20"/>
        <v>129111.58783565085</v>
      </c>
      <c r="AD115" s="321">
        <f>AC115/AC12</f>
        <v>5.3943184888477068E-2</v>
      </c>
      <c r="AE115" s="44">
        <f t="shared" si="21"/>
        <v>1549339.0540278105</v>
      </c>
      <c r="AF115" s="21">
        <f t="shared" si="22"/>
        <v>0</v>
      </c>
    </row>
    <row r="116" spans="1:32" s="1" customFormat="1" ht="15.75" thickTop="1">
      <c r="A116" s="15">
        <v>6401</v>
      </c>
      <c r="B116" s="219" t="s">
        <v>89</v>
      </c>
      <c r="C116" s="183"/>
      <c r="D116" s="191">
        <f>C116/C12</f>
        <v>0</v>
      </c>
      <c r="E116" s="183"/>
      <c r="F116" s="191">
        <f>E116/E12</f>
        <v>0</v>
      </c>
      <c r="G116" s="183"/>
      <c r="H116" s="191">
        <f>G116/G12</f>
        <v>0</v>
      </c>
      <c r="I116" s="183"/>
      <c r="J116" s="191">
        <f>I116/I12</f>
        <v>0</v>
      </c>
      <c r="K116" s="183"/>
      <c r="L116" s="191">
        <f>K116/K12</f>
        <v>0</v>
      </c>
      <c r="M116" s="183"/>
      <c r="N116" s="191">
        <f>M116/M12</f>
        <v>0</v>
      </c>
      <c r="O116" s="183"/>
      <c r="P116" s="191">
        <f>O116/O12</f>
        <v>0</v>
      </c>
      <c r="Q116" s="183"/>
      <c r="R116" s="191">
        <f>Q116/Q12</f>
        <v>0</v>
      </c>
      <c r="S116" s="183"/>
      <c r="T116" s="191">
        <f>S116/S12</f>
        <v>0</v>
      </c>
      <c r="U116" s="183"/>
      <c r="V116" s="191">
        <f>U116/U12</f>
        <v>0</v>
      </c>
      <c r="W116" s="183"/>
      <c r="X116" s="191">
        <f>W116/W12</f>
        <v>0</v>
      </c>
      <c r="Y116" s="183"/>
      <c r="Z116" s="191">
        <f>Y116/Y12</f>
        <v>0</v>
      </c>
      <c r="AA116" s="59">
        <f t="shared" ref="AA116:AA128" si="32">C116+E116+G116+I116+K116+M116+O116+Q116+S116+U116+W116+Y116</f>
        <v>0</v>
      </c>
      <c r="AB116" s="191">
        <f>AA116/AA12</f>
        <v>0</v>
      </c>
      <c r="AC116" s="160">
        <f t="shared" si="20"/>
        <v>0</v>
      </c>
      <c r="AD116" s="191">
        <f>AC116/AC12</f>
        <v>0</v>
      </c>
      <c r="AE116" s="44">
        <f t="shared" si="21"/>
        <v>0</v>
      </c>
      <c r="AF116" s="21">
        <f t="shared" si="22"/>
        <v>0</v>
      </c>
    </row>
    <row r="117" spans="1:32" s="1" customFormat="1">
      <c r="A117" s="82">
        <v>6402</v>
      </c>
      <c r="B117" s="2" t="s">
        <v>75</v>
      </c>
      <c r="C117" s="19">
        <v>250</v>
      </c>
      <c r="D117" s="28">
        <f t="shared" ref="D117" si="33">C117/C$145</f>
        <v>3.4678858297365503E-4</v>
      </c>
      <c r="E117" s="19">
        <v>250</v>
      </c>
      <c r="F117" s="28">
        <f t="shared" ref="F117" si="34">E117/E$145</f>
        <v>3.1803854822076152E-4</v>
      </c>
      <c r="G117" s="19">
        <v>250</v>
      </c>
      <c r="H117" s="28">
        <f t="shared" ref="H117" si="35">G117/G$145</f>
        <v>3.1993186554438245E-4</v>
      </c>
      <c r="I117" s="19">
        <v>250</v>
      </c>
      <c r="J117" s="28">
        <f t="shared" ref="J117" si="36">I117/I$145</f>
        <v>3.150261471878577E-4</v>
      </c>
      <c r="K117" s="19">
        <v>250</v>
      </c>
      <c r="L117" s="28">
        <f t="shared" ref="L117" si="37">K117/K$145</f>
        <v>2.9567869805716991E-4</v>
      </c>
      <c r="M117" s="19">
        <v>250</v>
      </c>
      <c r="N117" s="28">
        <f t="shared" ref="N117" si="38">M117/M$145</f>
        <v>3.4319070529183774E-4</v>
      </c>
      <c r="O117" s="19">
        <v>250</v>
      </c>
      <c r="P117" s="28">
        <f t="shared" ref="P117" si="39">O117/O$145</f>
        <v>3.268761613333271E-4</v>
      </c>
      <c r="Q117" s="19">
        <v>250</v>
      </c>
      <c r="R117" s="28">
        <f t="shared" ref="R117" si="40">Q117/Q$145</f>
        <v>3.1138545339729211E-4</v>
      </c>
      <c r="S117" s="19">
        <v>250</v>
      </c>
      <c r="T117" s="28">
        <f t="shared" ref="T117" si="41">S117/S$145</f>
        <v>3.2030149789608628E-4</v>
      </c>
      <c r="U117" s="19">
        <v>250</v>
      </c>
      <c r="V117" s="28">
        <f t="shared" ref="V117" si="42">U117/U$145</f>
        <v>3.2102233111773308E-4</v>
      </c>
      <c r="W117" s="19">
        <v>250</v>
      </c>
      <c r="X117" s="28">
        <f t="shared" ref="X117" si="43">W117/W$145</f>
        <v>3.1324361890250324E-4</v>
      </c>
      <c r="Y117" s="19">
        <v>250</v>
      </c>
      <c r="Z117" s="28">
        <f t="shared" ref="Z117" si="44">Y117/Y$145</f>
        <v>3.1937103083400206E-4</v>
      </c>
      <c r="AA117" s="59">
        <f t="shared" si="32"/>
        <v>3000</v>
      </c>
      <c r="AB117" s="28">
        <f>AA117/AA12</f>
        <v>1.0445070383059383E-4</v>
      </c>
      <c r="AC117" s="160">
        <f t="shared" si="20"/>
        <v>250</v>
      </c>
      <c r="AD117" s="28">
        <f>AC117/AC12</f>
        <v>1.0445070383059383E-4</v>
      </c>
      <c r="AE117" s="44">
        <f t="shared" si="21"/>
        <v>3000</v>
      </c>
      <c r="AF117" s="21">
        <f t="shared" si="22"/>
        <v>0</v>
      </c>
    </row>
    <row r="118" spans="1:32" s="1" customFormat="1">
      <c r="A118" s="82">
        <v>6403</v>
      </c>
      <c r="B118" s="2" t="s">
        <v>260</v>
      </c>
      <c r="C118" s="19">
        <v>0</v>
      </c>
      <c r="D118" s="28">
        <f>C118/C12</f>
        <v>0</v>
      </c>
      <c r="E118" s="19">
        <v>0</v>
      </c>
      <c r="F118" s="28">
        <f>E118/E12</f>
        <v>0</v>
      </c>
      <c r="G118" s="19">
        <v>0</v>
      </c>
      <c r="H118" s="28">
        <f>G118/G12</f>
        <v>0</v>
      </c>
      <c r="I118" s="19">
        <v>0</v>
      </c>
      <c r="J118" s="28">
        <f>I118/I12</f>
        <v>0</v>
      </c>
      <c r="K118" s="19">
        <v>0</v>
      </c>
      <c r="L118" s="28">
        <f>K118/K12</f>
        <v>0</v>
      </c>
      <c r="M118" s="19">
        <v>0</v>
      </c>
      <c r="N118" s="28">
        <f>M118/M12</f>
        <v>0</v>
      </c>
      <c r="O118" s="19">
        <v>0</v>
      </c>
      <c r="P118" s="28">
        <f>O118/O12</f>
        <v>0</v>
      </c>
      <c r="Q118" s="19">
        <v>0</v>
      </c>
      <c r="R118" s="28">
        <f>Q118/Q12</f>
        <v>0</v>
      </c>
      <c r="S118" s="19">
        <v>0</v>
      </c>
      <c r="T118" s="28">
        <f>S118/S12</f>
        <v>0</v>
      </c>
      <c r="U118" s="19">
        <v>0</v>
      </c>
      <c r="V118" s="28">
        <f>U118/U12</f>
        <v>0</v>
      </c>
      <c r="W118" s="19">
        <v>0</v>
      </c>
      <c r="X118" s="28">
        <f>W118/W12</f>
        <v>0</v>
      </c>
      <c r="Y118" s="19">
        <v>0</v>
      </c>
      <c r="Z118" s="28">
        <f>Y118/Y12</f>
        <v>0</v>
      </c>
      <c r="AA118" s="59">
        <f t="shared" si="32"/>
        <v>0</v>
      </c>
      <c r="AB118" s="28">
        <f>AA118/AA13</f>
        <v>0</v>
      </c>
      <c r="AC118" s="160">
        <f t="shared" si="20"/>
        <v>0</v>
      </c>
      <c r="AD118" s="28">
        <f>AC118/AC13</f>
        <v>0</v>
      </c>
      <c r="AE118" s="44"/>
      <c r="AF118" s="21"/>
    </row>
    <row r="119" spans="1:32" s="1" customFormat="1">
      <c r="A119" s="2">
        <v>6404</v>
      </c>
      <c r="B119" s="2" t="s">
        <v>92</v>
      </c>
      <c r="C119" s="19">
        <v>0</v>
      </c>
      <c r="D119" s="28">
        <f>C119/C12</f>
        <v>0</v>
      </c>
      <c r="E119" s="19">
        <v>0</v>
      </c>
      <c r="F119" s="28">
        <f>E119/E12</f>
        <v>0</v>
      </c>
      <c r="G119" s="19">
        <v>0</v>
      </c>
      <c r="H119" s="28">
        <f>G119/G12</f>
        <v>0</v>
      </c>
      <c r="I119" s="19">
        <v>0</v>
      </c>
      <c r="J119" s="28">
        <f>I119/I12</f>
        <v>0</v>
      </c>
      <c r="K119" s="19">
        <v>0</v>
      </c>
      <c r="L119" s="28">
        <f>K119/K12</f>
        <v>0</v>
      </c>
      <c r="M119" s="19">
        <v>0</v>
      </c>
      <c r="N119" s="28">
        <f>M119/M12</f>
        <v>0</v>
      </c>
      <c r="O119" s="19">
        <v>0</v>
      </c>
      <c r="P119" s="28">
        <f>O119/O12</f>
        <v>0</v>
      </c>
      <c r="Q119" s="19">
        <v>0</v>
      </c>
      <c r="R119" s="28">
        <f>Q119/Q12</f>
        <v>0</v>
      </c>
      <c r="S119" s="19">
        <v>0</v>
      </c>
      <c r="T119" s="28">
        <f>S119/S12</f>
        <v>0</v>
      </c>
      <c r="U119" s="19">
        <v>0</v>
      </c>
      <c r="V119" s="28">
        <f>U119/U12</f>
        <v>0</v>
      </c>
      <c r="W119" s="19">
        <v>0</v>
      </c>
      <c r="X119" s="28">
        <f>W119/W12</f>
        <v>0</v>
      </c>
      <c r="Y119" s="19">
        <v>0</v>
      </c>
      <c r="Z119" s="28">
        <f>Y119/Y12</f>
        <v>0</v>
      </c>
      <c r="AA119" s="59">
        <f t="shared" si="32"/>
        <v>0</v>
      </c>
      <c r="AB119" s="28">
        <f>AA119/AA12</f>
        <v>0</v>
      </c>
      <c r="AC119" s="160">
        <f t="shared" si="20"/>
        <v>0</v>
      </c>
      <c r="AD119" s="28">
        <f>AC119/AC12</f>
        <v>0</v>
      </c>
      <c r="AE119" s="44">
        <f t="shared" si="21"/>
        <v>0</v>
      </c>
      <c r="AF119" s="21">
        <f t="shared" si="22"/>
        <v>0</v>
      </c>
    </row>
    <row r="120" spans="1:32" s="1" customFormat="1">
      <c r="A120" s="82">
        <v>6406</v>
      </c>
      <c r="B120" s="2" t="s">
        <v>72</v>
      </c>
      <c r="C120" s="16">
        <v>750</v>
      </c>
      <c r="D120" s="28">
        <f>C120/C12</f>
        <v>3.4718982682095244E-4</v>
      </c>
      <c r="E120" s="16">
        <v>750</v>
      </c>
      <c r="F120" s="28">
        <f>E120/E12</f>
        <v>4.4625857787620923E-4</v>
      </c>
      <c r="G120" s="16">
        <v>750</v>
      </c>
      <c r="H120" s="28">
        <f>G120/G12</f>
        <v>2.6902857820817788E-4</v>
      </c>
      <c r="I120" s="16">
        <v>750</v>
      </c>
      <c r="J120" s="28">
        <f>I120/I12</f>
        <v>3.0467760498187644E-4</v>
      </c>
      <c r="K120" s="16">
        <v>750</v>
      </c>
      <c r="L120" s="28">
        <f>K120/K12</f>
        <v>3.3312593674260344E-4</v>
      </c>
      <c r="M120" s="16">
        <v>750</v>
      </c>
      <c r="N120" s="28">
        <f>M120/M12</f>
        <v>2.3492890647759239E-4</v>
      </c>
      <c r="O120" s="16">
        <v>750</v>
      </c>
      <c r="P120" s="28">
        <f>O120/O12</f>
        <v>3.7107092466483237E-4</v>
      </c>
      <c r="Q120" s="16">
        <v>750</v>
      </c>
      <c r="R120" s="28">
        <f>Q120/Q12</f>
        <v>2.9883164901280639E-4</v>
      </c>
      <c r="S120" s="16">
        <v>750</v>
      </c>
      <c r="T120" s="28">
        <f>S120/S12</f>
        <v>2.9664264115484841E-4</v>
      </c>
      <c r="U120" s="16">
        <v>750</v>
      </c>
      <c r="V120" s="28">
        <f>U120/U12</f>
        <v>3.7397907128850871E-4</v>
      </c>
      <c r="W120" s="16">
        <v>750</v>
      </c>
      <c r="X120" s="28">
        <f>W120/W12</f>
        <v>3.6756812112680512E-4</v>
      </c>
      <c r="Y120" s="16">
        <v>750</v>
      </c>
      <c r="Z120" s="28">
        <f>Y120/Y12</f>
        <v>2.4331568575353945E-4</v>
      </c>
      <c r="AA120" s="59">
        <f t="shared" si="32"/>
        <v>9000</v>
      </c>
      <c r="AB120" s="28">
        <f>AA120/AA12</f>
        <v>3.133521114917815E-4</v>
      </c>
      <c r="AC120" s="160">
        <f t="shared" si="20"/>
        <v>750</v>
      </c>
      <c r="AD120" s="28">
        <f>AC120/AC12</f>
        <v>3.1335211149178144E-4</v>
      </c>
      <c r="AE120" s="44">
        <f t="shared" si="21"/>
        <v>9000</v>
      </c>
      <c r="AF120" s="21">
        <f t="shared" si="22"/>
        <v>0</v>
      </c>
    </row>
    <row r="121" spans="1:32" s="1" customFormat="1">
      <c r="A121" s="2">
        <v>6407</v>
      </c>
      <c r="B121" s="216" t="s">
        <v>73</v>
      </c>
      <c r="C121" s="158">
        <v>0</v>
      </c>
      <c r="D121" s="28">
        <f>C121/C12</f>
        <v>0</v>
      </c>
      <c r="E121" s="158">
        <v>0</v>
      </c>
      <c r="F121" s="28">
        <f>E121/E12</f>
        <v>0</v>
      </c>
      <c r="G121" s="158">
        <v>0</v>
      </c>
      <c r="H121" s="28">
        <f>G121/G12</f>
        <v>0</v>
      </c>
      <c r="I121" s="158">
        <v>0</v>
      </c>
      <c r="J121" s="28">
        <f>I121/I12</f>
        <v>0</v>
      </c>
      <c r="K121" s="158">
        <v>0</v>
      </c>
      <c r="L121" s="28">
        <f>K121/K12</f>
        <v>0</v>
      </c>
      <c r="M121" s="158">
        <v>0</v>
      </c>
      <c r="N121" s="28">
        <f>M121/M12</f>
        <v>0</v>
      </c>
      <c r="O121" s="158">
        <v>0</v>
      </c>
      <c r="P121" s="28">
        <f>O121/O12</f>
        <v>0</v>
      </c>
      <c r="Q121" s="158">
        <v>0</v>
      </c>
      <c r="R121" s="28">
        <f>Q121/Q12</f>
        <v>0</v>
      </c>
      <c r="S121" s="158">
        <v>0</v>
      </c>
      <c r="T121" s="28">
        <f>S121/S12</f>
        <v>0</v>
      </c>
      <c r="U121" s="158">
        <v>0</v>
      </c>
      <c r="V121" s="28">
        <f>U121/U12</f>
        <v>0</v>
      </c>
      <c r="W121" s="158">
        <v>0</v>
      </c>
      <c r="X121" s="28">
        <v>0.02</v>
      </c>
      <c r="Y121" s="158">
        <v>0</v>
      </c>
      <c r="Z121" s="28">
        <f>Y121/Y12</f>
        <v>0</v>
      </c>
      <c r="AA121" s="59">
        <f t="shared" si="32"/>
        <v>0</v>
      </c>
      <c r="AB121" s="28">
        <f>AA121/AA12</f>
        <v>0</v>
      </c>
      <c r="AC121" s="160">
        <f t="shared" si="20"/>
        <v>0</v>
      </c>
      <c r="AD121" s="28">
        <f>AC121/AC12</f>
        <v>0</v>
      </c>
      <c r="AE121" s="44">
        <f t="shared" si="21"/>
        <v>0</v>
      </c>
      <c r="AF121" s="21">
        <f t="shared" si="22"/>
        <v>0</v>
      </c>
    </row>
    <row r="122" spans="1:32" s="1" customFormat="1">
      <c r="A122" s="2">
        <v>6408</v>
      </c>
      <c r="B122" s="216" t="s">
        <v>42</v>
      </c>
      <c r="C122" s="158">
        <v>0</v>
      </c>
      <c r="D122" s="28">
        <f>C122/C12</f>
        <v>0</v>
      </c>
      <c r="E122" s="158">
        <v>0</v>
      </c>
      <c r="F122" s="28">
        <f>E122/E12</f>
        <v>0</v>
      </c>
      <c r="G122" s="158">
        <v>0</v>
      </c>
      <c r="H122" s="28">
        <f>G122/G12</f>
        <v>0</v>
      </c>
      <c r="I122" s="158">
        <v>0</v>
      </c>
      <c r="J122" s="28">
        <f>I122/I12</f>
        <v>0</v>
      </c>
      <c r="K122" s="158">
        <v>0</v>
      </c>
      <c r="L122" s="28">
        <f>K122/K12</f>
        <v>0</v>
      </c>
      <c r="M122" s="158">
        <v>0</v>
      </c>
      <c r="N122" s="28">
        <f>M122/M12</f>
        <v>0</v>
      </c>
      <c r="O122" s="158">
        <v>0</v>
      </c>
      <c r="P122" s="28">
        <f>O122/O12</f>
        <v>0</v>
      </c>
      <c r="Q122" s="158">
        <v>0</v>
      </c>
      <c r="R122" s="28">
        <f>Q122/Q12</f>
        <v>0</v>
      </c>
      <c r="S122" s="158">
        <v>0</v>
      </c>
      <c r="T122" s="28">
        <f>S122/S12</f>
        <v>0</v>
      </c>
      <c r="U122" s="158">
        <v>0</v>
      </c>
      <c r="V122" s="28">
        <f>U122/U12</f>
        <v>0</v>
      </c>
      <c r="W122" s="158">
        <v>0</v>
      </c>
      <c r="X122" s="28">
        <f>W122/W12</f>
        <v>0</v>
      </c>
      <c r="Y122" s="158">
        <v>0</v>
      </c>
      <c r="Z122" s="28">
        <f>Y122/Y12</f>
        <v>0</v>
      </c>
      <c r="AA122" s="59">
        <f t="shared" si="32"/>
        <v>0</v>
      </c>
      <c r="AB122" s="28">
        <f>AA122/AA12</f>
        <v>0</v>
      </c>
      <c r="AC122" s="160">
        <f t="shared" si="20"/>
        <v>0</v>
      </c>
      <c r="AD122" s="28">
        <f>AC122/AC12</f>
        <v>0</v>
      </c>
      <c r="AE122" s="44">
        <f t="shared" si="21"/>
        <v>0</v>
      </c>
      <c r="AF122" s="21">
        <f t="shared" si="22"/>
        <v>0</v>
      </c>
    </row>
    <row r="123" spans="1:32" s="1" customFormat="1">
      <c r="A123" s="2">
        <v>6410</v>
      </c>
      <c r="B123" s="216" t="s">
        <v>164</v>
      </c>
      <c r="C123" s="158"/>
      <c r="D123" s="191"/>
      <c r="E123" s="158"/>
      <c r="F123" s="191"/>
      <c r="G123" s="158"/>
      <c r="H123" s="191"/>
      <c r="I123" s="158"/>
      <c r="J123" s="191"/>
      <c r="K123" s="158"/>
      <c r="L123" s="191"/>
      <c r="M123" s="158"/>
      <c r="N123" s="191"/>
      <c r="O123" s="158"/>
      <c r="P123" s="191"/>
      <c r="Q123" s="158"/>
      <c r="R123" s="191"/>
      <c r="S123" s="158"/>
      <c r="T123" s="191"/>
      <c r="U123" s="158"/>
      <c r="V123" s="191"/>
      <c r="W123" s="158"/>
      <c r="X123" s="191"/>
      <c r="Y123" s="158"/>
      <c r="Z123" s="191"/>
      <c r="AA123" s="59">
        <f t="shared" si="32"/>
        <v>0</v>
      </c>
      <c r="AB123" s="191"/>
      <c r="AC123" s="160">
        <f t="shared" si="20"/>
        <v>0</v>
      </c>
      <c r="AD123" s="191"/>
      <c r="AE123" s="44">
        <f t="shared" si="21"/>
        <v>0</v>
      </c>
      <c r="AF123" s="21">
        <f t="shared" si="22"/>
        <v>0</v>
      </c>
    </row>
    <row r="124" spans="1:32" s="1" customFormat="1">
      <c r="A124" s="2">
        <v>6411</v>
      </c>
      <c r="B124" s="216" t="s">
        <v>165</v>
      </c>
      <c r="C124" s="158"/>
      <c r="D124" s="191"/>
      <c r="E124" s="158"/>
      <c r="F124" s="191"/>
      <c r="G124" s="158"/>
      <c r="H124" s="191"/>
      <c r="I124" s="158"/>
      <c r="J124" s="191"/>
      <c r="K124" s="158"/>
      <c r="L124" s="191"/>
      <c r="M124" s="158"/>
      <c r="N124" s="191"/>
      <c r="O124" s="158"/>
      <c r="P124" s="191"/>
      <c r="Q124" s="158"/>
      <c r="R124" s="191"/>
      <c r="S124" s="158"/>
      <c r="T124" s="191"/>
      <c r="U124" s="158"/>
      <c r="V124" s="191"/>
      <c r="W124" s="158"/>
      <c r="X124" s="191"/>
      <c r="Y124" s="158"/>
      <c r="Z124" s="191"/>
      <c r="AA124" s="59">
        <f t="shared" si="32"/>
        <v>0</v>
      </c>
      <c r="AB124" s="191"/>
      <c r="AC124" s="160">
        <f t="shared" si="20"/>
        <v>0</v>
      </c>
      <c r="AD124" s="191"/>
      <c r="AE124" s="44">
        <f t="shared" si="21"/>
        <v>0</v>
      </c>
      <c r="AF124" s="21">
        <f t="shared" si="22"/>
        <v>0</v>
      </c>
    </row>
    <row r="125" spans="1:32" s="1" customFormat="1">
      <c r="A125" s="2">
        <v>6412</v>
      </c>
      <c r="B125" s="216" t="s">
        <v>93</v>
      </c>
      <c r="C125" s="158"/>
      <c r="D125" s="191">
        <f>C125/C12</f>
        <v>0</v>
      </c>
      <c r="E125" s="158"/>
      <c r="F125" s="191">
        <f>E125/E12</f>
        <v>0</v>
      </c>
      <c r="G125" s="158"/>
      <c r="H125" s="191">
        <f>G125/G12</f>
        <v>0</v>
      </c>
      <c r="I125" s="158"/>
      <c r="J125" s="191">
        <f>I125/I12</f>
        <v>0</v>
      </c>
      <c r="K125" s="158"/>
      <c r="L125" s="191">
        <f>K125/K12</f>
        <v>0</v>
      </c>
      <c r="M125" s="158"/>
      <c r="N125" s="191">
        <f>M125/M12</f>
        <v>0</v>
      </c>
      <c r="O125" s="158"/>
      <c r="P125" s="191">
        <f>O125/O12</f>
        <v>0</v>
      </c>
      <c r="Q125" s="158"/>
      <c r="R125" s="191">
        <f>Q125/Q12</f>
        <v>0</v>
      </c>
      <c r="S125" s="158"/>
      <c r="T125" s="191">
        <f>S125/S12</f>
        <v>0</v>
      </c>
      <c r="U125" s="158"/>
      <c r="V125" s="191">
        <f>U125/U12</f>
        <v>0</v>
      </c>
      <c r="W125" s="158"/>
      <c r="X125" s="191">
        <f>W125/W12</f>
        <v>0</v>
      </c>
      <c r="Y125" s="158"/>
      <c r="Z125" s="191">
        <f>Y125/Y12</f>
        <v>0</v>
      </c>
      <c r="AA125" s="59">
        <f t="shared" si="32"/>
        <v>0</v>
      </c>
      <c r="AB125" s="191">
        <f>AA125/AA12</f>
        <v>0</v>
      </c>
      <c r="AC125" s="160">
        <f t="shared" si="20"/>
        <v>0</v>
      </c>
      <c r="AD125" s="191">
        <f>AC125/AC12</f>
        <v>0</v>
      </c>
      <c r="AE125" s="44">
        <f t="shared" si="21"/>
        <v>0</v>
      </c>
      <c r="AF125" s="21">
        <f t="shared" si="22"/>
        <v>0</v>
      </c>
    </row>
    <row r="126" spans="1:32" s="1" customFormat="1">
      <c r="A126" s="2">
        <v>6413</v>
      </c>
      <c r="B126" s="2" t="s">
        <v>41</v>
      </c>
      <c r="C126" s="16">
        <f>C16*1%</f>
        <v>21602.015441160343</v>
      </c>
      <c r="D126" s="28">
        <f>C126/C12</f>
        <v>0.01</v>
      </c>
      <c r="E126" s="16">
        <f>E16*1%</f>
        <v>16806.399634250789</v>
      </c>
      <c r="F126" s="28">
        <f>E126/E12</f>
        <v>0.01</v>
      </c>
      <c r="G126" s="16">
        <f>G16*1%</f>
        <v>27878.07916152462</v>
      </c>
      <c r="H126" s="28">
        <f>G126/G12</f>
        <v>0.01</v>
      </c>
      <c r="I126" s="16">
        <f>I16*1%</f>
        <v>24616.184249517304</v>
      </c>
      <c r="J126" s="28">
        <f>I126/I12</f>
        <v>1.0000000081247361E-2</v>
      </c>
      <c r="K126" s="16">
        <f>K16*1%</f>
        <v>22514.007985499575</v>
      </c>
      <c r="L126" s="28">
        <f>K126/K12</f>
        <v>0.01</v>
      </c>
      <c r="M126" s="16">
        <f>M16*1%</f>
        <v>31924.551512022903</v>
      </c>
      <c r="N126" s="28">
        <f>M126/M12</f>
        <v>9.999999968676147E-3</v>
      </c>
      <c r="O126" s="16">
        <f>O16*1%</f>
        <v>20211.769506798009</v>
      </c>
      <c r="P126" s="28">
        <f>O126/O12</f>
        <v>0.01</v>
      </c>
      <c r="Q126" s="16">
        <f>Q16*1%</f>
        <v>25097.743243650169</v>
      </c>
      <c r="R126" s="28">
        <f>Q126/Q12</f>
        <v>0.01</v>
      </c>
      <c r="S126" s="16">
        <f>S16*1%</f>
        <v>25282.946412565736</v>
      </c>
      <c r="T126" s="28">
        <f>S126/S12</f>
        <v>0.01</v>
      </c>
      <c r="U126" s="16">
        <f>U16*1%</f>
        <v>20054.5981735274</v>
      </c>
      <c r="V126" s="28">
        <f>U126/U12</f>
        <v>0.01</v>
      </c>
      <c r="W126" s="16">
        <f>W16*1%</f>
        <v>20404.381035570332</v>
      </c>
      <c r="X126" s="28">
        <f>W126/W12</f>
        <v>0.01</v>
      </c>
      <c r="Y126" s="16">
        <f>Y16*1%</f>
        <v>30824.153308377077</v>
      </c>
      <c r="Z126" s="28">
        <f>Y126/Y12</f>
        <v>0.01</v>
      </c>
      <c r="AA126" s="59">
        <f t="shared" si="32"/>
        <v>287216.82966446423</v>
      </c>
      <c r="AB126" s="28">
        <f>AA126/AA12</f>
        <v>1.0000000003481689E-2</v>
      </c>
      <c r="AC126" s="160">
        <f t="shared" si="20"/>
        <v>23934.73580537202</v>
      </c>
      <c r="AD126" s="28">
        <f>AC126/AC12</f>
        <v>1.0000000003481689E-2</v>
      </c>
      <c r="AE126" s="44">
        <f t="shared" si="21"/>
        <v>287216.82966446423</v>
      </c>
      <c r="AF126" s="21">
        <f t="shared" si="22"/>
        <v>0</v>
      </c>
    </row>
    <row r="127" spans="1:32" s="1" customFormat="1">
      <c r="A127" s="2">
        <v>6414</v>
      </c>
      <c r="B127" s="2" t="s">
        <v>43</v>
      </c>
      <c r="C127" s="16">
        <v>250</v>
      </c>
      <c r="D127" s="28">
        <f>C127/C12</f>
        <v>1.1572994227365082E-4</v>
      </c>
      <c r="E127" s="16">
        <v>250</v>
      </c>
      <c r="F127" s="28">
        <f>E127/E12</f>
        <v>1.4875285929206975E-4</v>
      </c>
      <c r="G127" s="16">
        <v>250</v>
      </c>
      <c r="H127" s="28">
        <f>G127/G12</f>
        <v>8.967619273605929E-5</v>
      </c>
      <c r="I127" s="16">
        <v>250</v>
      </c>
      <c r="J127" s="28">
        <f>I127/I12</f>
        <v>1.0155920166062548E-4</v>
      </c>
      <c r="K127" s="16">
        <v>250</v>
      </c>
      <c r="L127" s="28">
        <f>K127/K12</f>
        <v>1.1104197891420115E-4</v>
      </c>
      <c r="M127" s="16">
        <v>250</v>
      </c>
      <c r="N127" s="28">
        <f>M127/M12</f>
        <v>7.8309635492530803E-5</v>
      </c>
      <c r="O127" s="16">
        <v>250</v>
      </c>
      <c r="P127" s="28">
        <f>O127/O12</f>
        <v>1.2369030822161078E-4</v>
      </c>
      <c r="Q127" s="16">
        <v>250</v>
      </c>
      <c r="R127" s="28">
        <f>Q127/Q12</f>
        <v>9.9610549670935453E-5</v>
      </c>
      <c r="S127" s="16">
        <v>250</v>
      </c>
      <c r="T127" s="28">
        <f>S127/S12</f>
        <v>9.8880880384949474E-5</v>
      </c>
      <c r="U127" s="16">
        <v>250</v>
      </c>
      <c r="V127" s="28">
        <f>U127/U12</f>
        <v>1.246596904295029E-4</v>
      </c>
      <c r="W127" s="16">
        <v>250</v>
      </c>
      <c r="X127" s="28">
        <f>W127/W12</f>
        <v>1.2252270704226836E-4</v>
      </c>
      <c r="Y127" s="16">
        <v>250</v>
      </c>
      <c r="Z127" s="28">
        <f>Y127/Y12</f>
        <v>8.1105228584513151E-5</v>
      </c>
      <c r="AA127" s="59">
        <f t="shared" si="32"/>
        <v>3000</v>
      </c>
      <c r="AB127" s="28">
        <f>AA127/AA12</f>
        <v>1.0445070383059383E-4</v>
      </c>
      <c r="AC127" s="160">
        <f t="shared" si="20"/>
        <v>250</v>
      </c>
      <c r="AD127" s="28">
        <f>AC127/AC12</f>
        <v>1.0445070383059383E-4</v>
      </c>
      <c r="AE127" s="44">
        <f t="shared" si="21"/>
        <v>3000</v>
      </c>
      <c r="AF127" s="21">
        <f t="shared" si="22"/>
        <v>0</v>
      </c>
    </row>
    <row r="128" spans="1:32" s="1" customFormat="1">
      <c r="A128" s="2">
        <v>6415</v>
      </c>
      <c r="B128" s="216" t="s">
        <v>44</v>
      </c>
      <c r="C128" s="16"/>
      <c r="D128" s="28">
        <f>C128/C12</f>
        <v>0</v>
      </c>
      <c r="E128" s="16">
        <v>0</v>
      </c>
      <c r="F128" s="28">
        <f>E128/E12</f>
        <v>0</v>
      </c>
      <c r="G128" s="16">
        <v>0</v>
      </c>
      <c r="H128" s="28">
        <f>G128/G12</f>
        <v>0</v>
      </c>
      <c r="I128" s="16">
        <v>0</v>
      </c>
      <c r="J128" s="28">
        <f>I128/I12</f>
        <v>0</v>
      </c>
      <c r="K128" s="16">
        <v>0</v>
      </c>
      <c r="L128" s="28">
        <f>K128/K12</f>
        <v>0</v>
      </c>
      <c r="M128" s="16">
        <v>0</v>
      </c>
      <c r="N128" s="28">
        <f>M128/M12</f>
        <v>0</v>
      </c>
      <c r="O128" s="16">
        <v>0</v>
      </c>
      <c r="P128" s="28">
        <f>O128/O12</f>
        <v>0</v>
      </c>
      <c r="Q128" s="16">
        <v>0</v>
      </c>
      <c r="R128" s="28">
        <f>Q128/Q12</f>
        <v>0</v>
      </c>
      <c r="S128" s="16">
        <v>0</v>
      </c>
      <c r="T128" s="28">
        <f>S128/S12</f>
        <v>0</v>
      </c>
      <c r="U128" s="16"/>
      <c r="V128" s="28">
        <f>U128/U12</f>
        <v>0</v>
      </c>
      <c r="W128" s="16"/>
      <c r="X128" s="28">
        <f>W128/W12</f>
        <v>0</v>
      </c>
      <c r="Y128" s="16"/>
      <c r="Z128" s="28">
        <f>Y128/Y12</f>
        <v>0</v>
      </c>
      <c r="AA128" s="59">
        <f t="shared" si="32"/>
        <v>0</v>
      </c>
      <c r="AB128" s="28">
        <f>AA128/AA12</f>
        <v>0</v>
      </c>
      <c r="AC128" s="160">
        <f t="shared" si="20"/>
        <v>0</v>
      </c>
      <c r="AD128" s="28">
        <f>AC128/AC12</f>
        <v>0</v>
      </c>
      <c r="AE128" s="44">
        <f t="shared" si="21"/>
        <v>0</v>
      </c>
      <c r="AF128" s="21">
        <f t="shared" si="22"/>
        <v>0</v>
      </c>
    </row>
    <row r="129" spans="1:32" s="1" customFormat="1" ht="15.75" thickBot="1">
      <c r="A129" s="4">
        <v>6499</v>
      </c>
      <c r="B129" s="217" t="s">
        <v>104</v>
      </c>
      <c r="C129" s="168">
        <f>SUM(C116:C128)</f>
        <v>22852.015441160343</v>
      </c>
      <c r="D129" s="167">
        <f>C129/C12</f>
        <v>1.0578649711368255E-2</v>
      </c>
      <c r="E129" s="168">
        <f>SUM(E116:E128)</f>
        <v>18056.399634250789</v>
      </c>
      <c r="F129" s="167">
        <f>E129/E12</f>
        <v>1.0743764296460349E-2</v>
      </c>
      <c r="G129" s="168">
        <f>SUM(G116:G128)</f>
        <v>29128.07916152462</v>
      </c>
      <c r="H129" s="167">
        <f>G129/G12</f>
        <v>1.0448380963680297E-2</v>
      </c>
      <c r="I129" s="168">
        <f>SUM(I116:I128)</f>
        <v>25866.184249517304</v>
      </c>
      <c r="J129" s="167">
        <f>I129/I12</f>
        <v>1.050779608955049E-2</v>
      </c>
      <c r="K129" s="168">
        <f>SUM(K116:K128)</f>
        <v>23764.007985499575</v>
      </c>
      <c r="L129" s="167">
        <f>K129/K12</f>
        <v>1.0555209894571005E-2</v>
      </c>
      <c r="M129" s="168">
        <f>SUM(M116:M128)</f>
        <v>33174.551512022903</v>
      </c>
      <c r="N129" s="167">
        <f>M129/M12</f>
        <v>1.0391548146138801E-2</v>
      </c>
      <c r="O129" s="168">
        <f>SUM(O116:O128)</f>
        <v>21461.769506798009</v>
      </c>
      <c r="P129" s="167">
        <f>O129/O12</f>
        <v>1.0618451541108053E-2</v>
      </c>
      <c r="Q129" s="168">
        <f>SUM(Q116:Q128)</f>
        <v>26347.743243650169</v>
      </c>
      <c r="R129" s="167">
        <f>Q129/Q12</f>
        <v>1.0498052748354678E-2</v>
      </c>
      <c r="S129" s="168">
        <f>SUM(S116:S128)</f>
        <v>26532.946412565736</v>
      </c>
      <c r="T129" s="167">
        <f>S129/S12</f>
        <v>1.0494404401924748E-2</v>
      </c>
      <c r="U129" s="168">
        <f>SUM(U116:U128)</f>
        <v>21304.5981735274</v>
      </c>
      <c r="V129" s="167">
        <f>U129/U12</f>
        <v>1.0623298452147514E-2</v>
      </c>
      <c r="W129" s="168">
        <f>SUM(W116:W128)</f>
        <v>21654.381035570332</v>
      </c>
      <c r="X129" s="167">
        <f>W129/W12</f>
        <v>1.0612613535211342E-2</v>
      </c>
      <c r="Y129" s="168">
        <f>SUM(Y116:Y128)</f>
        <v>32074.153308377077</v>
      </c>
      <c r="Z129" s="167">
        <f>Y129/Y12</f>
        <v>1.0405526142922566E-2</v>
      </c>
      <c r="AA129" s="189">
        <f>SUM(AA116:AA128)</f>
        <v>302216.82966446423</v>
      </c>
      <c r="AB129" s="167">
        <f>AA129/AA12</f>
        <v>1.0522253522634658E-2</v>
      </c>
      <c r="AC129" s="23">
        <f t="shared" si="20"/>
        <v>25184.73580537202</v>
      </c>
      <c r="AD129" s="167">
        <f>AC129/AC12</f>
        <v>1.0522253522634658E-2</v>
      </c>
      <c r="AE129" s="44">
        <f t="shared" si="21"/>
        <v>302216.82966446423</v>
      </c>
      <c r="AF129" s="21">
        <f t="shared" si="22"/>
        <v>0</v>
      </c>
    </row>
    <row r="130" spans="1:32" s="1" customFormat="1" ht="15.75" thickTop="1">
      <c r="A130" s="89"/>
      <c r="B130" s="232"/>
      <c r="C130" s="183"/>
      <c r="D130" s="233"/>
      <c r="E130" s="183"/>
      <c r="F130" s="233"/>
      <c r="G130" s="183"/>
      <c r="H130" s="233"/>
      <c r="I130" s="183"/>
      <c r="J130" s="233"/>
      <c r="K130" s="183"/>
      <c r="L130" s="233"/>
      <c r="M130" s="183"/>
      <c r="N130" s="233"/>
      <c r="O130" s="183"/>
      <c r="P130" s="233"/>
      <c r="Q130" s="183"/>
      <c r="R130" s="233"/>
      <c r="S130" s="183"/>
      <c r="T130" s="233"/>
      <c r="U130" s="183"/>
      <c r="V130" s="233"/>
      <c r="W130" s="183"/>
      <c r="X130" s="233"/>
      <c r="Y130" s="183"/>
      <c r="Z130" s="233"/>
      <c r="AA130" s="234"/>
      <c r="AB130" s="233"/>
      <c r="AC130" s="234">
        <f t="shared" si="20"/>
        <v>0</v>
      </c>
      <c r="AD130" s="233"/>
      <c r="AE130" s="44">
        <f t="shared" si="21"/>
        <v>0</v>
      </c>
      <c r="AF130" s="21">
        <f t="shared" si="22"/>
        <v>0</v>
      </c>
    </row>
    <row r="131" spans="1:32" s="1" customFormat="1" ht="15.75" thickBot="1">
      <c r="A131" s="4"/>
      <c r="B131" s="217" t="s">
        <v>116</v>
      </c>
      <c r="C131" s="236">
        <f>C37-C41-C76-C93-C115-C129</f>
        <v>617332.44435792381</v>
      </c>
      <c r="D131" s="235">
        <f>C131/C12</f>
        <v>0.28577539259677714</v>
      </c>
      <c r="E131" s="236">
        <f>E37-E41-E76-E93-E115-E129</f>
        <v>398877.14670864615</v>
      </c>
      <c r="F131" s="235">
        <f>E131/E12</f>
        <v>0.237336464316694</v>
      </c>
      <c r="G131" s="236">
        <f>G37-G41-G76-G93-G115-G129</f>
        <v>957668.93924086902</v>
      </c>
      <c r="H131" s="235">
        <f>G131/G12</f>
        <v>0.34352041749080653</v>
      </c>
      <c r="I131" s="236">
        <f>I37-I41-I76-I93-I115-I129</f>
        <v>836803.77409726311</v>
      </c>
      <c r="J131" s="235">
        <f>I131/I12</f>
        <v>0.3399404929756657</v>
      </c>
      <c r="K131" s="236">
        <f>K37-K41-K76-K93-K115-K129</f>
        <v>734223.85317875689</v>
      </c>
      <c r="L131" s="235">
        <f>K131/K12</f>
        <v>0.32611867849191617</v>
      </c>
      <c r="M131" s="236">
        <f>M37-M41-M76-M93-M115-M129</f>
        <v>1091739.6336801767</v>
      </c>
      <c r="N131" s="235">
        <f>M131/M12</f>
        <v>0.34197493106497495</v>
      </c>
      <c r="O131" s="236">
        <f>O37-O41-O76-O93-O115-O129</f>
        <v>559926.64293748408</v>
      </c>
      <c r="P131" s="235">
        <f>O131/O12</f>
        <v>0.27702999618571683</v>
      </c>
      <c r="Q131" s="236">
        <f>Q37-Q41-Q76-Q93-Q115-Q129</f>
        <v>808537.85956416046</v>
      </c>
      <c r="R131" s="235">
        <f>Q131/Q12</f>
        <v>0.32215560248379055</v>
      </c>
      <c r="S131" s="236">
        <f>S37-S41-S76-S93-S115-S129</f>
        <v>818944.2909974478</v>
      </c>
      <c r="T131" s="235">
        <f>S131/S12</f>
        <v>0.32391172992022355</v>
      </c>
      <c r="U131" s="236">
        <f>U37-U41-U76-U93-U115-U129</f>
        <v>569636.34177885286</v>
      </c>
      <c r="V131" s="235">
        <f>U131/U12</f>
        <v>0.28404276009418522</v>
      </c>
      <c r="W131" s="236">
        <f>W37-W41-W76-W93-W115-W129</f>
        <v>594964.08002568188</v>
      </c>
      <c r="X131" s="235">
        <f>W131/W12</f>
        <v>0.29158643871063733</v>
      </c>
      <c r="Y131" s="236">
        <f>Y37-Y41-Y76-Y93-Y115-Y129</f>
        <v>1034779.3086332798</v>
      </c>
      <c r="Z131" s="235">
        <f>Y131/Y12</f>
        <v>0.33570404944490656</v>
      </c>
      <c r="AA131" s="98">
        <f>AA37-AA41-AA76-AA93-AA115-AA129</f>
        <v>9023434.3152005412</v>
      </c>
      <c r="AB131" s="235">
        <f>AA131/AA12</f>
        <v>0.31416802173060965</v>
      </c>
      <c r="AC131" s="237">
        <f t="shared" si="20"/>
        <v>751952.85960004514</v>
      </c>
      <c r="AD131" s="235">
        <f>AC131/AC12</f>
        <v>0.31416802173060965</v>
      </c>
      <c r="AE131" s="44">
        <f t="shared" si="21"/>
        <v>9023434.315200543</v>
      </c>
      <c r="AF131" s="21">
        <f t="shared" si="22"/>
        <v>0</v>
      </c>
    </row>
    <row r="132" spans="1:32" s="1" customFormat="1" ht="15.75" thickTop="1">
      <c r="A132" s="89"/>
      <c r="B132" s="232"/>
      <c r="C132" s="183"/>
      <c r="D132" s="233"/>
      <c r="E132" s="183"/>
      <c r="F132" s="233"/>
      <c r="G132" s="183"/>
      <c r="H132" s="233"/>
      <c r="I132" s="183"/>
      <c r="J132" s="233"/>
      <c r="K132" s="183"/>
      <c r="L132" s="233"/>
      <c r="M132" s="183"/>
      <c r="N132" s="233"/>
      <c r="O132" s="183"/>
      <c r="P132" s="233"/>
      <c r="Q132" s="183"/>
      <c r="R132" s="233"/>
      <c r="S132" s="183"/>
      <c r="T132" s="233"/>
      <c r="U132" s="183"/>
      <c r="V132" s="233"/>
      <c r="W132" s="183"/>
      <c r="X132" s="233"/>
      <c r="Y132" s="183"/>
      <c r="Z132" s="233"/>
      <c r="AA132" s="234"/>
      <c r="AB132" s="233"/>
      <c r="AC132" s="234">
        <f t="shared" si="20"/>
        <v>0</v>
      </c>
      <c r="AD132" s="233"/>
      <c r="AE132" s="44">
        <f t="shared" si="21"/>
        <v>0</v>
      </c>
      <c r="AF132" s="21">
        <f t="shared" si="22"/>
        <v>0</v>
      </c>
    </row>
    <row r="133" spans="1:32" s="1" customFormat="1" ht="15.75" thickBot="1">
      <c r="A133" s="39"/>
      <c r="B133" s="4" t="s">
        <v>125</v>
      </c>
      <c r="C133" s="188"/>
      <c r="D133" s="52"/>
      <c r="E133" s="188"/>
      <c r="F133" s="52"/>
      <c r="G133" s="188"/>
      <c r="H133" s="52"/>
      <c r="I133" s="188"/>
      <c r="J133" s="52"/>
      <c r="K133" s="188"/>
      <c r="L133" s="52"/>
      <c r="M133" s="188"/>
      <c r="N133" s="52"/>
      <c r="O133" s="188"/>
      <c r="P133" s="52"/>
      <c r="Q133" s="188"/>
      <c r="R133" s="52"/>
      <c r="S133" s="188"/>
      <c r="T133" s="52"/>
      <c r="U133" s="188"/>
      <c r="V133" s="52"/>
      <c r="W133" s="188"/>
      <c r="X133" s="52"/>
      <c r="Y133" s="188"/>
      <c r="Z133" s="52"/>
      <c r="AA133" s="238">
        <f>C133+E133+G133+I133+K133+M133+O133+Q133+S133+U133+W133+Y133</f>
        <v>0</v>
      </c>
      <c r="AB133" s="52"/>
      <c r="AC133" s="239">
        <f t="shared" si="20"/>
        <v>0</v>
      </c>
      <c r="AD133" s="52"/>
      <c r="AE133" s="44">
        <f t="shared" si="21"/>
        <v>0</v>
      </c>
      <c r="AF133" s="21">
        <f t="shared" si="22"/>
        <v>0</v>
      </c>
    </row>
    <row r="134" spans="1:32" s="1" customFormat="1" ht="15.75" thickTop="1">
      <c r="A134" s="89"/>
      <c r="B134" s="89"/>
      <c r="C134" s="183"/>
      <c r="D134" s="233"/>
      <c r="E134" s="183"/>
      <c r="F134" s="233"/>
      <c r="G134" s="183"/>
      <c r="H134" s="233"/>
      <c r="I134" s="183"/>
      <c r="J134" s="233"/>
      <c r="K134" s="183"/>
      <c r="L134" s="233"/>
      <c r="M134" s="183"/>
      <c r="N134" s="233"/>
      <c r="O134" s="183"/>
      <c r="P134" s="233"/>
      <c r="Q134" s="183"/>
      <c r="R134" s="233"/>
      <c r="S134" s="183"/>
      <c r="T134" s="233"/>
      <c r="U134" s="183"/>
      <c r="V134" s="233"/>
      <c r="W134" s="183"/>
      <c r="X134" s="233"/>
      <c r="Y134" s="183"/>
      <c r="Z134" s="233"/>
      <c r="AA134" s="234"/>
      <c r="AB134" s="233"/>
      <c r="AC134" s="234">
        <f t="shared" si="20"/>
        <v>0</v>
      </c>
      <c r="AD134" s="233"/>
      <c r="AE134" s="44">
        <f t="shared" si="21"/>
        <v>0</v>
      </c>
      <c r="AF134" s="21">
        <f t="shared" si="22"/>
        <v>0</v>
      </c>
    </row>
    <row r="135" spans="1:32" s="1" customFormat="1" ht="15.75" thickBot="1">
      <c r="A135" s="4"/>
      <c r="B135" s="4" t="s">
        <v>122</v>
      </c>
      <c r="C135" s="23">
        <f>C131-C133</f>
        <v>617332.44435792381</v>
      </c>
      <c r="D135" s="220">
        <f>C135/C12</f>
        <v>0.28577539259677714</v>
      </c>
      <c r="E135" s="23">
        <f>E131-E133</f>
        <v>398877.14670864615</v>
      </c>
      <c r="F135" s="220">
        <f>E135/E12</f>
        <v>0.237336464316694</v>
      </c>
      <c r="G135" s="23">
        <f>G131-G133</f>
        <v>957668.93924086902</v>
      </c>
      <c r="H135" s="220">
        <f>G135/G12</f>
        <v>0.34352041749080653</v>
      </c>
      <c r="I135" s="23">
        <f>I131-I133</f>
        <v>836803.77409726311</v>
      </c>
      <c r="J135" s="220">
        <f>I135/I12</f>
        <v>0.3399404929756657</v>
      </c>
      <c r="K135" s="23">
        <f>K131-K133</f>
        <v>734223.85317875689</v>
      </c>
      <c r="L135" s="220">
        <f>K135/K12</f>
        <v>0.32611867849191617</v>
      </c>
      <c r="M135" s="23">
        <f>M131-M133</f>
        <v>1091739.6336801767</v>
      </c>
      <c r="N135" s="220">
        <f>M135/M12</f>
        <v>0.34197493106497495</v>
      </c>
      <c r="O135" s="23">
        <f>O131-O133</f>
        <v>559926.64293748408</v>
      </c>
      <c r="P135" s="220">
        <f>O135/O12</f>
        <v>0.27702999618571683</v>
      </c>
      <c r="Q135" s="23">
        <f>Q131-Q133</f>
        <v>808537.85956416046</v>
      </c>
      <c r="R135" s="220">
        <f>Q135/Q12</f>
        <v>0.32215560248379055</v>
      </c>
      <c r="S135" s="23">
        <f>S131-S133</f>
        <v>818944.2909974478</v>
      </c>
      <c r="T135" s="220">
        <f>S135/S12</f>
        <v>0.32391172992022355</v>
      </c>
      <c r="U135" s="23">
        <f>U131-U133</f>
        <v>569636.34177885286</v>
      </c>
      <c r="V135" s="220">
        <f>U135/U12</f>
        <v>0.28404276009418522</v>
      </c>
      <c r="W135" s="23">
        <f>W131-W133</f>
        <v>594964.08002568188</v>
      </c>
      <c r="X135" s="220">
        <f>W135/W12</f>
        <v>0.29158643871063733</v>
      </c>
      <c r="Y135" s="23">
        <f>Y131-Y133</f>
        <v>1034779.3086332798</v>
      </c>
      <c r="Z135" s="220">
        <f>Y135/Y12</f>
        <v>0.33570404944490656</v>
      </c>
      <c r="AA135" s="23">
        <f>AA131-AA133</f>
        <v>9023434.3152005412</v>
      </c>
      <c r="AB135" s="220">
        <f>AA135/AA12</f>
        <v>0.31416802173060965</v>
      </c>
      <c r="AC135" s="23">
        <f t="shared" si="20"/>
        <v>751952.85960004514</v>
      </c>
      <c r="AD135" s="220">
        <f>AC135/AC12</f>
        <v>0.31416802173060965</v>
      </c>
      <c r="AE135" s="44">
        <f t="shared" si="21"/>
        <v>9023434.315200543</v>
      </c>
      <c r="AF135" s="21">
        <f t="shared" si="22"/>
        <v>0</v>
      </c>
    </row>
    <row r="136" spans="1:32" s="1" customFormat="1" ht="15.75" thickTop="1">
      <c r="A136" s="15">
        <v>6501</v>
      </c>
      <c r="B136" s="92" t="s">
        <v>124</v>
      </c>
      <c r="C136" s="183">
        <v>0</v>
      </c>
      <c r="D136" s="191">
        <f>C136/C12</f>
        <v>0</v>
      </c>
      <c r="E136" s="183">
        <v>0</v>
      </c>
      <c r="F136" s="191">
        <f>E136/E12</f>
        <v>0</v>
      </c>
      <c r="G136" s="183">
        <v>0</v>
      </c>
      <c r="H136" s="191">
        <f>G136/G12</f>
        <v>0</v>
      </c>
      <c r="I136" s="183">
        <v>0</v>
      </c>
      <c r="J136" s="191">
        <f>I136/I12</f>
        <v>0</v>
      </c>
      <c r="K136" s="183">
        <v>0</v>
      </c>
      <c r="L136" s="191">
        <f>K136/K12</f>
        <v>0</v>
      </c>
      <c r="M136" s="183">
        <v>0</v>
      </c>
      <c r="N136" s="191">
        <f>M136/M12</f>
        <v>0</v>
      </c>
      <c r="O136" s="183">
        <v>0</v>
      </c>
      <c r="P136" s="191">
        <f>O136/O12</f>
        <v>0</v>
      </c>
      <c r="Q136" s="183">
        <v>0</v>
      </c>
      <c r="R136" s="191">
        <f>Q136/Q12</f>
        <v>0</v>
      </c>
      <c r="S136" s="183">
        <v>0</v>
      </c>
      <c r="T136" s="191">
        <f>S136/S12</f>
        <v>0</v>
      </c>
      <c r="U136" s="183">
        <v>0</v>
      </c>
      <c r="V136" s="191">
        <f>U136/U12</f>
        <v>0</v>
      </c>
      <c r="W136" s="183">
        <v>0</v>
      </c>
      <c r="X136" s="191">
        <f>W136/W12</f>
        <v>0</v>
      </c>
      <c r="Y136" s="183">
        <v>0</v>
      </c>
      <c r="Z136" s="191">
        <f>Y136/Y12</f>
        <v>0</v>
      </c>
      <c r="AA136" s="59">
        <f t="shared" ref="AA136:AA143" si="45">C136+E136+G136+I136+K136+M136+O136+Q136+S136+U136+W136+Y136</f>
        <v>0</v>
      </c>
      <c r="AB136" s="191">
        <f>AA136/AA12</f>
        <v>0</v>
      </c>
      <c r="AC136" s="160">
        <f t="shared" si="20"/>
        <v>0</v>
      </c>
      <c r="AD136" s="191">
        <f>AC136/AC12</f>
        <v>0</v>
      </c>
      <c r="AE136" s="44">
        <f t="shared" si="21"/>
        <v>0</v>
      </c>
      <c r="AF136" s="21">
        <f t="shared" si="22"/>
        <v>0</v>
      </c>
    </row>
    <row r="137" spans="1:32" s="1" customFormat="1">
      <c r="A137" s="2">
        <v>6502</v>
      </c>
      <c r="B137" s="92" t="s">
        <v>118</v>
      </c>
      <c r="C137" s="21">
        <v>73848.7</v>
      </c>
      <c r="D137" s="191">
        <f>C137/C12</f>
        <v>3.4186023151936626E-2</v>
      </c>
      <c r="E137" s="21">
        <v>73848.710000000006</v>
      </c>
      <c r="F137" s="191">
        <f>E137/E12</f>
        <v>4.3940827070123457E-2</v>
      </c>
      <c r="G137" s="21">
        <v>73848.7</v>
      </c>
      <c r="H137" s="191">
        <f>G137/G12</f>
        <v>2.6489881018029685E-2</v>
      </c>
      <c r="I137" s="21">
        <v>73848.710000000006</v>
      </c>
      <c r="J137" s="191">
        <f>I137/I12</f>
        <v>3.0000064125068199E-2</v>
      </c>
      <c r="K137" s="21">
        <v>73848.710000000006</v>
      </c>
      <c r="L137" s="191">
        <f>K137/K12</f>
        <v>3.2801227594643823E-2</v>
      </c>
      <c r="M137" s="124">
        <v>73848.710000000006</v>
      </c>
      <c r="N137" s="191">
        <f>M137/M12</f>
        <v>2.3132262246774459E-2</v>
      </c>
      <c r="O137" s="21">
        <v>73848.710000000006</v>
      </c>
      <c r="P137" s="191">
        <f>O137/O12</f>
        <v>3.6537478806673407E-2</v>
      </c>
      <c r="Q137" s="21">
        <v>73848.710000000006</v>
      </c>
      <c r="R137" s="191">
        <f>Q137/Q12</f>
        <v>2.9424442382358033E-2</v>
      </c>
      <c r="S137" s="21">
        <v>73848.710000000006</v>
      </c>
      <c r="T137" s="191">
        <f>S137/S12</f>
        <v>2.9208901840371292E-2</v>
      </c>
      <c r="U137" s="21">
        <v>73848.710000000006</v>
      </c>
      <c r="V137" s="191">
        <f>U137/U12</f>
        <v>3.6823829308872541E-2</v>
      </c>
      <c r="W137" s="21">
        <v>73848.710000000006</v>
      </c>
      <c r="X137" s="191">
        <f>W137/W12</f>
        <v>3.6192575443117742E-2</v>
      </c>
      <c r="Y137" s="21">
        <v>73848.710000000006</v>
      </c>
      <c r="Z137" s="191">
        <f>Y137/Y12</f>
        <v>2.3958066020885693E-2</v>
      </c>
      <c r="AA137" s="59">
        <f t="shared" si="45"/>
        <v>886184.49999999988</v>
      </c>
      <c r="AB137" s="191">
        <f>AA137/AA12</f>
        <v>3.0854198249587621E-2</v>
      </c>
      <c r="AC137" s="160">
        <f t="shared" si="20"/>
        <v>73848.708333333328</v>
      </c>
      <c r="AD137" s="191">
        <f>AC137/AC12</f>
        <v>3.0854198249587621E-2</v>
      </c>
      <c r="AE137" s="44">
        <f t="shared" si="21"/>
        <v>886184.49999999988</v>
      </c>
      <c r="AF137" s="21">
        <f t="shared" si="22"/>
        <v>0</v>
      </c>
    </row>
    <row r="138" spans="1:32" s="1" customFormat="1">
      <c r="A138" s="2">
        <v>6503</v>
      </c>
      <c r="B138" s="92" t="s">
        <v>166</v>
      </c>
      <c r="C138" s="21">
        <v>13392.24</v>
      </c>
      <c r="D138" s="191">
        <f>C138/C12</f>
        <v>6.1995326484595098E-3</v>
      </c>
      <c r="E138" s="21">
        <v>13392.22</v>
      </c>
      <c r="F138" s="191">
        <f>E138/E12</f>
        <v>7.9685240690737687E-3</v>
      </c>
      <c r="G138" s="21">
        <v>13392.25</v>
      </c>
      <c r="H138" s="191">
        <f>G138/G12</f>
        <v>4.8038639686779601E-3</v>
      </c>
      <c r="I138" s="21">
        <v>13392.22</v>
      </c>
      <c r="J138" s="191">
        <f>I138/I12</f>
        <v>5.4404126866538461E-3</v>
      </c>
      <c r="K138" s="21">
        <v>13392.22</v>
      </c>
      <c r="L138" s="191">
        <f>K138/K12</f>
        <v>5.9483944434173706E-3</v>
      </c>
      <c r="M138" s="124">
        <v>13392.19</v>
      </c>
      <c r="N138" s="28">
        <f>M138/M12</f>
        <v>4.1949500693868646E-3</v>
      </c>
      <c r="O138" s="21">
        <v>13392.19</v>
      </c>
      <c r="P138" s="28">
        <f>O138/O12</f>
        <v>6.6259364354494948E-3</v>
      </c>
      <c r="Q138" s="21">
        <v>13392.19</v>
      </c>
      <c r="R138" s="28">
        <f>Q138/Q12</f>
        <v>5.3360136287904205E-3</v>
      </c>
      <c r="S138" s="21">
        <v>13392.22</v>
      </c>
      <c r="T138" s="191">
        <f>S138/S12</f>
        <v>5.2969380156357116E-3</v>
      </c>
      <c r="U138" s="21">
        <v>13392.22</v>
      </c>
      <c r="V138" s="191">
        <f>U138/U12</f>
        <v>6.677879997455189E-3</v>
      </c>
      <c r="W138" s="21">
        <v>13392.22</v>
      </c>
      <c r="X138" s="191">
        <f>W138/W12</f>
        <v>6.5634041908224292E-3</v>
      </c>
      <c r="Y138" s="21">
        <v>13392.22</v>
      </c>
      <c r="Z138" s="191">
        <f>Y138/Y12</f>
        <v>4.3447162574163549E-3</v>
      </c>
      <c r="AA138" s="59">
        <f t="shared" si="45"/>
        <v>160706.6</v>
      </c>
      <c r="AB138" s="240">
        <f>AA138/AA12</f>
        <v>5.5953058267405702E-3</v>
      </c>
      <c r="AC138" s="160">
        <f t="shared" si="20"/>
        <v>13392.216666666667</v>
      </c>
      <c r="AD138" s="240">
        <f>AC138/AC12</f>
        <v>5.5953058267405702E-3</v>
      </c>
      <c r="AE138" s="44">
        <f t="shared" si="21"/>
        <v>160706.6</v>
      </c>
      <c r="AF138" s="21">
        <f t="shared" si="22"/>
        <v>0</v>
      </c>
    </row>
    <row r="139" spans="1:32" s="1" customFormat="1">
      <c r="A139" s="2">
        <v>6504</v>
      </c>
      <c r="B139" s="92" t="s">
        <v>119</v>
      </c>
      <c r="C139" s="43"/>
      <c r="D139" s="191">
        <f>C139/C12</f>
        <v>0</v>
      </c>
      <c r="E139" s="43"/>
      <c r="F139" s="191">
        <f>E139/E12</f>
        <v>0</v>
      </c>
      <c r="G139" s="43"/>
      <c r="H139" s="191">
        <f>G139/G12</f>
        <v>0</v>
      </c>
      <c r="I139" s="43"/>
      <c r="J139" s="191">
        <f>I139/I12</f>
        <v>0</v>
      </c>
      <c r="K139" s="43"/>
      <c r="L139" s="191">
        <f>K139/K12</f>
        <v>0</v>
      </c>
      <c r="M139" s="43"/>
      <c r="N139" s="191">
        <f>M139/M12</f>
        <v>0</v>
      </c>
      <c r="O139" s="43"/>
      <c r="P139" s="191">
        <f>O139/O12</f>
        <v>0</v>
      </c>
      <c r="Q139" s="43"/>
      <c r="R139" s="191">
        <f>Q139/Q12</f>
        <v>0</v>
      </c>
      <c r="S139" s="43"/>
      <c r="T139" s="191">
        <f>S139/S12</f>
        <v>0</v>
      </c>
      <c r="U139" s="43"/>
      <c r="V139" s="191">
        <f>U139/U12</f>
        <v>0</v>
      </c>
      <c r="W139" s="43"/>
      <c r="X139" s="191">
        <f>W139/W12</f>
        <v>0</v>
      </c>
      <c r="Y139" s="43"/>
      <c r="Z139" s="191">
        <f>Y139/Y12</f>
        <v>0</v>
      </c>
      <c r="AA139" s="59">
        <f t="shared" si="45"/>
        <v>0</v>
      </c>
      <c r="AB139" s="191">
        <f>AA139/AA12</f>
        <v>0</v>
      </c>
      <c r="AC139" s="160">
        <f t="shared" si="20"/>
        <v>0</v>
      </c>
      <c r="AD139" s="191">
        <f>AC139/AC12</f>
        <v>0</v>
      </c>
      <c r="AE139" s="44">
        <f t="shared" si="21"/>
        <v>0</v>
      </c>
      <c r="AF139" s="21">
        <f t="shared" si="22"/>
        <v>0</v>
      </c>
    </row>
    <row r="140" spans="1:32" s="1" customFormat="1">
      <c r="A140" s="2">
        <v>6505</v>
      </c>
      <c r="B140" s="2" t="s">
        <v>120</v>
      </c>
      <c r="C140" s="43"/>
      <c r="D140" s="191">
        <f>C140/C12</f>
        <v>0</v>
      </c>
      <c r="E140" s="43"/>
      <c r="F140" s="191">
        <f>E140/E12</f>
        <v>0</v>
      </c>
      <c r="G140" s="43"/>
      <c r="H140" s="191">
        <f>G140/G12</f>
        <v>0</v>
      </c>
      <c r="I140" s="43"/>
      <c r="J140" s="191">
        <f>I140/I12</f>
        <v>0</v>
      </c>
      <c r="K140" s="43"/>
      <c r="L140" s="191">
        <f>K140/K12</f>
        <v>0</v>
      </c>
      <c r="M140" s="43"/>
      <c r="N140" s="191">
        <f>M140/M12</f>
        <v>0</v>
      </c>
      <c r="O140" s="43"/>
      <c r="P140" s="191">
        <f>O140/O12</f>
        <v>0</v>
      </c>
      <c r="Q140" s="43"/>
      <c r="R140" s="191">
        <f>Q140/Q12</f>
        <v>0</v>
      </c>
      <c r="S140" s="43"/>
      <c r="T140" s="191">
        <f>S140/S12</f>
        <v>0</v>
      </c>
      <c r="U140" s="43"/>
      <c r="V140" s="191">
        <f>U140/U12</f>
        <v>0</v>
      </c>
      <c r="W140" s="43"/>
      <c r="X140" s="191">
        <f>W140/W12</f>
        <v>0</v>
      </c>
      <c r="Y140" s="43"/>
      <c r="Z140" s="191">
        <f>Y140/Y12</f>
        <v>0</v>
      </c>
      <c r="AA140" s="59">
        <f t="shared" si="45"/>
        <v>0</v>
      </c>
      <c r="AB140" s="191">
        <f>AA140/AA12</f>
        <v>0</v>
      </c>
      <c r="AC140" s="160">
        <f t="shared" si="20"/>
        <v>0</v>
      </c>
      <c r="AD140" s="191">
        <f>AC140/AC12</f>
        <v>0</v>
      </c>
      <c r="AE140" s="44">
        <f t="shared" si="21"/>
        <v>0</v>
      </c>
      <c r="AF140" s="21">
        <f t="shared" si="22"/>
        <v>0</v>
      </c>
    </row>
    <row r="141" spans="1:32" s="1" customFormat="1">
      <c r="A141" s="2">
        <v>6506</v>
      </c>
      <c r="B141" s="2" t="s">
        <v>160</v>
      </c>
      <c r="C141" s="21"/>
      <c r="D141" s="241">
        <f>C141/C12</f>
        <v>0</v>
      </c>
      <c r="E141" s="21">
        <v>0</v>
      </c>
      <c r="F141" s="241">
        <f>E141/E12</f>
        <v>0</v>
      </c>
      <c r="G141" s="21">
        <v>0</v>
      </c>
      <c r="H141" s="241">
        <f>G141/G12</f>
        <v>0</v>
      </c>
      <c r="I141" s="21">
        <v>0</v>
      </c>
      <c r="J141" s="241">
        <f>I141/I12</f>
        <v>0</v>
      </c>
      <c r="K141" s="21">
        <v>0</v>
      </c>
      <c r="L141" s="241">
        <f>K141/K12</f>
        <v>0</v>
      </c>
      <c r="M141" s="21">
        <v>0</v>
      </c>
      <c r="N141" s="241">
        <f>M141/M12</f>
        <v>0</v>
      </c>
      <c r="O141" s="21">
        <v>0</v>
      </c>
      <c r="P141" s="241">
        <f>O141/O12</f>
        <v>0</v>
      </c>
      <c r="Q141" s="21">
        <v>0</v>
      </c>
      <c r="R141" s="241">
        <f>Q141/Q12</f>
        <v>0</v>
      </c>
      <c r="S141" s="21">
        <v>0</v>
      </c>
      <c r="T141" s="241">
        <f>S141/S12</f>
        <v>0</v>
      </c>
      <c r="U141" s="21">
        <v>0</v>
      </c>
      <c r="V141" s="241">
        <f>U141/U12</f>
        <v>0</v>
      </c>
      <c r="W141" s="21">
        <v>0</v>
      </c>
      <c r="X141" s="241">
        <f>W141/W12</f>
        <v>0</v>
      </c>
      <c r="Y141" s="21">
        <v>0</v>
      </c>
      <c r="Z141" s="241">
        <f>Y141/Y12</f>
        <v>0</v>
      </c>
      <c r="AA141" s="59">
        <f t="shared" si="45"/>
        <v>0</v>
      </c>
      <c r="AB141" s="241">
        <f>AA141/AA12</f>
        <v>0</v>
      </c>
      <c r="AC141" s="160">
        <f t="shared" si="20"/>
        <v>0</v>
      </c>
      <c r="AD141" s="241">
        <f>AC141/AC12</f>
        <v>0</v>
      </c>
      <c r="AE141" s="44">
        <f t="shared" si="21"/>
        <v>0</v>
      </c>
      <c r="AF141" s="21">
        <f t="shared" si="22"/>
        <v>0</v>
      </c>
    </row>
    <row r="142" spans="1:32" s="1" customFormat="1">
      <c r="A142" s="82">
        <v>6604</v>
      </c>
      <c r="B142" s="2" t="s">
        <v>167</v>
      </c>
      <c r="C142" s="16">
        <v>127621</v>
      </c>
      <c r="D142" s="241">
        <f>C142/C12</f>
        <v>5.9078283851622365E-2</v>
      </c>
      <c r="E142" s="16">
        <v>127621</v>
      </c>
      <c r="F142" s="241">
        <f>E142/E12</f>
        <v>7.5935954622852936E-2</v>
      </c>
      <c r="G142" s="16">
        <v>127621</v>
      </c>
      <c r="H142" s="241">
        <f>G142/G12</f>
        <v>4.5778261572674492E-2</v>
      </c>
      <c r="I142" s="16">
        <v>127621</v>
      </c>
      <c r="J142" s="241">
        <f>I142/I12</f>
        <v>5.1844347500522733E-2</v>
      </c>
      <c r="K142" s="16">
        <v>127621</v>
      </c>
      <c r="L142" s="241">
        <f>K142/K12</f>
        <v>5.6685153564037055E-2</v>
      </c>
      <c r="M142" s="16">
        <v>127621</v>
      </c>
      <c r="N142" s="241">
        <f>M142/M12</f>
        <v>3.9975815964769096E-2</v>
      </c>
      <c r="O142" s="16">
        <v>127621</v>
      </c>
      <c r="P142" s="241">
        <f>O142/O12</f>
        <v>6.3141923302200767E-2</v>
      </c>
      <c r="Q142" s="16">
        <v>127621</v>
      </c>
      <c r="R142" s="241">
        <f>Q142/Q12</f>
        <v>5.0849591838217814E-2</v>
      </c>
      <c r="S142" s="16">
        <v>127621</v>
      </c>
      <c r="T142" s="241">
        <f>S142/S12</f>
        <v>5.0477107342430549E-2</v>
      </c>
      <c r="U142" s="16">
        <v>127621</v>
      </c>
      <c r="V142" s="241">
        <f>U142/U12</f>
        <v>6.3636777409214362E-2</v>
      </c>
      <c r="W142" s="16">
        <v>127621</v>
      </c>
      <c r="X142" s="241">
        <f>W142/W12</f>
        <v>6.2545881581765328E-2</v>
      </c>
      <c r="Y142" s="16">
        <v>127621</v>
      </c>
      <c r="Z142" s="241">
        <f>Y142/Y12</f>
        <v>4.1402921508736611E-2</v>
      </c>
      <c r="AA142" s="59">
        <f t="shared" si="45"/>
        <v>1531452</v>
      </c>
      <c r="AB142" s="241">
        <f>AA142/AA12</f>
        <v>5.3320413094256863E-2</v>
      </c>
      <c r="AC142" s="160">
        <f t="shared" si="20"/>
        <v>127621</v>
      </c>
      <c r="AD142" s="241">
        <f>AC142/AC12</f>
        <v>5.3320413094256856E-2</v>
      </c>
      <c r="AE142" s="44">
        <f t="shared" si="21"/>
        <v>1531452</v>
      </c>
      <c r="AF142" s="21">
        <f t="shared" si="22"/>
        <v>0</v>
      </c>
    </row>
    <row r="143" spans="1:32" s="1" customFormat="1">
      <c r="A143" s="2"/>
      <c r="B143" s="2"/>
      <c r="C143" s="158"/>
      <c r="D143" s="191">
        <f>C143/C12</f>
        <v>0</v>
      </c>
      <c r="E143" s="158"/>
      <c r="F143" s="191">
        <f>E143/E12</f>
        <v>0</v>
      </c>
      <c r="G143" s="158"/>
      <c r="H143" s="191">
        <f>G143/G12</f>
        <v>0</v>
      </c>
      <c r="I143" s="158"/>
      <c r="J143" s="191">
        <f>I143/I12</f>
        <v>0</v>
      </c>
      <c r="K143" s="158"/>
      <c r="L143" s="191">
        <f>K143/K12</f>
        <v>0</v>
      </c>
      <c r="M143" s="158"/>
      <c r="N143" s="191">
        <f>M143/M12</f>
        <v>0</v>
      </c>
      <c r="O143" s="158"/>
      <c r="P143" s="191">
        <f>O143/O12</f>
        <v>0</v>
      </c>
      <c r="Q143" s="158"/>
      <c r="R143" s="191">
        <f>Q143/Q12</f>
        <v>0</v>
      </c>
      <c r="S143" s="158"/>
      <c r="T143" s="191">
        <f>S143/S12</f>
        <v>0</v>
      </c>
      <c r="U143" s="158"/>
      <c r="V143" s="191">
        <f>U143/U12</f>
        <v>0</v>
      </c>
      <c r="W143" s="158"/>
      <c r="X143" s="191">
        <f>W143/W12</f>
        <v>0</v>
      </c>
      <c r="Y143" s="158"/>
      <c r="Z143" s="191">
        <f>Y143/Y12</f>
        <v>0</v>
      </c>
      <c r="AA143" s="59">
        <f t="shared" si="45"/>
        <v>0</v>
      </c>
      <c r="AB143" s="191">
        <f>AA143/AA12</f>
        <v>0</v>
      </c>
      <c r="AC143" s="160">
        <f t="shared" si="20"/>
        <v>0</v>
      </c>
      <c r="AD143" s="191">
        <f>AC143/AC12</f>
        <v>0</v>
      </c>
      <c r="AE143" s="44">
        <f t="shared" si="21"/>
        <v>0</v>
      </c>
      <c r="AF143" s="21">
        <f t="shared" si="22"/>
        <v>0</v>
      </c>
    </row>
    <row r="144" spans="1:32" s="1" customFormat="1" ht="15" customHeight="1">
      <c r="A144" s="26">
        <v>6798</v>
      </c>
      <c r="B144" s="26" t="s">
        <v>147</v>
      </c>
      <c r="C144" s="171">
        <f>SUM(C136:C143)</f>
        <v>214861.94</v>
      </c>
      <c r="D144" s="242">
        <f>C144/C12</f>
        <v>9.9463839652018507E-2</v>
      </c>
      <c r="E144" s="171">
        <f>SUM(E136:E143)</f>
        <v>214861.93</v>
      </c>
      <c r="F144" s="242">
        <f>E144/E12</f>
        <v>0.12784530576205014</v>
      </c>
      <c r="G144" s="171">
        <f>SUM(G136:G143)</f>
        <v>214861.95</v>
      </c>
      <c r="H144" s="242">
        <f>G144/G12</f>
        <v>7.707200655938215E-2</v>
      </c>
      <c r="I144" s="171">
        <f>SUM(I136:I143)</f>
        <v>214861.93</v>
      </c>
      <c r="J144" s="242">
        <f>I144/I12</f>
        <v>8.7284824312244783E-2</v>
      </c>
      <c r="K144" s="171">
        <f>SUM(K136:K143)</f>
        <v>214861.93</v>
      </c>
      <c r="L144" s="242">
        <f>K144/K12</f>
        <v>9.5434775602098246E-2</v>
      </c>
      <c r="M144" s="171">
        <f>SUM(M136:M143)</f>
        <v>214861.90000000002</v>
      </c>
      <c r="N144" s="242">
        <f>M144/M12</f>
        <v>6.7303028280930419E-2</v>
      </c>
      <c r="O144" s="171">
        <f>SUM(O136:O143)</f>
        <v>214861.90000000002</v>
      </c>
      <c r="P144" s="242">
        <f>O144/O12</f>
        <v>0.10630533854432367</v>
      </c>
      <c r="Q144" s="171">
        <f>SUM(Q136:Q143)</f>
        <v>214861.90000000002</v>
      </c>
      <c r="R144" s="242">
        <f>Q144/Q12</f>
        <v>8.561004784936628E-2</v>
      </c>
      <c r="S144" s="171">
        <f>SUM(S136:S143)</f>
        <v>214861.93</v>
      </c>
      <c r="T144" s="242">
        <f t="shared" ref="T144" si="46">S144/S$12</f>
        <v>8.4982947198437547E-2</v>
      </c>
      <c r="U144" s="171">
        <f>SUM(U136:U143)</f>
        <v>214861.93</v>
      </c>
      <c r="V144" s="242">
        <f>U144/U12</f>
        <v>0.10713848671554208</v>
      </c>
      <c r="W144" s="171">
        <f>SUM(W136:W143)</f>
        <v>214861.93</v>
      </c>
      <c r="X144" s="242">
        <f>W144/W12</f>
        <v>0.10530186121570549</v>
      </c>
      <c r="Y144" s="171">
        <f>SUM(Y136:Y143)</f>
        <v>214861.93</v>
      </c>
      <c r="Z144" s="242">
        <f t="shared" ref="Z144" si="47">Y144/Y$12</f>
        <v>6.970570378703865E-2</v>
      </c>
      <c r="AA144" s="63">
        <f>SUM(AA136:AA143)</f>
        <v>2578343.0999999996</v>
      </c>
      <c r="AB144" s="243">
        <f t="shared" ref="AB144" si="48">AA144/AA$12</f>
        <v>8.9769917170585037E-2</v>
      </c>
      <c r="AC144" s="244">
        <f t="shared" ref="AC144:AC152" si="49">AA144/12</f>
        <v>214861.92499999996</v>
      </c>
      <c r="AD144" s="245">
        <f t="shared" ref="AD144" si="50">AC144/AC$12</f>
        <v>8.9769917170585037E-2</v>
      </c>
      <c r="AE144" s="44">
        <f t="shared" si="21"/>
        <v>2578343.1</v>
      </c>
      <c r="AF144" s="21">
        <f t="shared" si="22"/>
        <v>0</v>
      </c>
    </row>
    <row r="145" spans="1:32" s="1" customFormat="1">
      <c r="A145" s="246">
        <v>6799</v>
      </c>
      <c r="B145" s="26" t="s">
        <v>117</v>
      </c>
      <c r="C145" s="210">
        <f>C41+C76+C93+C115+C129+C144+C133</f>
        <v>720900.3187368256</v>
      </c>
      <c r="D145" s="247">
        <f>C145/C12</f>
        <v>0.33371900908987723</v>
      </c>
      <c r="E145" s="234">
        <f>E41+E76+E93+E115+E129+E144+E133</f>
        <v>786068.23417665204</v>
      </c>
      <c r="F145" s="247">
        <f>E145/E12</f>
        <v>0.467719589729781</v>
      </c>
      <c r="G145" s="234">
        <f>G41+G76+G93+G115+G129+G144+G133</f>
        <v>781416.37931129686</v>
      </c>
      <c r="H145" s="247">
        <f>G145/G12</f>
        <v>0.28029778335293387</v>
      </c>
      <c r="I145" s="210">
        <f>I41+I76+I93+I115+I129+I144+I133</f>
        <v>793584.92059047706</v>
      </c>
      <c r="J145" s="247">
        <f>I145/I12</f>
        <v>0.32238340394031884</v>
      </c>
      <c r="K145" s="234">
        <f>K41+K76+K93+K115+K129+K144+K133</f>
        <v>845512.38098208257</v>
      </c>
      <c r="L145" s="247">
        <f>K145/K12</f>
        <v>0.37554947192283367</v>
      </c>
      <c r="M145" s="234">
        <f>M41+M76+M93+M115+M129+M144+M133</f>
        <v>728457.95688845497</v>
      </c>
      <c r="N145" s="247">
        <f>M145/M12</f>
        <v>0.2281811083022745</v>
      </c>
      <c r="O145" s="234">
        <f>O41+O76+O93+O115+O129+O144+O133</f>
        <v>764815.6383758625</v>
      </c>
      <c r="P145" s="247">
        <f>O145/O12</f>
        <v>0.37840112817367377</v>
      </c>
      <c r="Q145" s="234">
        <f>Q41+Q76+Q93+Q115+Q129+Q144+Q133</f>
        <v>802863.45194497146</v>
      </c>
      <c r="R145" s="247">
        <f>Q145/Q12</f>
        <v>0.31989467903577312</v>
      </c>
      <c r="S145" s="234">
        <f>S41+S76+S93+S115+S129+S144+S133</f>
        <v>780514.61401877739</v>
      </c>
      <c r="T145" s="247">
        <f>S145/S12</f>
        <v>0.30871188874998295</v>
      </c>
      <c r="U145" s="234">
        <f>U41+U76+U93+U115+U129+U144+U133</f>
        <v>778762.02297065104</v>
      </c>
      <c r="V145" s="247">
        <f>U145/U12</f>
        <v>0.38832093080709912</v>
      </c>
      <c r="W145" s="234">
        <f>W41+W76+W93+W115+W129+W144+W133</f>
        <v>798100.8547785047</v>
      </c>
      <c r="X145" s="247">
        <f>W145/W12</f>
        <v>0.39114190888084283</v>
      </c>
      <c r="Y145" s="234">
        <f>Y41+Y76+Y93+Y115+Y129+Y144+Y133</f>
        <v>782788.59340232797</v>
      </c>
      <c r="Z145" s="247">
        <f>Y145/Y12</f>
        <v>0.25395299120498133</v>
      </c>
      <c r="AA145" s="234">
        <f>AA41+AA76+AA93+AA115+AA129+AA144+AA133</f>
        <v>9363785.3661768846</v>
      </c>
      <c r="AB145" s="247">
        <f>AA145/AA12</f>
        <v>0.3260179906719301</v>
      </c>
      <c r="AC145" s="234">
        <f t="shared" si="49"/>
        <v>780315.44718140701</v>
      </c>
      <c r="AD145" s="247">
        <f>AC145/AC12</f>
        <v>0.3260179906719301</v>
      </c>
      <c r="AE145" s="44">
        <f t="shared" si="21"/>
        <v>9363785.3661768846</v>
      </c>
      <c r="AF145" s="21">
        <f t="shared" si="22"/>
        <v>0</v>
      </c>
    </row>
    <row r="146" spans="1:32" s="1" customFormat="1" ht="15.75" thickBot="1">
      <c r="A146" s="8">
        <v>6999</v>
      </c>
      <c r="B146" s="8" t="s">
        <v>123</v>
      </c>
      <c r="C146" s="181">
        <f>C135-C144</f>
        <v>402470.50435792381</v>
      </c>
      <c r="D146" s="131">
        <f>C146/C12</f>
        <v>0.18631155294475862</v>
      </c>
      <c r="E146" s="181">
        <f>E135-E144</f>
        <v>184015.21670864616</v>
      </c>
      <c r="F146" s="131">
        <f>E146/E12</f>
        <v>0.10949115855464385</v>
      </c>
      <c r="G146" s="181">
        <f>G135-G144</f>
        <v>742806.98924086895</v>
      </c>
      <c r="H146" s="131">
        <f>G146/G12</f>
        <v>0.26644841093142435</v>
      </c>
      <c r="I146" s="181">
        <f>I135-I144</f>
        <v>621941.84409726318</v>
      </c>
      <c r="J146" s="131">
        <f>I146/I12</f>
        <v>0.25265566866342098</v>
      </c>
      <c r="K146" s="181">
        <f>K135-K144</f>
        <v>519361.9231787569</v>
      </c>
      <c r="L146" s="131">
        <f>K146/K12</f>
        <v>0.23068390288981791</v>
      </c>
      <c r="M146" s="181">
        <f>M135-M144</f>
        <v>876877.73368017667</v>
      </c>
      <c r="N146" s="131">
        <f>M146/M12</f>
        <v>0.27467190278404452</v>
      </c>
      <c r="O146" s="181">
        <f>O135-O144</f>
        <v>345064.74293748406</v>
      </c>
      <c r="P146" s="131">
        <f>O146/O12</f>
        <v>0.17072465764139319</v>
      </c>
      <c r="Q146" s="181">
        <f>Q135-Q144</f>
        <v>593675.95956416044</v>
      </c>
      <c r="R146" s="131">
        <f>Q146/Q12</f>
        <v>0.23654555463442428</v>
      </c>
      <c r="S146" s="181">
        <f>S135-S144</f>
        <v>604082.36099744774</v>
      </c>
      <c r="T146" s="131">
        <f>S146/S12</f>
        <v>0.238928782721786</v>
      </c>
      <c r="U146" s="181">
        <f>U135-U144</f>
        <v>354774.41177885287</v>
      </c>
      <c r="V146" s="131">
        <f>U146/U12</f>
        <v>0.17690427337864315</v>
      </c>
      <c r="W146" s="248">
        <f>W135-W144</f>
        <v>380102.15002568188</v>
      </c>
      <c r="X146" s="131">
        <f>W146/W12</f>
        <v>0.18628457749493185</v>
      </c>
      <c r="Y146" s="181">
        <f>Y135-Y144</f>
        <v>819917.37863327982</v>
      </c>
      <c r="Z146" s="131">
        <f>Y146/Y12</f>
        <v>0.2659983456578679</v>
      </c>
      <c r="AA146" s="249">
        <f>AA135-AA144</f>
        <v>6445091.2152005415</v>
      </c>
      <c r="AB146" s="131">
        <f>AA146/AA12</f>
        <v>0.22439810456002462</v>
      </c>
      <c r="AC146" s="250">
        <f t="shared" si="49"/>
        <v>537090.93460004509</v>
      </c>
      <c r="AD146" s="131">
        <f>AC146/AC12</f>
        <v>0.22439810456002457</v>
      </c>
      <c r="AE146" s="44">
        <f t="shared" si="21"/>
        <v>6445091.2152005434</v>
      </c>
      <c r="AF146" s="21">
        <f t="shared" si="22"/>
        <v>0</v>
      </c>
    </row>
    <row r="147" spans="1:32" s="1" customFormat="1" ht="15.75" thickTop="1">
      <c r="C147" s="43"/>
      <c r="D147" s="251"/>
      <c r="E147" s="43"/>
      <c r="F147" s="251"/>
      <c r="G147" s="43"/>
      <c r="H147" s="251"/>
      <c r="I147" s="43"/>
      <c r="J147" s="251"/>
      <c r="K147" s="43"/>
      <c r="L147" s="251"/>
      <c r="M147" s="43"/>
      <c r="N147" s="251"/>
      <c r="O147" s="43"/>
      <c r="P147" s="251"/>
      <c r="Q147" s="43"/>
      <c r="R147" s="251"/>
      <c r="S147" s="43"/>
      <c r="T147" s="251"/>
      <c r="U147" s="43"/>
      <c r="V147" s="251"/>
      <c r="W147" s="43"/>
      <c r="X147" s="251"/>
      <c r="Y147" s="43"/>
      <c r="Z147" s="251"/>
      <c r="AA147" s="234"/>
      <c r="AB147" s="251"/>
      <c r="AC147" s="252">
        <f t="shared" si="49"/>
        <v>0</v>
      </c>
      <c r="AD147" s="251"/>
      <c r="AE147" s="44">
        <f t="shared" si="21"/>
        <v>0</v>
      </c>
      <c r="AF147" s="21">
        <f t="shared" si="22"/>
        <v>0</v>
      </c>
    </row>
    <row r="148" spans="1:32" s="1" customFormat="1" ht="15.75" thickBot="1">
      <c r="A148" s="90"/>
      <c r="B148" s="8" t="s">
        <v>146</v>
      </c>
      <c r="C148" s="97"/>
      <c r="D148" s="253">
        <f>C148/C12</f>
        <v>0</v>
      </c>
      <c r="E148" s="97"/>
      <c r="F148" s="253">
        <f>E148/E12</f>
        <v>0</v>
      </c>
      <c r="G148" s="97"/>
      <c r="H148" s="253">
        <f>G148/G12</f>
        <v>0</v>
      </c>
      <c r="I148" s="97"/>
      <c r="J148" s="253">
        <f>I148/I12</f>
        <v>0</v>
      </c>
      <c r="K148" s="97"/>
      <c r="L148" s="253">
        <f>K148/K12</f>
        <v>0</v>
      </c>
      <c r="M148" s="97"/>
      <c r="N148" s="253">
        <f>M148/M12</f>
        <v>0</v>
      </c>
      <c r="O148" s="97"/>
      <c r="P148" s="253">
        <f>O148/O12</f>
        <v>0</v>
      </c>
      <c r="Q148" s="97"/>
      <c r="R148" s="253">
        <f>Q148/Q12</f>
        <v>0</v>
      </c>
      <c r="S148" s="97"/>
      <c r="T148" s="253">
        <f>S148/S12</f>
        <v>0</v>
      </c>
      <c r="U148" s="97"/>
      <c r="V148" s="253">
        <f>U148/U12</f>
        <v>0</v>
      </c>
      <c r="W148" s="97"/>
      <c r="X148" s="253">
        <f>W148/W12</f>
        <v>0</v>
      </c>
      <c r="Y148" s="97"/>
      <c r="Z148" s="253">
        <f>Y148/Y12</f>
        <v>0</v>
      </c>
      <c r="AA148" s="254">
        <f>C148+E148+G148+I148+K148+M148+O148+Q148+S148+U148+W148+Y148</f>
        <v>0</v>
      </c>
      <c r="AB148" s="253">
        <f>AA148/AA12</f>
        <v>0</v>
      </c>
      <c r="AC148" s="255">
        <f t="shared" si="49"/>
        <v>0</v>
      </c>
      <c r="AD148" s="253">
        <f>AC148/AC12</f>
        <v>0</v>
      </c>
      <c r="AE148" s="44">
        <f t="shared" si="21"/>
        <v>0</v>
      </c>
      <c r="AF148" s="21">
        <f t="shared" si="22"/>
        <v>0</v>
      </c>
    </row>
    <row r="149" spans="1:32" s="1" customFormat="1" ht="15.75" thickTop="1">
      <c r="B149" s="46"/>
      <c r="C149" s="21"/>
      <c r="D149" s="241"/>
      <c r="E149" s="21"/>
      <c r="F149" s="241"/>
      <c r="G149" s="21"/>
      <c r="H149" s="241"/>
      <c r="I149" s="21"/>
      <c r="J149" s="241"/>
      <c r="K149" s="21"/>
      <c r="L149" s="241"/>
      <c r="M149" s="21"/>
      <c r="N149" s="241"/>
      <c r="O149" s="21"/>
      <c r="P149" s="241"/>
      <c r="Q149" s="21"/>
      <c r="R149" s="241"/>
      <c r="S149" s="21"/>
      <c r="T149" s="241"/>
      <c r="U149" s="21"/>
      <c r="V149" s="241"/>
      <c r="W149" s="21"/>
      <c r="X149" s="241"/>
      <c r="Y149" s="21"/>
      <c r="Z149" s="241"/>
      <c r="AA149" s="58"/>
      <c r="AB149" s="241"/>
      <c r="AC149" s="146">
        <f t="shared" si="49"/>
        <v>0</v>
      </c>
      <c r="AD149" s="241"/>
      <c r="AE149" s="44">
        <f t="shared" si="21"/>
        <v>0</v>
      </c>
      <c r="AF149" s="21">
        <f t="shared" si="22"/>
        <v>0</v>
      </c>
    </row>
    <row r="150" spans="1:32" s="1" customFormat="1" ht="15.75" thickBot="1">
      <c r="A150" s="130"/>
      <c r="B150" s="129" t="s">
        <v>161</v>
      </c>
      <c r="C150" s="130"/>
      <c r="D150" s="256"/>
      <c r="E150" s="130"/>
      <c r="F150" s="258"/>
      <c r="G150" s="130"/>
      <c r="H150" s="258"/>
      <c r="I150" s="130"/>
      <c r="J150" s="258"/>
      <c r="K150" s="130"/>
      <c r="L150" s="258"/>
      <c r="M150" s="130"/>
      <c r="N150" s="258"/>
      <c r="O150" s="130"/>
      <c r="P150" s="258"/>
      <c r="Q150" s="130"/>
      <c r="R150" s="258"/>
      <c r="S150" s="130"/>
      <c r="T150" s="258"/>
      <c r="U150" s="130"/>
      <c r="V150" s="258"/>
      <c r="W150" s="130"/>
      <c r="X150" s="258"/>
      <c r="Y150" s="130"/>
      <c r="Z150" s="258"/>
      <c r="AA150" s="257">
        <f>C150+E150+G150+I150+K150+M150+O150+Q150+S150+U150+W150+Y150</f>
        <v>0</v>
      </c>
      <c r="AB150" s="258"/>
      <c r="AC150" s="257">
        <f t="shared" si="49"/>
        <v>0</v>
      </c>
      <c r="AD150" s="258"/>
      <c r="AE150" s="44">
        <f t="shared" ref="AE150:AE152" si="51">C150+E150+G150+I150+K150+M150+O150+Q150+S150+U150+W150+Y150</f>
        <v>0</v>
      </c>
      <c r="AF150" s="21">
        <f t="shared" ref="AF150:AF152" si="52">AA150-AE150</f>
        <v>0</v>
      </c>
    </row>
    <row r="151" spans="1:32" s="1" customFormat="1" ht="15.75" thickTop="1">
      <c r="B151" s="46"/>
      <c r="C151" s="21"/>
      <c r="D151" s="241"/>
      <c r="E151" s="21"/>
      <c r="F151" s="241"/>
      <c r="G151" s="21"/>
      <c r="H151" s="241"/>
      <c r="I151" s="21"/>
      <c r="J151" s="241"/>
      <c r="K151" s="21"/>
      <c r="L151" s="241"/>
      <c r="M151" s="21"/>
      <c r="N151" s="241"/>
      <c r="O151" s="21"/>
      <c r="P151" s="241"/>
      <c r="Q151" s="21"/>
      <c r="R151" s="241"/>
      <c r="S151" s="21"/>
      <c r="T151" s="241"/>
      <c r="U151" s="21"/>
      <c r="V151" s="241"/>
      <c r="W151" s="21"/>
      <c r="X151" s="241"/>
      <c r="Y151" s="21"/>
      <c r="Z151" s="241"/>
      <c r="AA151" s="58"/>
      <c r="AB151" s="241"/>
      <c r="AC151" s="146">
        <f t="shared" si="49"/>
        <v>0</v>
      </c>
      <c r="AD151" s="241"/>
      <c r="AE151" s="44">
        <f t="shared" si="51"/>
        <v>0</v>
      </c>
      <c r="AF151" s="21">
        <f t="shared" si="52"/>
        <v>0</v>
      </c>
    </row>
    <row r="152" spans="1:32" s="1" customFormat="1" ht="15.75" thickBot="1">
      <c r="A152" s="90"/>
      <c r="B152" s="93" t="s">
        <v>148</v>
      </c>
      <c r="C152" s="97">
        <f>C146-C148-C150</f>
        <v>402470.50435792381</v>
      </c>
      <c r="D152" s="253">
        <f>C152/C12</f>
        <v>0.18631155294475862</v>
      </c>
      <c r="E152" s="97">
        <f>E146-E148-E150</f>
        <v>184015.21670864616</v>
      </c>
      <c r="F152" s="253">
        <f>E152/E12</f>
        <v>0.10949115855464385</v>
      </c>
      <c r="G152" s="97">
        <f>G146-G148-G150</f>
        <v>742806.98924086895</v>
      </c>
      <c r="H152" s="253">
        <f>G152/G12</f>
        <v>0.26644841093142435</v>
      </c>
      <c r="I152" s="307">
        <f>I146-I148-I150</f>
        <v>621941.84409726318</v>
      </c>
      <c r="J152" s="253">
        <f>I152/I12</f>
        <v>0.25265566866342098</v>
      </c>
      <c r="K152" s="97">
        <f>K146-K148-K150</f>
        <v>519361.9231787569</v>
      </c>
      <c r="L152" s="253">
        <f>K152/K12</f>
        <v>0.23068390288981791</v>
      </c>
      <c r="M152" s="97">
        <f>M146-M148-M150</f>
        <v>876877.73368017667</v>
      </c>
      <c r="N152" s="253">
        <f>M152/M12</f>
        <v>0.27467190278404452</v>
      </c>
      <c r="O152" s="97">
        <f>O146-O148-O150</f>
        <v>345064.74293748406</v>
      </c>
      <c r="P152" s="253">
        <f>O152/O12</f>
        <v>0.17072465764139319</v>
      </c>
      <c r="Q152" s="97">
        <f>Q146-Q148-Q150</f>
        <v>593675.95956416044</v>
      </c>
      <c r="R152" s="253">
        <f>Q152/Q12</f>
        <v>0.23654555463442428</v>
      </c>
      <c r="S152" s="97">
        <f>S146-S148-S150</f>
        <v>604082.36099744774</v>
      </c>
      <c r="T152" s="253">
        <f>S152/S12</f>
        <v>0.238928782721786</v>
      </c>
      <c r="U152" s="97">
        <f>U146-U148-U150</f>
        <v>354774.41177885287</v>
      </c>
      <c r="V152" s="253">
        <f>U152/U12</f>
        <v>0.17690427337864315</v>
      </c>
      <c r="W152" s="97">
        <f>W146-W148-W150</f>
        <v>380102.15002568188</v>
      </c>
      <c r="X152" s="253">
        <f>W152/W12</f>
        <v>0.18628457749493185</v>
      </c>
      <c r="Y152" s="97">
        <f>Y146-Y148-Y150</f>
        <v>819917.37863327982</v>
      </c>
      <c r="Z152" s="253">
        <f>Y152/Y12</f>
        <v>0.2659983456578679</v>
      </c>
      <c r="AA152" s="259">
        <f>AA146-AA148-AA150</f>
        <v>6445091.2152005415</v>
      </c>
      <c r="AB152" s="253">
        <f>AA152/AA12</f>
        <v>0.22439810456002462</v>
      </c>
      <c r="AC152" s="260">
        <f t="shared" si="49"/>
        <v>537090.93460004509</v>
      </c>
      <c r="AD152" s="253">
        <f>AC152/AC12</f>
        <v>0.22439810456002457</v>
      </c>
      <c r="AE152" s="44">
        <f t="shared" si="51"/>
        <v>6445091.2152005434</v>
      </c>
      <c r="AF152" s="21">
        <f t="shared" si="52"/>
        <v>0</v>
      </c>
    </row>
    <row r="153" spans="1:32" s="1" customFormat="1" ht="15.75" thickTop="1">
      <c r="C153" s="44">
        <v>248533.6</v>
      </c>
      <c r="D153" s="14"/>
      <c r="E153" s="44">
        <v>178657.73</v>
      </c>
      <c r="F153" s="14"/>
      <c r="G153" s="44">
        <v>156051.10999999999</v>
      </c>
      <c r="H153" s="14"/>
      <c r="I153" s="308">
        <v>1005176.54</v>
      </c>
      <c r="J153" s="14"/>
      <c r="K153" s="21">
        <v>890452.18</v>
      </c>
      <c r="L153" s="14"/>
      <c r="M153" s="44">
        <v>750595.13</v>
      </c>
      <c r="N153" s="14"/>
      <c r="O153" s="21">
        <v>1015347.86</v>
      </c>
      <c r="P153" s="261"/>
      <c r="Q153" s="21">
        <v>-329628.11</v>
      </c>
      <c r="R153" s="261"/>
      <c r="S153" s="21"/>
      <c r="T153" s="261"/>
      <c r="U153" s="44"/>
      <c r="V153" s="261"/>
      <c r="W153" s="44"/>
      <c r="X153" s="261"/>
      <c r="Y153" s="44"/>
      <c r="Z153" s="261"/>
      <c r="AA153" s="58"/>
      <c r="AB153" s="145"/>
      <c r="AC153" s="146"/>
      <c r="AD153" s="147"/>
      <c r="AF153" s="21"/>
    </row>
    <row r="154" spans="1:32" s="1" customFormat="1">
      <c r="C154" s="44">
        <f>C152</f>
        <v>402470.50435792381</v>
      </c>
      <c r="D154" s="14"/>
      <c r="E154" s="44">
        <f>C154+E152</f>
        <v>586485.72106656991</v>
      </c>
      <c r="F154" s="14"/>
      <c r="G154" s="44">
        <f>E154+G152</f>
        <v>1329292.7103074389</v>
      </c>
      <c r="H154" s="14"/>
      <c r="I154" s="44">
        <f>G154+I152</f>
        <v>1951234.554404702</v>
      </c>
      <c r="J154" s="14"/>
      <c r="K154" s="44">
        <f>I154+K152</f>
        <v>2470596.4775834591</v>
      </c>
      <c r="L154" s="14"/>
      <c r="M154" s="44">
        <f>K154+M152</f>
        <v>3347474.2112636357</v>
      </c>
      <c r="N154" s="14"/>
      <c r="O154" s="44">
        <f>M154+O152</f>
        <v>3692538.95420112</v>
      </c>
      <c r="P154" s="261"/>
      <c r="Q154" s="44">
        <f>O154+Q152</f>
        <v>4286214.9137652805</v>
      </c>
      <c r="R154" s="261"/>
      <c r="S154" s="44">
        <f>Q154+S152</f>
        <v>4890297.2747627283</v>
      </c>
      <c r="T154" s="261"/>
      <c r="U154" s="44">
        <f>S154+U152</f>
        <v>5245071.6865415815</v>
      </c>
      <c r="V154" s="261"/>
      <c r="W154" s="44">
        <f>U154+W152</f>
        <v>5625173.8365672631</v>
      </c>
      <c r="X154" s="261"/>
      <c r="Y154" s="44">
        <f>W154+Y152</f>
        <v>6445091.2152005434</v>
      </c>
      <c r="Z154" s="261"/>
      <c r="AA154" s="287">
        <f>AA145/50%</f>
        <v>18727570.732353769</v>
      </c>
      <c r="AB154" s="145"/>
      <c r="AC154" s="146"/>
      <c r="AD154" s="147"/>
      <c r="AF154" s="21"/>
    </row>
    <row r="155" spans="1:32" s="1" customFormat="1">
      <c r="C155" s="44"/>
      <c r="D155" s="14"/>
      <c r="E155" s="44"/>
      <c r="F155" s="14"/>
      <c r="G155" s="124">
        <v>-2084650.23</v>
      </c>
      <c r="H155" s="14"/>
      <c r="I155" s="44"/>
      <c r="J155" s="14"/>
      <c r="K155" s="21"/>
      <c r="L155" s="14"/>
      <c r="M155" s="44"/>
      <c r="N155" s="14"/>
      <c r="O155" s="21"/>
      <c r="P155" s="261"/>
      <c r="Q155" s="21"/>
      <c r="R155" s="261"/>
      <c r="S155" s="21"/>
      <c r="T155" s="261"/>
      <c r="U155" s="44"/>
      <c r="V155" s="261"/>
      <c r="W155" s="44"/>
      <c r="X155" s="261"/>
      <c r="Y155" s="44"/>
      <c r="Z155" s="261"/>
      <c r="AA155" s="5"/>
      <c r="AB155" s="144"/>
      <c r="AC155" s="5"/>
      <c r="AD155" s="144"/>
      <c r="AF155" s="21"/>
    </row>
    <row r="156" spans="1:32">
      <c r="I156" s="100">
        <v>-2972462.2</v>
      </c>
      <c r="M156" s="100"/>
      <c r="O156" s="20">
        <f>O145-O142</f>
        <v>637194.6383758625</v>
      </c>
      <c r="AA156" s="20"/>
    </row>
    <row r="157" spans="1:32">
      <c r="M157" s="100"/>
      <c r="O157" s="20">
        <f>O152+O142</f>
        <v>472685.74293748406</v>
      </c>
      <c r="S157" s="20">
        <v>12861</v>
      </c>
    </row>
    <row r="158" spans="1:32">
      <c r="M158" s="100"/>
      <c r="AA158" s="122">
        <f>AA16</f>
        <v>28721682.966446426</v>
      </c>
    </row>
    <row r="159" spans="1:32">
      <c r="M159" s="100"/>
      <c r="AA159" s="100"/>
    </row>
    <row r="160" spans="1:32">
      <c r="M160" s="100"/>
    </row>
    <row r="161" spans="13:13">
      <c r="M161" s="100"/>
    </row>
    <row r="162" spans="13:13">
      <c r="M162" s="100"/>
    </row>
    <row r="163" spans="13:13">
      <c r="M163" s="100"/>
    </row>
    <row r="164" spans="13:13">
      <c r="M164" s="100"/>
    </row>
    <row r="165" spans="13:13">
      <c r="M165" s="100"/>
    </row>
    <row r="166" spans="13:13">
      <c r="M166" s="100"/>
    </row>
    <row r="167" spans="13:13">
      <c r="M167" s="100"/>
    </row>
    <row r="168" spans="13:13">
      <c r="M168" s="100"/>
    </row>
    <row r="169" spans="13:13">
      <c r="M169" s="100"/>
    </row>
  </sheetData>
  <mergeCells count="1">
    <mergeCell ref="A1:AD1"/>
  </mergeCells>
  <conditionalFormatting sqref="Q146 W146">
    <cfRule type="cellIs" dxfId="3" priority="4" operator="lessThan">
      <formula>0</formula>
    </cfRule>
  </conditionalFormatting>
  <conditionalFormatting sqref="Q146 W146">
    <cfRule type="cellIs" dxfId="2" priority="2" operator="lessThan">
      <formula>0</formula>
    </cfRule>
  </conditionalFormatting>
  <conditionalFormatting sqref="Q146 W146">
    <cfRule type="cellIs" dxfId="1" priority="1" operator="lessThan">
      <formula>0</formula>
    </cfRule>
  </conditionalFormatting>
  <pageMargins left="0.7" right="0.7" top="0.75" bottom="0.75" header="0.3" footer="0.3"/>
  <pageSetup paperSize="8" scale="55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54"/>
  <sheetViews>
    <sheetView zoomScale="85" zoomScaleNormal="85" workbookViewId="0">
      <pane xSplit="2" ySplit="4" topLeftCell="T5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ColWidth="9.140625" defaultRowHeight="15"/>
  <cols>
    <col min="1" max="1" width="6.42578125" style="84" bestFit="1" customWidth="1"/>
    <col min="2" max="2" width="38.42578125" style="84" bestFit="1" customWidth="1"/>
    <col min="3" max="3" width="13.28515625" style="100" bestFit="1" customWidth="1"/>
    <col min="4" max="4" width="7.140625" style="84" bestFit="1" customWidth="1"/>
    <col min="5" max="5" width="13.28515625" style="100" bestFit="1" customWidth="1"/>
    <col min="6" max="6" width="7.85546875" style="84" bestFit="1" customWidth="1"/>
    <col min="7" max="7" width="13.28515625" style="100" bestFit="1" customWidth="1"/>
    <col min="8" max="8" width="7.85546875" style="84" bestFit="1" customWidth="1"/>
    <col min="9" max="9" width="13.42578125" style="100" bestFit="1" customWidth="1"/>
    <col min="10" max="10" width="7.5703125" style="84" customWidth="1"/>
    <col min="11" max="11" width="13.28515625" style="20" bestFit="1" customWidth="1"/>
    <col min="12" max="12" width="8.28515625" style="84" customWidth="1"/>
    <col min="13" max="13" width="14" style="20" bestFit="1" customWidth="1"/>
    <col min="14" max="14" width="8.140625" style="84" bestFit="1" customWidth="1"/>
    <col min="15" max="15" width="14" style="20" bestFit="1" customWidth="1"/>
    <col min="16" max="16" width="7.85546875" style="278" bestFit="1" customWidth="1"/>
    <col min="17" max="17" width="14" style="20" bestFit="1" customWidth="1"/>
    <col min="18" max="18" width="7.140625" style="278" bestFit="1" customWidth="1"/>
    <col min="19" max="19" width="14" style="20" bestFit="1" customWidth="1"/>
    <col min="20" max="20" width="7.5703125" style="278" customWidth="1"/>
    <col min="21" max="21" width="14" style="100" bestFit="1" customWidth="1"/>
    <col min="22" max="22" width="7.7109375" style="278" bestFit="1" customWidth="1"/>
    <col min="23" max="23" width="14" style="100" bestFit="1" customWidth="1"/>
    <col min="24" max="24" width="7.140625" style="278" bestFit="1" customWidth="1"/>
    <col min="25" max="25" width="14" style="100" bestFit="1" customWidth="1"/>
    <col min="26" max="26" width="7.140625" style="278" bestFit="1" customWidth="1"/>
    <col min="27" max="27" width="14.28515625" style="84" bestFit="1" customWidth="1"/>
    <col min="28" max="28" width="7.85546875" style="278" bestFit="1" customWidth="1"/>
    <col min="29" max="29" width="12" style="84" bestFit="1" customWidth="1"/>
    <col min="30" max="30" width="7.85546875" style="278" bestFit="1" customWidth="1"/>
    <col min="31" max="31" width="14" style="84" hidden="1" customWidth="1"/>
    <col min="32" max="32" width="15.28515625" style="20" hidden="1" customWidth="1"/>
    <col min="33" max="33" width="9.140625" style="84"/>
    <col min="34" max="34" width="13.28515625" style="84" bestFit="1" customWidth="1"/>
    <col min="35" max="16384" width="9.140625" style="84"/>
  </cols>
  <sheetData>
    <row r="1" spans="1:34" s="132" customFormat="1">
      <c r="A1" s="343" t="s">
        <v>168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4"/>
      <c r="AE1" s="1"/>
      <c r="AF1" s="21"/>
      <c r="AG1" s="132" t="s">
        <v>202</v>
      </c>
    </row>
    <row r="2" spans="1:34" s="1" customFormat="1">
      <c r="A2" s="22"/>
      <c r="B2" s="22"/>
      <c r="C2" s="133" t="s">
        <v>64</v>
      </c>
      <c r="D2" s="134"/>
      <c r="E2" s="133" t="s">
        <v>65</v>
      </c>
      <c r="F2" s="134"/>
      <c r="G2" s="133" t="s">
        <v>81</v>
      </c>
      <c r="H2" s="134"/>
      <c r="I2" s="133" t="s">
        <v>82</v>
      </c>
      <c r="J2" s="134"/>
      <c r="K2" s="133" t="s">
        <v>83</v>
      </c>
      <c r="L2" s="134"/>
      <c r="M2" s="133" t="s">
        <v>84</v>
      </c>
      <c r="N2" s="301"/>
      <c r="O2" s="133" t="s">
        <v>85</v>
      </c>
      <c r="P2" s="134"/>
      <c r="Q2" s="133" t="s">
        <v>86</v>
      </c>
      <c r="R2" s="301"/>
      <c r="S2" s="301" t="s">
        <v>87</v>
      </c>
      <c r="T2" s="301"/>
      <c r="U2" s="133" t="s">
        <v>112</v>
      </c>
      <c r="V2" s="134"/>
      <c r="W2" s="133" t="s">
        <v>113</v>
      </c>
      <c r="X2" s="301"/>
      <c r="Y2" s="301" t="s">
        <v>114</v>
      </c>
      <c r="Z2" s="301"/>
      <c r="AA2" s="300" t="s">
        <v>109</v>
      </c>
      <c r="AB2" s="300"/>
      <c r="AC2" s="135" t="s">
        <v>110</v>
      </c>
      <c r="AD2" s="135"/>
      <c r="AE2" s="262"/>
      <c r="AF2" s="263"/>
    </row>
    <row r="3" spans="1:34" s="1" customFormat="1" ht="15.75" thickBot="1">
      <c r="A3" s="27"/>
      <c r="B3" s="136" t="s">
        <v>69</v>
      </c>
      <c r="C3" s="137" t="s">
        <v>95</v>
      </c>
      <c r="D3" s="138" t="s">
        <v>80</v>
      </c>
      <c r="E3" s="137" t="s">
        <v>95</v>
      </c>
      <c r="F3" s="138" t="s">
        <v>80</v>
      </c>
      <c r="G3" s="137" t="s">
        <v>95</v>
      </c>
      <c r="H3" s="138" t="s">
        <v>80</v>
      </c>
      <c r="I3" s="137" t="s">
        <v>95</v>
      </c>
      <c r="J3" s="138" t="s">
        <v>80</v>
      </c>
      <c r="K3" s="137" t="s">
        <v>95</v>
      </c>
      <c r="L3" s="138" t="s">
        <v>80</v>
      </c>
      <c r="M3" s="137" t="s">
        <v>95</v>
      </c>
      <c r="N3" s="138" t="s">
        <v>80</v>
      </c>
      <c r="O3" s="137" t="s">
        <v>95</v>
      </c>
      <c r="P3" s="139" t="s">
        <v>80</v>
      </c>
      <c r="Q3" s="137" t="s">
        <v>95</v>
      </c>
      <c r="R3" s="139" t="s">
        <v>80</v>
      </c>
      <c r="S3" s="137" t="s">
        <v>95</v>
      </c>
      <c r="T3" s="139" t="s">
        <v>80</v>
      </c>
      <c r="U3" s="137" t="s">
        <v>95</v>
      </c>
      <c r="V3" s="139" t="s">
        <v>80</v>
      </c>
      <c r="W3" s="137" t="s">
        <v>95</v>
      </c>
      <c r="X3" s="139" t="s">
        <v>80</v>
      </c>
      <c r="Y3" s="137" t="s">
        <v>95</v>
      </c>
      <c r="Z3" s="139" t="s">
        <v>80</v>
      </c>
      <c r="AA3" s="137" t="s">
        <v>95</v>
      </c>
      <c r="AB3" s="140" t="s">
        <v>80</v>
      </c>
      <c r="AC3" s="137" t="s">
        <v>95</v>
      </c>
      <c r="AD3" s="141" t="s">
        <v>80</v>
      </c>
      <c r="AF3" s="21"/>
    </row>
    <row r="4" spans="1:34" s="1" customFormat="1">
      <c r="B4" s="14"/>
      <c r="C4" s="41"/>
      <c r="D4" s="142"/>
      <c r="E4" s="143"/>
      <c r="F4" s="142"/>
      <c r="G4" s="41"/>
      <c r="H4" s="142"/>
      <c r="I4" s="41"/>
      <c r="J4" s="142"/>
      <c r="K4" s="16"/>
      <c r="L4" s="142"/>
      <c r="M4" s="16"/>
      <c r="N4" s="142"/>
      <c r="O4" s="16"/>
      <c r="P4" s="144"/>
      <c r="Q4" s="16"/>
      <c r="R4" s="144"/>
      <c r="S4" s="16"/>
      <c r="T4" s="144"/>
      <c r="U4" s="41"/>
      <c r="V4" s="144"/>
      <c r="W4" s="41"/>
      <c r="X4" s="144"/>
      <c r="Y4" s="41"/>
      <c r="Z4" s="144"/>
      <c r="AA4" s="58"/>
      <c r="AB4" s="145"/>
      <c r="AC4" s="146"/>
      <c r="AD4" s="147"/>
      <c r="AF4" s="21"/>
    </row>
    <row r="5" spans="1:34" s="1" customFormat="1">
      <c r="A5" s="148">
        <v>5004</v>
      </c>
      <c r="B5" s="149" t="s">
        <v>71</v>
      </c>
      <c r="C5" s="150">
        <v>6478913</v>
      </c>
      <c r="D5" s="151"/>
      <c r="E5" s="152">
        <v>5123948</v>
      </c>
      <c r="F5" s="151"/>
      <c r="G5" s="150">
        <v>4826784</v>
      </c>
      <c r="H5" s="151"/>
      <c r="I5" s="150">
        <v>8987795</v>
      </c>
      <c r="J5" s="151"/>
      <c r="K5" s="153">
        <v>6224719</v>
      </c>
      <c r="L5" s="151"/>
      <c r="M5" s="152">
        <v>3489000</v>
      </c>
      <c r="N5" s="151"/>
      <c r="O5" s="153">
        <v>9842749</v>
      </c>
      <c r="P5" s="151"/>
      <c r="Q5" s="153">
        <v>3815351</v>
      </c>
      <c r="R5" s="151"/>
      <c r="S5" s="153">
        <v>5635584</v>
      </c>
      <c r="T5" s="151"/>
      <c r="U5" s="153">
        <v>5011894.1939662956</v>
      </c>
      <c r="V5" s="151"/>
      <c r="W5" s="153">
        <v>1457118.1945620663</v>
      </c>
      <c r="X5" s="151"/>
      <c r="Y5" s="153">
        <v>3764524.5375287943</v>
      </c>
      <c r="Z5" s="151">
        <v>0</v>
      </c>
      <c r="AA5" s="154">
        <f t="shared" ref="AA5:AA11" si="0">C5+E5+G5+I5+K5+M5+O5+Q5+S5+U5+W5+Y5</f>
        <v>64658379.92605716</v>
      </c>
      <c r="AB5" s="151">
        <v>0</v>
      </c>
      <c r="AC5" s="154">
        <f>AA5/7</f>
        <v>9236911.4180081654</v>
      </c>
      <c r="AD5" s="151">
        <v>0</v>
      </c>
      <c r="AE5" s="44">
        <f>C5+E5+G5+I5+K5+M5+O5+Q5+S5+U5+W5+Y5</f>
        <v>64658379.92605716</v>
      </c>
      <c r="AF5" s="21">
        <f>AA5-AE5</f>
        <v>0</v>
      </c>
    </row>
    <row r="6" spans="1:34" s="1" customFormat="1">
      <c r="A6" s="1">
        <v>5005</v>
      </c>
      <c r="B6" s="14" t="s">
        <v>67</v>
      </c>
      <c r="C6" s="155"/>
      <c r="D6" s="156"/>
      <c r="E6" s="157"/>
      <c r="F6" s="156"/>
      <c r="G6" s="158"/>
      <c r="H6" s="159">
        <f>G6/G$5</f>
        <v>0</v>
      </c>
      <c r="I6" s="158"/>
      <c r="J6" s="159">
        <f>I6/I$5</f>
        <v>0</v>
      </c>
      <c r="K6" s="16"/>
      <c r="L6" s="159">
        <f>K6/K$5</f>
        <v>0</v>
      </c>
      <c r="M6" s="157"/>
      <c r="N6" s="159">
        <f>M6/M$5</f>
        <v>0</v>
      </c>
      <c r="O6" s="19"/>
      <c r="P6" s="159">
        <f>O6/O$5</f>
        <v>0</v>
      </c>
      <c r="Q6" s="19"/>
      <c r="R6" s="159">
        <f>Q6/Q$5</f>
        <v>0</v>
      </c>
      <c r="S6" s="16"/>
      <c r="T6" s="159">
        <f>S6/S$5</f>
        <v>0</v>
      </c>
      <c r="U6" s="155"/>
      <c r="V6" s="159">
        <f>U6/U$5</f>
        <v>0</v>
      </c>
      <c r="W6" s="155"/>
      <c r="X6" s="159">
        <f>W6/W$5</f>
        <v>0</v>
      </c>
      <c r="Y6" s="158"/>
      <c r="Z6" s="159">
        <f>Y6/Y$5</f>
        <v>0</v>
      </c>
      <c r="AA6" s="59">
        <f t="shared" si="0"/>
        <v>0</v>
      </c>
      <c r="AB6" s="159">
        <f>AA6/AA$5</f>
        <v>0</v>
      </c>
      <c r="AC6" s="160">
        <f t="shared" ref="AC6:AC69" si="1">AA6/7</f>
        <v>0</v>
      </c>
      <c r="AD6" s="159">
        <f>AC6/AC$5</f>
        <v>0</v>
      </c>
      <c r="AE6" s="44">
        <f t="shared" ref="AE6:AE69" si="2">C6+E6+G6+I6+K6+M6+O6+Q6+S6+U6+W6+Y6</f>
        <v>0</v>
      </c>
      <c r="AF6" s="21">
        <f t="shared" ref="AF6:AF69" si="3">AA6-AE6</f>
        <v>0</v>
      </c>
    </row>
    <row r="7" spans="1:34" s="1" customFormat="1">
      <c r="A7" s="11">
        <v>5051</v>
      </c>
      <c r="B7" s="161" t="s">
        <v>74</v>
      </c>
      <c r="C7" s="155"/>
      <c r="D7" s="159">
        <f>C7/C$5</f>
        <v>0</v>
      </c>
      <c r="E7" s="162"/>
      <c r="F7" s="159">
        <f>E7/E$5</f>
        <v>0</v>
      </c>
      <c r="G7" s="163"/>
      <c r="H7" s="159">
        <f t="shared" ref="H7:H11" si="4">G7/G$5</f>
        <v>0</v>
      </c>
      <c r="I7" s="163"/>
      <c r="J7" s="159">
        <f t="shared" ref="J7:J11" si="5">I7/I$5</f>
        <v>0</v>
      </c>
      <c r="K7" s="19"/>
      <c r="L7" s="159">
        <f t="shared" ref="L7:L11" si="6">K7/K$5</f>
        <v>0</v>
      </c>
      <c r="M7" s="162"/>
      <c r="N7" s="159">
        <f t="shared" ref="N7:T11" si="7">M7/M$5</f>
        <v>0</v>
      </c>
      <c r="O7" s="19"/>
      <c r="P7" s="159">
        <f t="shared" si="7"/>
        <v>0</v>
      </c>
      <c r="Q7" s="19"/>
      <c r="R7" s="159">
        <f t="shared" si="7"/>
        <v>0</v>
      </c>
      <c r="S7" s="19"/>
      <c r="T7" s="159">
        <f t="shared" si="7"/>
        <v>0</v>
      </c>
      <c r="U7" s="155"/>
      <c r="V7" s="159">
        <f t="shared" ref="V7:V11" si="8">U7/U$5</f>
        <v>0</v>
      </c>
      <c r="W7" s="155"/>
      <c r="X7" s="159">
        <f t="shared" ref="X7:X11" si="9">W7/W$5</f>
        <v>0</v>
      </c>
      <c r="Y7" s="155"/>
      <c r="Z7" s="159">
        <f t="shared" ref="Z7:Z11" si="10">Y7/Y$5</f>
        <v>0</v>
      </c>
      <c r="AA7" s="59">
        <f t="shared" si="0"/>
        <v>0</v>
      </c>
      <c r="AB7" s="159">
        <f t="shared" ref="AB7:AB11" si="11">AA7/AA$5</f>
        <v>0</v>
      </c>
      <c r="AC7" s="160">
        <f t="shared" si="1"/>
        <v>0</v>
      </c>
      <c r="AD7" s="159">
        <f t="shared" ref="AD7:AD11" si="12">AC7/AC$5</f>
        <v>0</v>
      </c>
      <c r="AE7" s="44">
        <f t="shared" si="2"/>
        <v>0</v>
      </c>
      <c r="AF7" s="21">
        <f t="shared" si="3"/>
        <v>0</v>
      </c>
    </row>
    <row r="8" spans="1:34" s="1" customFormat="1">
      <c r="A8" s="1">
        <v>5052</v>
      </c>
      <c r="B8" s="1" t="s">
        <v>90</v>
      </c>
      <c r="C8" s="19"/>
      <c r="D8" s="159">
        <f>C8/C$5</f>
        <v>0</v>
      </c>
      <c r="E8" s="16"/>
      <c r="F8" s="159">
        <f>E8/E$5</f>
        <v>0</v>
      </c>
      <c r="G8" s="16"/>
      <c r="H8" s="159">
        <f t="shared" si="4"/>
        <v>0</v>
      </c>
      <c r="I8" s="16"/>
      <c r="J8" s="159">
        <f t="shared" si="5"/>
        <v>0</v>
      </c>
      <c r="K8" s="16"/>
      <c r="L8" s="159">
        <f t="shared" si="6"/>
        <v>0</v>
      </c>
      <c r="M8" s="16"/>
      <c r="N8" s="159">
        <f t="shared" si="7"/>
        <v>0</v>
      </c>
      <c r="O8" s="16"/>
      <c r="P8" s="159">
        <f t="shared" si="7"/>
        <v>0</v>
      </c>
      <c r="Q8" s="16"/>
      <c r="R8" s="159">
        <f t="shared" si="7"/>
        <v>0</v>
      </c>
      <c r="S8" s="16"/>
      <c r="T8" s="159">
        <f t="shared" si="7"/>
        <v>0</v>
      </c>
      <c r="U8" s="16"/>
      <c r="V8" s="159">
        <f t="shared" si="8"/>
        <v>0</v>
      </c>
      <c r="W8" s="16"/>
      <c r="X8" s="159">
        <f t="shared" si="9"/>
        <v>0</v>
      </c>
      <c r="Y8" s="16"/>
      <c r="Z8" s="159">
        <f t="shared" si="10"/>
        <v>0</v>
      </c>
      <c r="AA8" s="59">
        <f t="shared" si="0"/>
        <v>0</v>
      </c>
      <c r="AB8" s="159">
        <f t="shared" si="11"/>
        <v>0</v>
      </c>
      <c r="AC8" s="160">
        <f t="shared" si="1"/>
        <v>0</v>
      </c>
      <c r="AD8" s="159">
        <f t="shared" si="12"/>
        <v>0</v>
      </c>
      <c r="AE8" s="44">
        <f t="shared" si="2"/>
        <v>0</v>
      </c>
      <c r="AF8" s="21">
        <f t="shared" si="3"/>
        <v>0</v>
      </c>
    </row>
    <row r="9" spans="1:34" s="1" customFormat="1">
      <c r="A9" s="1">
        <v>5101</v>
      </c>
      <c r="B9" s="14" t="s">
        <v>46</v>
      </c>
      <c r="C9" s="19">
        <v>6478913</v>
      </c>
      <c r="D9" s="28"/>
      <c r="E9" s="16">
        <v>5123948</v>
      </c>
      <c r="F9" s="28"/>
      <c r="G9" s="16">
        <v>4826784</v>
      </c>
      <c r="H9" s="28"/>
      <c r="I9" s="16">
        <v>8987795</v>
      </c>
      <c r="J9" s="28"/>
      <c r="K9" s="16">
        <v>6224719</v>
      </c>
      <c r="L9" s="28"/>
      <c r="M9" s="16">
        <v>3489000</v>
      </c>
      <c r="N9" s="28"/>
      <c r="O9" s="16">
        <v>9842749</v>
      </c>
      <c r="P9" s="28"/>
      <c r="Q9" s="16">
        <v>3815351</v>
      </c>
      <c r="R9" s="28"/>
      <c r="S9" s="16">
        <v>5635584</v>
      </c>
      <c r="T9" s="28"/>
      <c r="U9" s="16">
        <v>5011894.1939662956</v>
      </c>
      <c r="V9" s="28"/>
      <c r="W9" s="16">
        <v>1457118.1945620663</v>
      </c>
      <c r="X9" s="28"/>
      <c r="Y9" s="16">
        <v>3764524.5375287943</v>
      </c>
      <c r="Z9" s="28"/>
      <c r="AA9" s="59">
        <f t="shared" si="0"/>
        <v>64658379.92605716</v>
      </c>
      <c r="AB9" s="159">
        <f t="shared" si="11"/>
        <v>1</v>
      </c>
      <c r="AC9" s="160">
        <f t="shared" si="1"/>
        <v>9236911.4180081654</v>
      </c>
      <c r="AD9" s="159">
        <f t="shared" si="12"/>
        <v>1</v>
      </c>
      <c r="AE9" s="44">
        <f t="shared" si="2"/>
        <v>64658379.92605716</v>
      </c>
      <c r="AF9" s="21">
        <f t="shared" si="3"/>
        <v>0</v>
      </c>
    </row>
    <row r="10" spans="1:34" s="1" customFormat="1">
      <c r="A10" s="1">
        <v>5102</v>
      </c>
      <c r="B10" s="1" t="s">
        <v>159</v>
      </c>
      <c r="C10" s="19"/>
      <c r="D10" s="28">
        <f t="shared" ref="D10:D11" si="13">C10/C$5</f>
        <v>0</v>
      </c>
      <c r="E10" s="16"/>
      <c r="F10" s="28">
        <f t="shared" ref="F10:F11" si="14">E10/E$5</f>
        <v>0</v>
      </c>
      <c r="G10" s="16"/>
      <c r="H10" s="159">
        <f t="shared" si="4"/>
        <v>0</v>
      </c>
      <c r="I10" s="16"/>
      <c r="J10" s="159">
        <f t="shared" si="5"/>
        <v>0</v>
      </c>
      <c r="K10" s="16"/>
      <c r="L10" s="159">
        <f t="shared" si="6"/>
        <v>0</v>
      </c>
      <c r="M10" s="16"/>
      <c r="N10" s="159">
        <f t="shared" si="7"/>
        <v>0</v>
      </c>
      <c r="O10" s="16"/>
      <c r="P10" s="159">
        <f t="shared" si="7"/>
        <v>0</v>
      </c>
      <c r="Q10" s="16"/>
      <c r="R10" s="159">
        <f t="shared" si="7"/>
        <v>0</v>
      </c>
      <c r="S10" s="16"/>
      <c r="T10" s="159">
        <f t="shared" si="7"/>
        <v>0</v>
      </c>
      <c r="U10" s="16"/>
      <c r="V10" s="159">
        <f t="shared" si="8"/>
        <v>0</v>
      </c>
      <c r="W10" s="16"/>
      <c r="X10" s="159">
        <f t="shared" si="9"/>
        <v>0</v>
      </c>
      <c r="Y10" s="16">
        <v>0</v>
      </c>
      <c r="Z10" s="159">
        <f t="shared" si="10"/>
        <v>0</v>
      </c>
      <c r="AA10" s="59">
        <f t="shared" si="0"/>
        <v>0</v>
      </c>
      <c r="AB10" s="159">
        <f t="shared" si="11"/>
        <v>0</v>
      </c>
      <c r="AC10" s="160">
        <f t="shared" si="1"/>
        <v>0</v>
      </c>
      <c r="AD10" s="159">
        <f t="shared" si="12"/>
        <v>0</v>
      </c>
      <c r="AE10" s="44">
        <f t="shared" si="2"/>
        <v>0</v>
      </c>
      <c r="AF10" s="21">
        <f t="shared" si="3"/>
        <v>0</v>
      </c>
    </row>
    <row r="11" spans="1:34" s="1" customFormat="1">
      <c r="A11" s="1">
        <v>5103</v>
      </c>
      <c r="B11" s="1" t="s">
        <v>63</v>
      </c>
      <c r="C11" s="16"/>
      <c r="D11" s="28">
        <f t="shared" si="13"/>
        <v>0</v>
      </c>
      <c r="E11" s="17"/>
      <c r="F11" s="28">
        <f t="shared" si="14"/>
        <v>0</v>
      </c>
      <c r="G11" s="16"/>
      <c r="H11" s="159">
        <f t="shared" si="4"/>
        <v>0</v>
      </c>
      <c r="I11" s="16"/>
      <c r="J11" s="159">
        <f t="shared" si="5"/>
        <v>0</v>
      </c>
      <c r="K11" s="16"/>
      <c r="L11" s="159">
        <f t="shared" si="6"/>
        <v>0</v>
      </c>
      <c r="M11" s="17"/>
      <c r="N11" s="159">
        <f t="shared" si="7"/>
        <v>0</v>
      </c>
      <c r="O11" s="16"/>
      <c r="P11" s="159">
        <f t="shared" si="7"/>
        <v>0</v>
      </c>
      <c r="Q11" s="16"/>
      <c r="R11" s="159">
        <f t="shared" si="7"/>
        <v>0</v>
      </c>
      <c r="S11" s="16"/>
      <c r="T11" s="159">
        <f t="shared" si="7"/>
        <v>0</v>
      </c>
      <c r="U11" s="16"/>
      <c r="V11" s="159">
        <f t="shared" si="8"/>
        <v>0</v>
      </c>
      <c r="W11" s="16"/>
      <c r="X11" s="159">
        <f t="shared" si="9"/>
        <v>0</v>
      </c>
      <c r="Y11" s="16"/>
      <c r="Z11" s="159">
        <f t="shared" si="10"/>
        <v>0</v>
      </c>
      <c r="AA11" s="59">
        <f t="shared" si="0"/>
        <v>0</v>
      </c>
      <c r="AB11" s="159">
        <f t="shared" si="11"/>
        <v>0</v>
      </c>
      <c r="AC11" s="160">
        <f t="shared" si="1"/>
        <v>0</v>
      </c>
      <c r="AD11" s="159">
        <f t="shared" si="12"/>
        <v>0</v>
      </c>
      <c r="AE11" s="44">
        <f t="shared" si="2"/>
        <v>0</v>
      </c>
      <c r="AF11" s="21">
        <f t="shared" si="3"/>
        <v>0</v>
      </c>
    </row>
    <row r="12" spans="1:34" s="1" customFormat="1" ht="15.75" thickBot="1">
      <c r="A12" s="164">
        <v>5149</v>
      </c>
      <c r="B12" s="165" t="s">
        <v>66</v>
      </c>
      <c r="C12" s="166">
        <f>C5+C6-C7-C8-C9-C10+C11</f>
        <v>0</v>
      </c>
      <c r="D12" s="167">
        <v>1</v>
      </c>
      <c r="E12" s="166">
        <f>E5+E6-E7-E8-E9-E10+E11</f>
        <v>0</v>
      </c>
      <c r="F12" s="167">
        <v>1</v>
      </c>
      <c r="G12" s="168">
        <f>G5+G6-G7-G8-G9-G10+G11</f>
        <v>0</v>
      </c>
      <c r="H12" s="167">
        <v>1</v>
      </c>
      <c r="I12" s="166">
        <f>I5+I6-I7-I8-I9-I10+I11</f>
        <v>0</v>
      </c>
      <c r="J12" s="167">
        <v>1</v>
      </c>
      <c r="K12" s="166">
        <f>K5+K6-K7-K8-K9-K10+K11</f>
        <v>0</v>
      </c>
      <c r="L12" s="167">
        <v>1</v>
      </c>
      <c r="M12" s="166">
        <f>M5+M6-M7-M8-M9-M10+M11</f>
        <v>0</v>
      </c>
      <c r="N12" s="167">
        <v>1</v>
      </c>
      <c r="O12" s="166">
        <f>O5+O6-O7-O8-O9-O10+O11</f>
        <v>0</v>
      </c>
      <c r="P12" s="167">
        <v>1</v>
      </c>
      <c r="Q12" s="166">
        <f>Q5+Q6-Q7-Q8-Q9-Q10+Q11</f>
        <v>0</v>
      </c>
      <c r="R12" s="167">
        <v>1</v>
      </c>
      <c r="S12" s="166">
        <f>S5+S6-S7-S8-S9-S10+S11</f>
        <v>0</v>
      </c>
      <c r="T12" s="167">
        <v>1</v>
      </c>
      <c r="U12" s="166">
        <f>U5+U6-U7-U8-U9-U10+U11</f>
        <v>0</v>
      </c>
      <c r="V12" s="167">
        <v>1</v>
      </c>
      <c r="W12" s="166">
        <f>W5+W6-W7-W8-W9-W10+W11</f>
        <v>0</v>
      </c>
      <c r="X12" s="167">
        <v>1</v>
      </c>
      <c r="Y12" s="166">
        <f>Y5+Y6-Y7-Y8-Y9-Y10+Y11</f>
        <v>0</v>
      </c>
      <c r="Z12" s="167">
        <v>1</v>
      </c>
      <c r="AA12" s="23">
        <f>AA5+AA6-AA7-AA8-AA9-AA10+AA11</f>
        <v>0</v>
      </c>
      <c r="AB12" s="167">
        <v>1</v>
      </c>
      <c r="AC12" s="23">
        <f t="shared" si="1"/>
        <v>0</v>
      </c>
      <c r="AD12" s="167">
        <v>1</v>
      </c>
      <c r="AE12" s="44">
        <f t="shared" si="2"/>
        <v>0</v>
      </c>
      <c r="AF12" s="21">
        <f t="shared" si="3"/>
        <v>0</v>
      </c>
    </row>
    <row r="13" spans="1:34" s="1" customFormat="1" ht="15.75" thickTop="1">
      <c r="A13" s="1">
        <v>5151</v>
      </c>
      <c r="B13" s="14" t="s">
        <v>47</v>
      </c>
      <c r="C13" s="158"/>
      <c r="D13" s="156"/>
      <c r="E13" s="157"/>
      <c r="F13" s="156"/>
      <c r="G13" s="158"/>
      <c r="H13" s="156"/>
      <c r="I13" s="158"/>
      <c r="J13" s="156"/>
      <c r="K13" s="16"/>
      <c r="L13" s="156"/>
      <c r="M13" s="157"/>
      <c r="N13" s="156"/>
      <c r="O13" s="16"/>
      <c r="P13" s="156"/>
      <c r="Q13" s="16"/>
      <c r="R13" s="156"/>
      <c r="S13" s="16"/>
      <c r="T13" s="156"/>
      <c r="U13" s="158"/>
      <c r="V13" s="156"/>
      <c r="W13" s="158"/>
      <c r="X13" s="156"/>
      <c r="Y13" s="158"/>
      <c r="Z13" s="156"/>
      <c r="AA13" s="59">
        <f>C13+E13+G13+I13+K13+M13+O13+Q13+S13+U13+W13+Y13</f>
        <v>0</v>
      </c>
      <c r="AB13" s="156"/>
      <c r="AC13" s="160">
        <f t="shared" si="1"/>
        <v>0</v>
      </c>
      <c r="AD13" s="156"/>
      <c r="AE13" s="44">
        <f t="shared" si="2"/>
        <v>0</v>
      </c>
      <c r="AF13" s="21">
        <f t="shared" si="3"/>
        <v>0</v>
      </c>
    </row>
    <row r="14" spans="1:34" s="1" customFormat="1">
      <c r="A14" s="1">
        <v>5152</v>
      </c>
      <c r="B14" s="14" t="s">
        <v>48</v>
      </c>
      <c r="C14" s="158"/>
      <c r="D14" s="156"/>
      <c r="E14" s="157"/>
      <c r="F14" s="156"/>
      <c r="G14" s="158"/>
      <c r="H14" s="156"/>
      <c r="I14" s="158"/>
      <c r="J14" s="156"/>
      <c r="K14" s="16"/>
      <c r="L14" s="156"/>
      <c r="M14" s="157"/>
      <c r="N14" s="156"/>
      <c r="O14" s="16"/>
      <c r="P14" s="156"/>
      <c r="Q14" s="16"/>
      <c r="R14" s="156"/>
      <c r="S14" s="16"/>
      <c r="T14" s="156"/>
      <c r="U14" s="158"/>
      <c r="V14" s="156"/>
      <c r="W14" s="158"/>
      <c r="X14" s="156"/>
      <c r="Y14" s="158"/>
      <c r="Z14" s="156"/>
      <c r="AA14" s="59">
        <f>C14+E14+G14+I14+K14+M14+O14+Q14+S14+U14+W14+Y14</f>
        <v>0</v>
      </c>
      <c r="AB14" s="156"/>
      <c r="AC14" s="160">
        <f t="shared" si="1"/>
        <v>0</v>
      </c>
      <c r="AD14" s="156"/>
      <c r="AE14" s="44">
        <f t="shared" si="2"/>
        <v>0</v>
      </c>
      <c r="AF14" s="21">
        <f t="shared" si="3"/>
        <v>0</v>
      </c>
    </row>
    <row r="15" spans="1:34" s="1" customFormat="1">
      <c r="A15" s="169">
        <v>5198</v>
      </c>
      <c r="B15" s="170" t="s">
        <v>96</v>
      </c>
      <c r="C15" s="171">
        <f>C13+C14</f>
        <v>0</v>
      </c>
      <c r="D15" s="172"/>
      <c r="E15" s="173">
        <f>E13+E14</f>
        <v>0</v>
      </c>
      <c r="F15" s="172"/>
      <c r="G15" s="171">
        <f>G13+G14</f>
        <v>0</v>
      </c>
      <c r="H15" s="172"/>
      <c r="I15" s="171">
        <f>I13+I14</f>
        <v>0</v>
      </c>
      <c r="J15" s="172"/>
      <c r="K15" s="174">
        <f>K13+K14</f>
        <v>0</v>
      </c>
      <c r="L15" s="172"/>
      <c r="M15" s="173">
        <f>M13+M14</f>
        <v>0</v>
      </c>
      <c r="N15" s="172"/>
      <c r="O15" s="174"/>
      <c r="P15" s="172"/>
      <c r="Q15" s="174"/>
      <c r="R15" s="172"/>
      <c r="S15" s="174"/>
      <c r="T15" s="172"/>
      <c r="U15" s="171">
        <f>U13+U14</f>
        <v>0</v>
      </c>
      <c r="V15" s="172"/>
      <c r="W15" s="171">
        <f>W13+W14</f>
        <v>0</v>
      </c>
      <c r="X15" s="172"/>
      <c r="Y15" s="171">
        <f>Y13+Y14</f>
        <v>0</v>
      </c>
      <c r="Z15" s="172"/>
      <c r="AA15" s="175">
        <f>AA13+AA14</f>
        <v>0</v>
      </c>
      <c r="AB15" s="172"/>
      <c r="AC15" s="175">
        <f t="shared" si="1"/>
        <v>0</v>
      </c>
      <c r="AD15" s="172"/>
      <c r="AE15" s="44">
        <f t="shared" si="2"/>
        <v>0</v>
      </c>
      <c r="AF15" s="21">
        <f t="shared" si="3"/>
        <v>0</v>
      </c>
    </row>
    <row r="16" spans="1:34" s="1" customFormat="1" ht="15.75" thickBot="1">
      <c r="A16" s="176">
        <v>5199</v>
      </c>
      <c r="B16" s="177" t="s">
        <v>70</v>
      </c>
      <c r="C16" s="42">
        <f>C12+C15</f>
        <v>0</v>
      </c>
      <c r="D16" s="178" t="e">
        <f>C16/C12</f>
        <v>#DIV/0!</v>
      </c>
      <c r="E16" s="179">
        <f>E12+E15</f>
        <v>0</v>
      </c>
      <c r="F16" s="178" t="e">
        <f>E16/E12</f>
        <v>#DIV/0!</v>
      </c>
      <c r="G16" s="42">
        <f>G12+G15</f>
        <v>0</v>
      </c>
      <c r="H16" s="178" t="e">
        <f>G16/G12</f>
        <v>#DIV/0!</v>
      </c>
      <c r="I16" s="42">
        <f>I12+I15</f>
        <v>0</v>
      </c>
      <c r="J16" s="178" t="e">
        <f>I16/I12</f>
        <v>#DIV/0!</v>
      </c>
      <c r="K16" s="18">
        <f>K12+K15</f>
        <v>0</v>
      </c>
      <c r="L16" s="178" t="e">
        <f>K16/K12</f>
        <v>#DIV/0!</v>
      </c>
      <c r="M16" s="179">
        <f>M12+M15</f>
        <v>0</v>
      </c>
      <c r="N16" s="178" t="e">
        <f>M16/M12</f>
        <v>#DIV/0!</v>
      </c>
      <c r="O16" s="179">
        <f>O12+O15</f>
        <v>0</v>
      </c>
      <c r="P16" s="178" t="e">
        <f>O16/O12</f>
        <v>#DIV/0!</v>
      </c>
      <c r="Q16" s="179">
        <f>Q12+Q15</f>
        <v>0</v>
      </c>
      <c r="R16" s="178" t="e">
        <f>Q16/Q12</f>
        <v>#DIV/0!</v>
      </c>
      <c r="S16" s="179">
        <f>S12+S15</f>
        <v>0</v>
      </c>
      <c r="T16" s="178" t="e">
        <f>S16/S12</f>
        <v>#DIV/0!</v>
      </c>
      <c r="U16" s="42">
        <f>U12+U15</f>
        <v>0</v>
      </c>
      <c r="V16" s="178" t="e">
        <f>U16/U12</f>
        <v>#DIV/0!</v>
      </c>
      <c r="W16" s="42">
        <f>W12+W15</f>
        <v>0</v>
      </c>
      <c r="X16" s="178" t="e">
        <f>W16/W12</f>
        <v>#DIV/0!</v>
      </c>
      <c r="Y16" s="42">
        <f>Y12+Y15</f>
        <v>0</v>
      </c>
      <c r="Z16" s="178" t="e">
        <f>Y16/Y12</f>
        <v>#DIV/0!</v>
      </c>
      <c r="AA16" s="180">
        <f>AA12+AA15</f>
        <v>0</v>
      </c>
      <c r="AB16" s="178" t="e">
        <f>AA16/AA12</f>
        <v>#DIV/0!</v>
      </c>
      <c r="AC16" s="181">
        <f t="shared" si="1"/>
        <v>0</v>
      </c>
      <c r="AD16" s="178" t="e">
        <f>AC16/AC12</f>
        <v>#DIV/0!</v>
      </c>
      <c r="AE16" s="44">
        <f t="shared" si="2"/>
        <v>0</v>
      </c>
      <c r="AF16" s="21">
        <f t="shared" si="3"/>
        <v>0</v>
      </c>
      <c r="AH16" s="21" t="s">
        <v>211</v>
      </c>
    </row>
    <row r="17" spans="1:34" s="1" customFormat="1" ht="15.75" thickTop="1">
      <c r="A17" s="10">
        <v>5502</v>
      </c>
      <c r="B17" s="142" t="s">
        <v>49</v>
      </c>
      <c r="C17" s="182">
        <f>C5*39.58%</f>
        <v>2564353.7653999999</v>
      </c>
      <c r="D17" s="28" t="e">
        <f>C17/C12</f>
        <v>#DIV/0!</v>
      </c>
      <c r="E17" s="157">
        <f>E5*39.35%</f>
        <v>2016273.5380000002</v>
      </c>
      <c r="F17" s="28" t="e">
        <f>E17/E12</f>
        <v>#DIV/0!</v>
      </c>
      <c r="G17" s="157">
        <f>G5*40.17%</f>
        <v>1938919.1328</v>
      </c>
      <c r="H17" s="28" t="e">
        <f>G17/G12</f>
        <v>#DIV/0!</v>
      </c>
      <c r="I17" s="20">
        <f>I5*39.56%</f>
        <v>3555571.702</v>
      </c>
      <c r="J17" s="28" t="e">
        <f>I17/I12</f>
        <v>#DIV/0!</v>
      </c>
      <c r="K17" s="183">
        <f>K5*40.5%</f>
        <v>2521011.1950000003</v>
      </c>
      <c r="L17" s="28" t="e">
        <f>K17/K12</f>
        <v>#DIV/0!</v>
      </c>
      <c r="M17" s="20">
        <f>M5*41.63%</f>
        <v>1452470.7</v>
      </c>
      <c r="N17" s="28" t="e">
        <f>M17/M12</f>
        <v>#DIV/0!</v>
      </c>
      <c r="O17" s="20">
        <f>O5*41.08%</f>
        <v>4043401.2892</v>
      </c>
      <c r="P17" s="28" t="e">
        <f>O17/O12</f>
        <v>#DIV/0!</v>
      </c>
      <c r="Q17" s="20">
        <f>Q5*41.99%</f>
        <v>1602065.8848999999</v>
      </c>
      <c r="R17" s="28" t="e">
        <f>Q17/Q12</f>
        <v>#DIV/0!</v>
      </c>
      <c r="S17" s="20">
        <f>S5*41.25%</f>
        <v>2324678.4</v>
      </c>
      <c r="T17" s="28" t="e">
        <f>S17/S12</f>
        <v>#DIV/0!</v>
      </c>
      <c r="U17" s="157">
        <f>U5*39.43%</f>
        <v>1976189.8806809103</v>
      </c>
      <c r="V17" s="28" t="e">
        <f>U17/U12</f>
        <v>#DIV/0!</v>
      </c>
      <c r="W17" s="183">
        <f>W5*39.82%</f>
        <v>580224.46507461485</v>
      </c>
      <c r="X17" s="28" t="e">
        <f>W17/W12</f>
        <v>#DIV/0!</v>
      </c>
      <c r="Y17" s="183">
        <f>Y5*39.33%</f>
        <v>1480587.5006100747</v>
      </c>
      <c r="Z17" s="28" t="e">
        <f>Y17/Y12</f>
        <v>#DIV/0!</v>
      </c>
      <c r="AA17" s="59">
        <f>C17+E17+G17+I17+K17+M17+O17+Q17+S17+U17+W17+Y17</f>
        <v>26055747.453665599</v>
      </c>
      <c r="AB17" s="28" t="e">
        <f>AA17/AA12</f>
        <v>#DIV/0!</v>
      </c>
      <c r="AC17" s="160">
        <f t="shared" si="1"/>
        <v>3722249.6362379426</v>
      </c>
      <c r="AD17" s="28" t="e">
        <f>AC17/AC12</f>
        <v>#DIV/0!</v>
      </c>
      <c r="AE17" s="44">
        <f t="shared" si="2"/>
        <v>26055747.453665599</v>
      </c>
      <c r="AF17" s="21">
        <f t="shared" si="3"/>
        <v>0</v>
      </c>
    </row>
    <row r="18" spans="1:34" s="1" customFormat="1">
      <c r="A18" s="3">
        <v>5503</v>
      </c>
      <c r="B18" s="184" t="s">
        <v>50</v>
      </c>
      <c r="C18" s="182"/>
      <c r="D18" s="49"/>
      <c r="E18" s="158"/>
      <c r="F18" s="49"/>
      <c r="G18" s="157"/>
      <c r="H18" s="49"/>
      <c r="I18" s="16"/>
      <c r="J18" s="49"/>
      <c r="K18" s="158"/>
      <c r="L18" s="49"/>
      <c r="M18" s="158"/>
      <c r="N18" s="49"/>
      <c r="O18" s="16"/>
      <c r="P18" s="49"/>
      <c r="Q18" s="16"/>
      <c r="R18" s="49"/>
      <c r="S18" s="16"/>
      <c r="T18" s="49"/>
      <c r="U18" s="158"/>
      <c r="V18" s="49"/>
      <c r="W18" s="185"/>
      <c r="X18" s="49"/>
      <c r="Y18" s="158"/>
      <c r="Z18" s="49"/>
      <c r="AA18" s="59">
        <f>C18+E18+G18+I18+K18+M18+O18+Q18+S18+U18+W18+Y18</f>
        <v>0</v>
      </c>
      <c r="AB18" s="49"/>
      <c r="AC18" s="160">
        <f t="shared" si="1"/>
        <v>0</v>
      </c>
      <c r="AD18" s="49"/>
      <c r="AE18" s="44">
        <f t="shared" si="2"/>
        <v>0</v>
      </c>
      <c r="AF18" s="21">
        <f t="shared" si="3"/>
        <v>0</v>
      </c>
    </row>
    <row r="19" spans="1:34" s="1" customFormat="1">
      <c r="A19" s="3">
        <v>5504</v>
      </c>
      <c r="B19" s="184" t="s">
        <v>51</v>
      </c>
      <c r="C19" s="182"/>
      <c r="D19" s="28" t="e">
        <f>C19/C12</f>
        <v>#DIV/0!</v>
      </c>
      <c r="E19" s="158"/>
      <c r="F19" s="28" t="e">
        <f>E19/E12</f>
        <v>#DIV/0!</v>
      </c>
      <c r="G19" s="157"/>
      <c r="H19" s="28" t="e">
        <f>G19/G12</f>
        <v>#DIV/0!</v>
      </c>
      <c r="I19" s="16"/>
      <c r="J19" s="28" t="e">
        <f>I19/I12</f>
        <v>#DIV/0!</v>
      </c>
      <c r="K19" s="158"/>
      <c r="L19" s="28" t="e">
        <f>K19/K12</f>
        <v>#DIV/0!</v>
      </c>
      <c r="M19" s="158"/>
      <c r="N19" s="28" t="e">
        <f>M19/M12</f>
        <v>#DIV/0!</v>
      </c>
      <c r="O19" s="16"/>
      <c r="P19" s="28"/>
      <c r="Q19" s="16"/>
      <c r="R19" s="28"/>
      <c r="S19" s="16"/>
      <c r="T19" s="28" t="e">
        <f>S19/S12</f>
        <v>#DIV/0!</v>
      </c>
      <c r="U19" s="158"/>
      <c r="V19" s="28" t="e">
        <f>U19/U12</f>
        <v>#DIV/0!</v>
      </c>
      <c r="W19" s="185"/>
      <c r="X19" s="28" t="e">
        <f>W19/W12</f>
        <v>#DIV/0!</v>
      </c>
      <c r="Y19" s="158"/>
      <c r="Z19" s="28" t="e">
        <f>Y19/Y12</f>
        <v>#DIV/0!</v>
      </c>
      <c r="AA19" s="59">
        <f>C19+E19+G19+I19+K19+M19+O19+Q19+S19+U19+W19+Y19</f>
        <v>0</v>
      </c>
      <c r="AB19" s="28" t="e">
        <f>AA19/AA12</f>
        <v>#DIV/0!</v>
      </c>
      <c r="AC19" s="160">
        <f t="shared" si="1"/>
        <v>0</v>
      </c>
      <c r="AD19" s="28" t="e">
        <f>AC19/AC12</f>
        <v>#DIV/0!</v>
      </c>
      <c r="AE19" s="44">
        <f t="shared" si="2"/>
        <v>0</v>
      </c>
      <c r="AF19" s="21">
        <f t="shared" si="3"/>
        <v>0</v>
      </c>
      <c r="AH19" s="44" t="s">
        <v>211</v>
      </c>
    </row>
    <row r="20" spans="1:34" s="1" customFormat="1">
      <c r="A20" s="3">
        <v>5505</v>
      </c>
      <c r="B20" s="184" t="s">
        <v>52</v>
      </c>
      <c r="C20" s="182"/>
      <c r="D20" s="49"/>
      <c r="E20" s="158"/>
      <c r="F20" s="49"/>
      <c r="G20" s="157"/>
      <c r="H20" s="49"/>
      <c r="I20" s="16"/>
      <c r="J20" s="49"/>
      <c r="K20" s="158"/>
      <c r="L20" s="49"/>
      <c r="M20" s="158"/>
      <c r="N20" s="49"/>
      <c r="O20" s="16"/>
      <c r="P20" s="49"/>
      <c r="Q20" s="16"/>
      <c r="R20" s="49"/>
      <c r="S20" s="16"/>
      <c r="T20" s="49"/>
      <c r="U20" s="158"/>
      <c r="V20" s="49"/>
      <c r="W20" s="185"/>
      <c r="X20" s="49"/>
      <c r="Y20" s="158"/>
      <c r="Z20" s="49"/>
      <c r="AA20" s="59">
        <f>C20+E20+G20+I20+K20+M20+O20+Q20+S20+U20+W20+Y20</f>
        <v>0</v>
      </c>
      <c r="AB20" s="49"/>
      <c r="AC20" s="160">
        <f t="shared" si="1"/>
        <v>0</v>
      </c>
      <c r="AD20" s="49"/>
      <c r="AE20" s="44">
        <f t="shared" si="2"/>
        <v>0</v>
      </c>
      <c r="AF20" s="21">
        <f t="shared" si="3"/>
        <v>0</v>
      </c>
    </row>
    <row r="21" spans="1:34" s="1" customFormat="1" ht="15.75" thickBot="1">
      <c r="A21" s="186">
        <v>5599</v>
      </c>
      <c r="B21" s="187" t="s">
        <v>97</v>
      </c>
      <c r="C21" s="168">
        <f>SUM(C17:C20)</f>
        <v>2564353.7653999999</v>
      </c>
      <c r="D21" s="167" t="e">
        <f>C21/C12</f>
        <v>#DIV/0!</v>
      </c>
      <c r="E21" s="166">
        <f>SUM(E17:E20)</f>
        <v>2016273.5380000002</v>
      </c>
      <c r="F21" s="167" t="e">
        <f>E21/E12</f>
        <v>#DIV/0!</v>
      </c>
      <c r="G21" s="168">
        <f>SUM(G17:G20)</f>
        <v>1938919.1328</v>
      </c>
      <c r="H21" s="167" t="e">
        <f>G21/G12</f>
        <v>#DIV/0!</v>
      </c>
      <c r="I21" s="168">
        <f>SUM(I17:I20)</f>
        <v>3555571.702</v>
      </c>
      <c r="J21" s="167" t="e">
        <f>I21/I12</f>
        <v>#DIV/0!</v>
      </c>
      <c r="K21" s="188">
        <f>SUM(K17:K20)</f>
        <v>2521011.1950000003</v>
      </c>
      <c r="L21" s="167" t="e">
        <f>K21/K12</f>
        <v>#DIV/0!</v>
      </c>
      <c r="M21" s="166">
        <f>SUM(M17:M20)</f>
        <v>1452470.7</v>
      </c>
      <c r="N21" s="167" t="e">
        <f>M21/M12</f>
        <v>#DIV/0!</v>
      </c>
      <c r="O21" s="166">
        <f>SUM(O17:O20)</f>
        <v>4043401.2892</v>
      </c>
      <c r="P21" s="167" t="e">
        <f>O21/O12</f>
        <v>#DIV/0!</v>
      </c>
      <c r="Q21" s="166">
        <f>SUM(Q17:Q20)</f>
        <v>1602065.8848999999</v>
      </c>
      <c r="R21" s="167" t="e">
        <f>Q21/Q12</f>
        <v>#DIV/0!</v>
      </c>
      <c r="S21" s="166">
        <f>SUM(S17:S20)</f>
        <v>2324678.4</v>
      </c>
      <c r="T21" s="167" t="e">
        <f>S21/S12</f>
        <v>#DIV/0!</v>
      </c>
      <c r="U21" s="168">
        <f>SUM(U17:U20)</f>
        <v>1976189.8806809103</v>
      </c>
      <c r="V21" s="167" t="e">
        <f>U21/U12</f>
        <v>#DIV/0!</v>
      </c>
      <c r="W21" s="168">
        <f>SUM(W17:W20)</f>
        <v>580224.46507461485</v>
      </c>
      <c r="X21" s="167" t="e">
        <f>W21/W12</f>
        <v>#DIV/0!</v>
      </c>
      <c r="Y21" s="168">
        <f>SUM(Y17:Y20)</f>
        <v>1480587.5006100747</v>
      </c>
      <c r="Z21" s="167" t="e">
        <f>Y21/Y12</f>
        <v>#DIV/0!</v>
      </c>
      <c r="AA21" s="189">
        <f>SUM(AA17:AA20)</f>
        <v>26055747.453665599</v>
      </c>
      <c r="AB21" s="167" t="e">
        <f>AA21/AA12</f>
        <v>#DIV/0!</v>
      </c>
      <c r="AC21" s="23">
        <f t="shared" si="1"/>
        <v>3722249.6362379426</v>
      </c>
      <c r="AD21" s="167" t="e">
        <f>AC21/AC12</f>
        <v>#DIV/0!</v>
      </c>
      <c r="AE21" s="44">
        <f t="shared" si="2"/>
        <v>26055747.453665599</v>
      </c>
      <c r="AF21" s="21">
        <f t="shared" si="3"/>
        <v>0</v>
      </c>
    </row>
    <row r="22" spans="1:34" s="1" customFormat="1" ht="15.75" thickTop="1">
      <c r="A22" s="190">
        <v>5601</v>
      </c>
      <c r="B22" s="3" t="s">
        <v>53</v>
      </c>
      <c r="C22" s="16"/>
      <c r="D22" s="28" t="e">
        <f>C22/C12</f>
        <v>#DIV/0!</v>
      </c>
      <c r="E22" s="16"/>
      <c r="F22" s="28" t="e">
        <f>E22/E12</f>
        <v>#DIV/0!</v>
      </c>
      <c r="G22" s="16"/>
      <c r="H22" s="28" t="e">
        <f>G22/G12</f>
        <v>#DIV/0!</v>
      </c>
      <c r="I22" s="16"/>
      <c r="J22" s="28" t="e">
        <f>I22/I12</f>
        <v>#DIV/0!</v>
      </c>
      <c r="K22" s="16"/>
      <c r="L22" s="28" t="e">
        <f>K22/K12</f>
        <v>#DIV/0!</v>
      </c>
      <c r="M22" s="16"/>
      <c r="N22" s="28" t="e">
        <f>M22/M12</f>
        <v>#DIV/0!</v>
      </c>
      <c r="O22" s="16"/>
      <c r="P22" s="28"/>
      <c r="Q22" s="16"/>
      <c r="R22" s="28"/>
      <c r="S22" s="16"/>
      <c r="T22" s="28" t="e">
        <f>S22/S12</f>
        <v>#DIV/0!</v>
      </c>
      <c r="U22" s="16"/>
      <c r="V22" s="28" t="e">
        <f>U22/U12</f>
        <v>#DIV/0!</v>
      </c>
      <c r="W22" s="16"/>
      <c r="X22" s="28" t="e">
        <f>W22/W12</f>
        <v>#DIV/0!</v>
      </c>
      <c r="Y22" s="16"/>
      <c r="Z22" s="28" t="e">
        <f>Y22/Y12</f>
        <v>#DIV/0!</v>
      </c>
      <c r="AA22" s="59">
        <f t="shared" ref="AA22:AA34" si="15">C22+E22+G22+I22+K22+M22+O22+Q22+S22+U22+W22+Y22</f>
        <v>0</v>
      </c>
      <c r="AB22" s="28" t="e">
        <f>AA22/AA12</f>
        <v>#DIV/0!</v>
      </c>
      <c r="AC22" s="160">
        <f t="shared" si="1"/>
        <v>0</v>
      </c>
      <c r="AD22" s="28" t="e">
        <f>AC22/AC12</f>
        <v>#DIV/0!</v>
      </c>
      <c r="AE22" s="44">
        <f t="shared" si="2"/>
        <v>0</v>
      </c>
      <c r="AF22" s="21">
        <f t="shared" si="3"/>
        <v>0</v>
      </c>
    </row>
    <row r="23" spans="1:34" s="1" customFormat="1">
      <c r="A23" s="3">
        <v>5602</v>
      </c>
      <c r="B23" s="3" t="s">
        <v>54</v>
      </c>
      <c r="C23" s="16"/>
      <c r="D23" s="28" t="e">
        <f>C23/C12</f>
        <v>#DIV/0!</v>
      </c>
      <c r="E23" s="16"/>
      <c r="F23" s="28" t="e">
        <f>E23/E12</f>
        <v>#DIV/0!</v>
      </c>
      <c r="G23" s="16"/>
      <c r="H23" s="28" t="e">
        <f>G23/G12</f>
        <v>#DIV/0!</v>
      </c>
      <c r="I23" s="16"/>
      <c r="J23" s="28" t="e">
        <f>I23/I12</f>
        <v>#DIV/0!</v>
      </c>
      <c r="K23" s="16"/>
      <c r="L23" s="28" t="e">
        <f>K23/K12</f>
        <v>#DIV/0!</v>
      </c>
      <c r="M23" s="16"/>
      <c r="N23" s="28" t="e">
        <f>M23/M12</f>
        <v>#DIV/0!</v>
      </c>
      <c r="O23" s="16"/>
      <c r="P23" s="28"/>
      <c r="Q23" s="16"/>
      <c r="R23" s="28"/>
      <c r="S23" s="16"/>
      <c r="T23" s="28" t="e">
        <f>S23/S12</f>
        <v>#DIV/0!</v>
      </c>
      <c r="U23" s="16"/>
      <c r="V23" s="28" t="e">
        <f>U23/U12</f>
        <v>#DIV/0!</v>
      </c>
      <c r="W23" s="16"/>
      <c r="X23" s="28" t="e">
        <f>W23/W12</f>
        <v>#DIV/0!</v>
      </c>
      <c r="Y23" s="16"/>
      <c r="Z23" s="28" t="e">
        <f>Y23/Y12</f>
        <v>#DIV/0!</v>
      </c>
      <c r="AA23" s="59">
        <f t="shared" si="15"/>
        <v>0</v>
      </c>
      <c r="AB23" s="28" t="e">
        <f>AA23/AA12</f>
        <v>#DIV/0!</v>
      </c>
      <c r="AC23" s="160">
        <f t="shared" si="1"/>
        <v>0</v>
      </c>
      <c r="AD23" s="28" t="e">
        <f>AC23/AC12</f>
        <v>#DIV/0!</v>
      </c>
      <c r="AE23" s="44">
        <f t="shared" si="2"/>
        <v>0</v>
      </c>
      <c r="AF23" s="21">
        <f t="shared" si="3"/>
        <v>0</v>
      </c>
    </row>
    <row r="24" spans="1:34" s="1" customFormat="1">
      <c r="A24" s="3">
        <v>5603</v>
      </c>
      <c r="B24" s="3" t="s">
        <v>55</v>
      </c>
      <c r="C24" s="16"/>
      <c r="D24" s="28" t="e">
        <f>C24/C12</f>
        <v>#DIV/0!</v>
      </c>
      <c r="E24" s="16"/>
      <c r="F24" s="28" t="e">
        <f>E24/E12</f>
        <v>#DIV/0!</v>
      </c>
      <c r="G24" s="16"/>
      <c r="H24" s="28" t="e">
        <f>G24/G12</f>
        <v>#DIV/0!</v>
      </c>
      <c r="I24" s="16"/>
      <c r="J24" s="28" t="e">
        <f>I24/I12</f>
        <v>#DIV/0!</v>
      </c>
      <c r="K24" s="16"/>
      <c r="L24" s="28" t="e">
        <f>K24/K12</f>
        <v>#DIV/0!</v>
      </c>
      <c r="M24" s="16"/>
      <c r="N24" s="28" t="e">
        <f>M24/M12</f>
        <v>#DIV/0!</v>
      </c>
      <c r="O24" s="16"/>
      <c r="P24" s="28"/>
      <c r="Q24" s="16"/>
      <c r="R24" s="28"/>
      <c r="S24" s="16"/>
      <c r="T24" s="28" t="e">
        <f>S24/S12</f>
        <v>#DIV/0!</v>
      </c>
      <c r="U24" s="16"/>
      <c r="V24" s="28" t="e">
        <f>U24/U12</f>
        <v>#DIV/0!</v>
      </c>
      <c r="W24" s="16"/>
      <c r="X24" s="28" t="e">
        <f>W24/W12</f>
        <v>#DIV/0!</v>
      </c>
      <c r="Y24" s="16"/>
      <c r="Z24" s="28" t="e">
        <f>Y24/Y12</f>
        <v>#DIV/0!</v>
      </c>
      <c r="AA24" s="59">
        <f t="shared" si="15"/>
        <v>0</v>
      </c>
      <c r="AB24" s="28" t="e">
        <f>AA24/AA12</f>
        <v>#DIV/0!</v>
      </c>
      <c r="AC24" s="160">
        <f t="shared" si="1"/>
        <v>0</v>
      </c>
      <c r="AD24" s="28" t="e">
        <f>AC24/AC12</f>
        <v>#DIV/0!</v>
      </c>
      <c r="AE24" s="44">
        <f t="shared" si="2"/>
        <v>0</v>
      </c>
      <c r="AF24" s="21">
        <f t="shared" si="3"/>
        <v>0</v>
      </c>
    </row>
    <row r="25" spans="1:34" s="1" customFormat="1">
      <c r="A25" s="3">
        <v>5604</v>
      </c>
      <c r="B25" s="3" t="s">
        <v>56</v>
      </c>
      <c r="C25" s="16"/>
      <c r="D25" s="28" t="e">
        <f>C25/C12</f>
        <v>#DIV/0!</v>
      </c>
      <c r="E25" s="16"/>
      <c r="F25" s="28" t="e">
        <f>E25/E12</f>
        <v>#DIV/0!</v>
      </c>
      <c r="G25" s="16"/>
      <c r="H25" s="28" t="e">
        <f>G25/G12</f>
        <v>#DIV/0!</v>
      </c>
      <c r="I25" s="16"/>
      <c r="J25" s="28" t="e">
        <f>I25/I12</f>
        <v>#DIV/0!</v>
      </c>
      <c r="K25" s="16"/>
      <c r="L25" s="28" t="e">
        <f>K25/K12</f>
        <v>#DIV/0!</v>
      </c>
      <c r="M25" s="16">
        <v>0</v>
      </c>
      <c r="N25" s="28" t="e">
        <f>M25/M12</f>
        <v>#DIV/0!</v>
      </c>
      <c r="O25" s="16">
        <v>0</v>
      </c>
      <c r="P25" s="28"/>
      <c r="Q25" s="16">
        <v>0</v>
      </c>
      <c r="R25" s="28"/>
      <c r="S25" s="16">
        <v>0</v>
      </c>
      <c r="T25" s="28" t="e">
        <f>S25/S12</f>
        <v>#DIV/0!</v>
      </c>
      <c r="U25" s="16">
        <v>0</v>
      </c>
      <c r="V25" s="28" t="e">
        <f>U25/U12</f>
        <v>#DIV/0!</v>
      </c>
      <c r="W25" s="16">
        <v>0</v>
      </c>
      <c r="X25" s="28" t="e">
        <f>W25/W12</f>
        <v>#DIV/0!</v>
      </c>
      <c r="Y25" s="16">
        <v>0</v>
      </c>
      <c r="Z25" s="28" t="e">
        <f>Y25/Y12</f>
        <v>#DIV/0!</v>
      </c>
      <c r="AA25" s="59">
        <f t="shared" si="15"/>
        <v>0</v>
      </c>
      <c r="AB25" s="28" t="e">
        <f>AA25/AA12</f>
        <v>#DIV/0!</v>
      </c>
      <c r="AC25" s="160">
        <f t="shared" si="1"/>
        <v>0</v>
      </c>
      <c r="AD25" s="28" t="e">
        <f>AC25/AC12</f>
        <v>#DIV/0!</v>
      </c>
      <c r="AE25" s="44">
        <f t="shared" si="2"/>
        <v>0</v>
      </c>
      <c r="AF25" s="21">
        <f t="shared" si="3"/>
        <v>0</v>
      </c>
    </row>
    <row r="26" spans="1:34" s="1" customFormat="1">
      <c r="A26" s="3">
        <v>5605</v>
      </c>
      <c r="B26" s="3" t="s">
        <v>14</v>
      </c>
      <c r="C26" s="16"/>
      <c r="D26" s="28" t="e">
        <f>C26/C12</f>
        <v>#DIV/0!</v>
      </c>
      <c r="E26" s="16"/>
      <c r="F26" s="28" t="e">
        <f>E26/E12</f>
        <v>#DIV/0!</v>
      </c>
      <c r="G26" s="16"/>
      <c r="H26" s="28" t="e">
        <f>G26/G12</f>
        <v>#DIV/0!</v>
      </c>
      <c r="I26" s="16"/>
      <c r="J26" s="28" t="e">
        <f>I26/I12</f>
        <v>#DIV/0!</v>
      </c>
      <c r="K26" s="16"/>
      <c r="L26" s="28" t="e">
        <f>K26/K12</f>
        <v>#DIV/0!</v>
      </c>
      <c r="M26" s="16"/>
      <c r="N26" s="28" t="e">
        <f>M26/M12</f>
        <v>#DIV/0!</v>
      </c>
      <c r="O26" s="16"/>
      <c r="P26" s="28"/>
      <c r="Q26" s="16"/>
      <c r="R26" s="28"/>
      <c r="S26" s="16"/>
      <c r="T26" s="28" t="e">
        <f>S26/S12</f>
        <v>#DIV/0!</v>
      </c>
      <c r="U26" s="16"/>
      <c r="V26" s="28" t="e">
        <f>U26/U12</f>
        <v>#DIV/0!</v>
      </c>
      <c r="W26" s="16"/>
      <c r="X26" s="28" t="e">
        <f>W26/W12</f>
        <v>#DIV/0!</v>
      </c>
      <c r="Y26" s="16"/>
      <c r="Z26" s="28" t="e">
        <f>Y26/Y12</f>
        <v>#DIV/0!</v>
      </c>
      <c r="AA26" s="59">
        <f t="shared" si="15"/>
        <v>0</v>
      </c>
      <c r="AB26" s="28" t="e">
        <f>AA26/AA12</f>
        <v>#DIV/0!</v>
      </c>
      <c r="AC26" s="160">
        <f t="shared" si="1"/>
        <v>0</v>
      </c>
      <c r="AD26" s="28" t="e">
        <f>AC26/AC12</f>
        <v>#DIV/0!</v>
      </c>
      <c r="AE26" s="44">
        <f t="shared" si="2"/>
        <v>0</v>
      </c>
      <c r="AF26" s="21">
        <f t="shared" si="3"/>
        <v>0</v>
      </c>
    </row>
    <row r="27" spans="1:34" s="1" customFormat="1">
      <c r="A27" s="3">
        <v>5606</v>
      </c>
      <c r="B27" s="3" t="s">
        <v>77</v>
      </c>
      <c r="C27" s="16"/>
      <c r="D27" s="28" t="e">
        <f>C27/C12</f>
        <v>#DIV/0!</v>
      </c>
      <c r="E27" s="16"/>
      <c r="F27" s="28" t="e">
        <f>E27/E12</f>
        <v>#DIV/0!</v>
      </c>
      <c r="G27" s="16">
        <f>G12*0.05%</f>
        <v>0</v>
      </c>
      <c r="H27" s="28" t="e">
        <f>G27/G12</f>
        <v>#DIV/0!</v>
      </c>
      <c r="I27" s="16">
        <f>I12*0.05%</f>
        <v>0</v>
      </c>
      <c r="J27" s="28" t="e">
        <f>I27/I12</f>
        <v>#DIV/0!</v>
      </c>
      <c r="K27" s="16">
        <f>K12*0.05%</f>
        <v>0</v>
      </c>
      <c r="L27" s="28" t="e">
        <f>K27/K12</f>
        <v>#DIV/0!</v>
      </c>
      <c r="M27" s="16">
        <f>M12*0.05%</f>
        <v>0</v>
      </c>
      <c r="N27" s="28" t="e">
        <f>M27/M12</f>
        <v>#DIV/0!</v>
      </c>
      <c r="O27" s="16">
        <f>O12*0.05%</f>
        <v>0</v>
      </c>
      <c r="P27" s="28"/>
      <c r="Q27" s="16">
        <f>Q12*0.05%</f>
        <v>0</v>
      </c>
      <c r="R27" s="28"/>
      <c r="S27" s="16">
        <f>S12*0.05%</f>
        <v>0</v>
      </c>
      <c r="T27" s="28" t="e">
        <f>S27/S12</f>
        <v>#DIV/0!</v>
      </c>
      <c r="U27" s="16">
        <f>U12*0.05%</f>
        <v>0</v>
      </c>
      <c r="V27" s="28" t="e">
        <f>U27/U12</f>
        <v>#DIV/0!</v>
      </c>
      <c r="W27" s="16">
        <f>W12*0.05%</f>
        <v>0</v>
      </c>
      <c r="X27" s="28" t="e">
        <f>W27/W12</f>
        <v>#DIV/0!</v>
      </c>
      <c r="Y27" s="16">
        <f>Y12*0.05%</f>
        <v>0</v>
      </c>
      <c r="Z27" s="28" t="e">
        <f>Y27/Y12</f>
        <v>#DIV/0!</v>
      </c>
      <c r="AA27" s="59">
        <f t="shared" si="15"/>
        <v>0</v>
      </c>
      <c r="AB27" s="28" t="e">
        <f>AA27/AA12</f>
        <v>#DIV/0!</v>
      </c>
      <c r="AC27" s="160">
        <f t="shared" si="1"/>
        <v>0</v>
      </c>
      <c r="AD27" s="28" t="e">
        <f>AC27/AC12</f>
        <v>#DIV/0!</v>
      </c>
      <c r="AE27" s="44">
        <f t="shared" si="2"/>
        <v>0</v>
      </c>
      <c r="AF27" s="21">
        <f t="shared" si="3"/>
        <v>0</v>
      </c>
    </row>
    <row r="28" spans="1:34" s="1" customFormat="1">
      <c r="A28" s="3">
        <v>5607</v>
      </c>
      <c r="B28" s="184" t="s">
        <v>57</v>
      </c>
      <c r="C28" s="158"/>
      <c r="D28" s="191" t="e">
        <f>C28/C12</f>
        <v>#DIV/0!</v>
      </c>
      <c r="E28" s="157"/>
      <c r="F28" s="191" t="e">
        <f>E28/E12</f>
        <v>#DIV/0!</v>
      </c>
      <c r="G28" s="158"/>
      <c r="H28" s="191" t="e">
        <f>G28/G12</f>
        <v>#DIV/0!</v>
      </c>
      <c r="I28" s="158"/>
      <c r="J28" s="191" t="e">
        <f>I28/I12</f>
        <v>#DIV/0!</v>
      </c>
      <c r="K28" s="16"/>
      <c r="L28" s="191" t="e">
        <f>K28/K12</f>
        <v>#DIV/0!</v>
      </c>
      <c r="M28" s="157"/>
      <c r="N28" s="191" t="e">
        <f>M28/M12</f>
        <v>#DIV/0!</v>
      </c>
      <c r="O28" s="16"/>
      <c r="P28" s="191"/>
      <c r="Q28" s="16"/>
      <c r="R28" s="191"/>
      <c r="S28" s="16"/>
      <c r="T28" s="191" t="e">
        <f>S28/S12</f>
        <v>#DIV/0!</v>
      </c>
      <c r="U28" s="158"/>
      <c r="V28" s="191" t="e">
        <f>U28/U12</f>
        <v>#DIV/0!</v>
      </c>
      <c r="W28" s="158"/>
      <c r="X28" s="191" t="e">
        <f>W28/W12</f>
        <v>#DIV/0!</v>
      </c>
      <c r="Y28" s="158"/>
      <c r="Z28" s="191" t="e">
        <f>Y28/Y12</f>
        <v>#DIV/0!</v>
      </c>
      <c r="AA28" s="59">
        <f t="shared" si="15"/>
        <v>0</v>
      </c>
      <c r="AB28" s="191" t="e">
        <f>AA28/AA12</f>
        <v>#DIV/0!</v>
      </c>
      <c r="AC28" s="160">
        <f t="shared" si="1"/>
        <v>0</v>
      </c>
      <c r="AD28" s="191" t="e">
        <f>AC28/AC12</f>
        <v>#DIV/0!</v>
      </c>
      <c r="AE28" s="44">
        <f t="shared" si="2"/>
        <v>0</v>
      </c>
      <c r="AF28" s="21">
        <f t="shared" si="3"/>
        <v>0</v>
      </c>
    </row>
    <row r="29" spans="1:34" s="1" customFormat="1">
      <c r="A29" s="3">
        <v>5608</v>
      </c>
      <c r="B29" s="184" t="s">
        <v>58</v>
      </c>
      <c r="C29" s="158"/>
      <c r="D29" s="191" t="e">
        <f>C29/C12</f>
        <v>#DIV/0!</v>
      </c>
      <c r="E29" s="157"/>
      <c r="F29" s="191" t="e">
        <f>E29/E12</f>
        <v>#DIV/0!</v>
      </c>
      <c r="G29" s="158"/>
      <c r="H29" s="191" t="e">
        <f>G29/G12</f>
        <v>#DIV/0!</v>
      </c>
      <c r="I29" s="158"/>
      <c r="J29" s="191" t="e">
        <f>I29/I12</f>
        <v>#DIV/0!</v>
      </c>
      <c r="K29" s="16"/>
      <c r="L29" s="191" t="e">
        <f>K29/K12</f>
        <v>#DIV/0!</v>
      </c>
      <c r="M29" s="157"/>
      <c r="N29" s="191" t="e">
        <f>M29/M12</f>
        <v>#DIV/0!</v>
      </c>
      <c r="O29" s="16"/>
      <c r="P29" s="191"/>
      <c r="Q29" s="16"/>
      <c r="R29" s="191"/>
      <c r="S29" s="16"/>
      <c r="T29" s="191" t="e">
        <f>S29/S12</f>
        <v>#DIV/0!</v>
      </c>
      <c r="U29" s="158"/>
      <c r="V29" s="191" t="e">
        <f>U29/U12</f>
        <v>#DIV/0!</v>
      </c>
      <c r="W29" s="158"/>
      <c r="X29" s="191" t="e">
        <f>W29/W12</f>
        <v>#DIV/0!</v>
      </c>
      <c r="Y29" s="158"/>
      <c r="Z29" s="191" t="e">
        <f>Y29/Y12</f>
        <v>#DIV/0!</v>
      </c>
      <c r="AA29" s="59">
        <f t="shared" si="15"/>
        <v>0</v>
      </c>
      <c r="AB29" s="191" t="e">
        <f>AA29/AA12</f>
        <v>#DIV/0!</v>
      </c>
      <c r="AC29" s="160">
        <f t="shared" si="1"/>
        <v>0</v>
      </c>
      <c r="AD29" s="191" t="e">
        <f>AC29/AC12</f>
        <v>#DIV/0!</v>
      </c>
      <c r="AE29" s="44">
        <f t="shared" si="2"/>
        <v>0</v>
      </c>
      <c r="AF29" s="21">
        <f t="shared" si="3"/>
        <v>0</v>
      </c>
    </row>
    <row r="30" spans="1:34" s="1" customFormat="1">
      <c r="A30" s="3">
        <v>5609</v>
      </c>
      <c r="B30" s="184" t="s">
        <v>59</v>
      </c>
      <c r="C30" s="158"/>
      <c r="D30" s="191" t="e">
        <f>C30/C12</f>
        <v>#DIV/0!</v>
      </c>
      <c r="E30" s="157"/>
      <c r="F30" s="191" t="e">
        <f>E30/E12</f>
        <v>#DIV/0!</v>
      </c>
      <c r="G30" s="158"/>
      <c r="H30" s="191" t="e">
        <f>G30/G12</f>
        <v>#DIV/0!</v>
      </c>
      <c r="I30" s="158"/>
      <c r="J30" s="191" t="e">
        <f>I30/I12</f>
        <v>#DIV/0!</v>
      </c>
      <c r="K30" s="16"/>
      <c r="L30" s="191" t="e">
        <f>K30/K12</f>
        <v>#DIV/0!</v>
      </c>
      <c r="M30" s="157"/>
      <c r="N30" s="191" t="e">
        <f>M30/M12</f>
        <v>#DIV/0!</v>
      </c>
      <c r="O30" s="16"/>
      <c r="P30" s="191"/>
      <c r="Q30" s="16"/>
      <c r="R30" s="191"/>
      <c r="S30" s="16"/>
      <c r="T30" s="191" t="e">
        <f>S30/S12</f>
        <v>#DIV/0!</v>
      </c>
      <c r="U30" s="158"/>
      <c r="V30" s="191" t="e">
        <f>U30/U12</f>
        <v>#DIV/0!</v>
      </c>
      <c r="W30" s="158"/>
      <c r="X30" s="191" t="e">
        <f>W30/W12</f>
        <v>#DIV/0!</v>
      </c>
      <c r="Y30" s="158"/>
      <c r="Z30" s="191" t="e">
        <f>Y30/Y12</f>
        <v>#DIV/0!</v>
      </c>
      <c r="AA30" s="59">
        <f t="shared" si="15"/>
        <v>0</v>
      </c>
      <c r="AB30" s="191" t="e">
        <f>AA30/AA12</f>
        <v>#DIV/0!</v>
      </c>
      <c r="AC30" s="160">
        <f t="shared" si="1"/>
        <v>0</v>
      </c>
      <c r="AD30" s="191" t="e">
        <f>AC30/AC12</f>
        <v>#DIV/0!</v>
      </c>
      <c r="AE30" s="44">
        <f t="shared" si="2"/>
        <v>0</v>
      </c>
      <c r="AF30" s="21">
        <f t="shared" si="3"/>
        <v>0</v>
      </c>
    </row>
    <row r="31" spans="1:34" s="1" customFormat="1">
      <c r="A31" s="3">
        <v>5610</v>
      </c>
      <c r="B31" s="184" t="s">
        <v>60</v>
      </c>
      <c r="C31" s="158"/>
      <c r="D31" s="191" t="e">
        <f>C31/C12</f>
        <v>#DIV/0!</v>
      </c>
      <c r="E31" s="157"/>
      <c r="F31" s="191" t="e">
        <f>E31/E12</f>
        <v>#DIV/0!</v>
      </c>
      <c r="G31" s="158"/>
      <c r="H31" s="191" t="e">
        <f>G31/G12</f>
        <v>#DIV/0!</v>
      </c>
      <c r="I31" s="158"/>
      <c r="J31" s="191" t="e">
        <f>I31/I12</f>
        <v>#DIV/0!</v>
      </c>
      <c r="K31" s="16"/>
      <c r="L31" s="191" t="e">
        <f>K31/K12</f>
        <v>#DIV/0!</v>
      </c>
      <c r="M31" s="157"/>
      <c r="N31" s="191" t="e">
        <f>M31/M12</f>
        <v>#DIV/0!</v>
      </c>
      <c r="O31" s="16"/>
      <c r="P31" s="191"/>
      <c r="Q31" s="16"/>
      <c r="R31" s="191"/>
      <c r="S31" s="16"/>
      <c r="T31" s="191" t="e">
        <f>S31/S12</f>
        <v>#DIV/0!</v>
      </c>
      <c r="U31" s="158"/>
      <c r="V31" s="191" t="e">
        <f>U31/U12</f>
        <v>#DIV/0!</v>
      </c>
      <c r="W31" s="158"/>
      <c r="X31" s="191" t="e">
        <f>W31/W12</f>
        <v>#DIV/0!</v>
      </c>
      <c r="Y31" s="158"/>
      <c r="Z31" s="191" t="e">
        <f>Y31/Y12</f>
        <v>#DIV/0!</v>
      </c>
      <c r="AA31" s="59">
        <f t="shared" si="15"/>
        <v>0</v>
      </c>
      <c r="AB31" s="191" t="e">
        <f>AA31/AA12</f>
        <v>#DIV/0!</v>
      </c>
      <c r="AC31" s="160">
        <f t="shared" si="1"/>
        <v>0</v>
      </c>
      <c r="AD31" s="191" t="e">
        <f>AC31/AC12</f>
        <v>#DIV/0!</v>
      </c>
      <c r="AE31" s="44">
        <f t="shared" si="2"/>
        <v>0</v>
      </c>
      <c r="AF31" s="21">
        <f t="shared" si="3"/>
        <v>0</v>
      </c>
    </row>
    <row r="32" spans="1:34" s="1" customFormat="1">
      <c r="A32" s="3">
        <v>5611</v>
      </c>
      <c r="B32" s="184" t="s">
        <v>98</v>
      </c>
      <c r="C32" s="158"/>
      <c r="D32" s="191" t="e">
        <f>C32/C12</f>
        <v>#DIV/0!</v>
      </c>
      <c r="E32" s="157"/>
      <c r="F32" s="191" t="e">
        <f>E32/E12</f>
        <v>#DIV/0!</v>
      </c>
      <c r="G32" s="158"/>
      <c r="H32" s="191" t="e">
        <f>G32/G12</f>
        <v>#DIV/0!</v>
      </c>
      <c r="I32" s="158"/>
      <c r="J32" s="191" t="e">
        <f>I32/I12</f>
        <v>#DIV/0!</v>
      </c>
      <c r="K32" s="16"/>
      <c r="L32" s="191" t="e">
        <f>K32/K12</f>
        <v>#DIV/0!</v>
      </c>
      <c r="M32" s="157"/>
      <c r="N32" s="191" t="e">
        <f>M32/M12</f>
        <v>#DIV/0!</v>
      </c>
      <c r="O32" s="16"/>
      <c r="P32" s="191"/>
      <c r="Q32" s="16"/>
      <c r="R32" s="191"/>
      <c r="S32" s="16"/>
      <c r="T32" s="191" t="e">
        <f>S32/S12</f>
        <v>#DIV/0!</v>
      </c>
      <c r="U32" s="158"/>
      <c r="V32" s="191" t="e">
        <f>U32/U12</f>
        <v>#DIV/0!</v>
      </c>
      <c r="W32" s="158"/>
      <c r="X32" s="191" t="e">
        <f>W32/W12</f>
        <v>#DIV/0!</v>
      </c>
      <c r="Y32" s="158"/>
      <c r="Z32" s="191" t="e">
        <f>Y32/Y12</f>
        <v>#DIV/0!</v>
      </c>
      <c r="AA32" s="59">
        <f t="shared" si="15"/>
        <v>0</v>
      </c>
      <c r="AB32" s="191" t="e">
        <f>AA32/AA12</f>
        <v>#DIV/0!</v>
      </c>
      <c r="AC32" s="160">
        <f t="shared" si="1"/>
        <v>0</v>
      </c>
      <c r="AD32" s="191" t="e">
        <f>AC32/AC12</f>
        <v>#DIV/0!</v>
      </c>
      <c r="AE32" s="44">
        <f t="shared" si="2"/>
        <v>0</v>
      </c>
      <c r="AF32" s="21">
        <f t="shared" si="3"/>
        <v>0</v>
      </c>
    </row>
    <row r="33" spans="1:33" s="1" customFormat="1">
      <c r="A33" s="3">
        <v>5612</v>
      </c>
      <c r="B33" s="184" t="s">
        <v>61</v>
      </c>
      <c r="C33" s="158"/>
      <c r="D33" s="191" t="e">
        <f>C33/C12</f>
        <v>#DIV/0!</v>
      </c>
      <c r="E33" s="157"/>
      <c r="F33" s="191" t="e">
        <f>E33/E12</f>
        <v>#DIV/0!</v>
      </c>
      <c r="G33" s="158"/>
      <c r="H33" s="191" t="e">
        <f>G33/G12</f>
        <v>#DIV/0!</v>
      </c>
      <c r="I33" s="158"/>
      <c r="J33" s="191" t="e">
        <f>I33/I12</f>
        <v>#DIV/0!</v>
      </c>
      <c r="K33" s="16"/>
      <c r="L33" s="191" t="e">
        <f>K33/K12</f>
        <v>#DIV/0!</v>
      </c>
      <c r="M33" s="157"/>
      <c r="N33" s="191" t="e">
        <f>M33/M12</f>
        <v>#DIV/0!</v>
      </c>
      <c r="O33" s="16"/>
      <c r="P33" s="191"/>
      <c r="Q33" s="16"/>
      <c r="R33" s="191"/>
      <c r="S33" s="16"/>
      <c r="T33" s="191" t="e">
        <f>S33/S12</f>
        <v>#DIV/0!</v>
      </c>
      <c r="U33" s="158"/>
      <c r="V33" s="191" t="e">
        <f>U33/U12</f>
        <v>#DIV/0!</v>
      </c>
      <c r="W33" s="158"/>
      <c r="X33" s="191" t="e">
        <f>W33/W12</f>
        <v>#DIV/0!</v>
      </c>
      <c r="Y33" s="158"/>
      <c r="Z33" s="191" t="e">
        <f>Y33/Y12</f>
        <v>#DIV/0!</v>
      </c>
      <c r="AA33" s="59">
        <f t="shared" si="15"/>
        <v>0</v>
      </c>
      <c r="AB33" s="191" t="e">
        <f>AA33/AA12</f>
        <v>#DIV/0!</v>
      </c>
      <c r="AC33" s="160">
        <f t="shared" si="1"/>
        <v>0</v>
      </c>
      <c r="AD33" s="191" t="e">
        <f>AC33/AC12</f>
        <v>#DIV/0!</v>
      </c>
      <c r="AE33" s="44">
        <f t="shared" si="2"/>
        <v>0</v>
      </c>
      <c r="AF33" s="21">
        <f t="shared" si="3"/>
        <v>0</v>
      </c>
    </row>
    <row r="34" spans="1:33" s="1" customFormat="1">
      <c r="A34" s="192">
        <v>5613</v>
      </c>
      <c r="B34" s="193" t="s">
        <v>62</v>
      </c>
      <c r="C34" s="194"/>
      <c r="D34" s="195" t="e">
        <f>C34/C12</f>
        <v>#DIV/0!</v>
      </c>
      <c r="E34" s="196"/>
      <c r="F34" s="195" t="e">
        <f>E34/E12</f>
        <v>#DIV/0!</v>
      </c>
      <c r="G34" s="194"/>
      <c r="H34" s="195" t="e">
        <f>G34/G12</f>
        <v>#DIV/0!</v>
      </c>
      <c r="I34" s="194"/>
      <c r="J34" s="195" t="e">
        <f>I34/I12</f>
        <v>#DIV/0!</v>
      </c>
      <c r="K34" s="197"/>
      <c r="L34" s="195" t="e">
        <f>K34/K12</f>
        <v>#DIV/0!</v>
      </c>
      <c r="M34" s="196"/>
      <c r="N34" s="195" t="e">
        <f>M34/M12</f>
        <v>#DIV/0!</v>
      </c>
      <c r="O34" s="197"/>
      <c r="P34" s="195"/>
      <c r="Q34" s="197"/>
      <c r="R34" s="195"/>
      <c r="S34" s="197"/>
      <c r="T34" s="195" t="e">
        <f>S34/S12</f>
        <v>#DIV/0!</v>
      </c>
      <c r="U34" s="194"/>
      <c r="V34" s="195" t="e">
        <f>U34/U12</f>
        <v>#DIV/0!</v>
      </c>
      <c r="W34" s="194"/>
      <c r="X34" s="195" t="e">
        <f>W34/W12</f>
        <v>#DIV/0!</v>
      </c>
      <c r="Y34" s="194"/>
      <c r="Z34" s="195" t="e">
        <f>Y34/Y12</f>
        <v>#DIV/0!</v>
      </c>
      <c r="AA34" s="198">
        <f t="shared" si="15"/>
        <v>0</v>
      </c>
      <c r="AB34" s="195" t="e">
        <f>AA34/AA12</f>
        <v>#DIV/0!</v>
      </c>
      <c r="AC34" s="160">
        <f t="shared" si="1"/>
        <v>0</v>
      </c>
      <c r="AD34" s="195" t="e">
        <f>AC34/AC12</f>
        <v>#DIV/0!</v>
      </c>
      <c r="AE34" s="44">
        <f t="shared" si="2"/>
        <v>0</v>
      </c>
      <c r="AF34" s="21">
        <f t="shared" si="3"/>
        <v>0</v>
      </c>
    </row>
    <row r="35" spans="1:33" s="1" customFormat="1">
      <c r="A35" s="199">
        <v>5699</v>
      </c>
      <c r="B35" s="200" t="s">
        <v>99</v>
      </c>
      <c r="C35" s="201">
        <f>SUM(C22:C34)</f>
        <v>0</v>
      </c>
      <c r="D35" s="202" t="e">
        <f>C35/C12</f>
        <v>#DIV/0!</v>
      </c>
      <c r="E35" s="203">
        <f>SUM(E22:E34)</f>
        <v>0</v>
      </c>
      <c r="F35" s="202" t="e">
        <f>E35/E12</f>
        <v>#DIV/0!</v>
      </c>
      <c r="G35" s="204">
        <f>SUM(G22:G34)</f>
        <v>0</v>
      </c>
      <c r="H35" s="202" t="e">
        <f>G35/G12</f>
        <v>#DIV/0!</v>
      </c>
      <c r="I35" s="204">
        <f>SUM(I22:I34)</f>
        <v>0</v>
      </c>
      <c r="J35" s="202" t="e">
        <f>I35/I12</f>
        <v>#DIV/0!</v>
      </c>
      <c r="K35" s="205">
        <f>SUM(K22:K34)</f>
        <v>0</v>
      </c>
      <c r="L35" s="202" t="e">
        <f>K35/K12</f>
        <v>#DIV/0!</v>
      </c>
      <c r="M35" s="203">
        <f>SUM(M22:M34)</f>
        <v>0</v>
      </c>
      <c r="N35" s="202" t="e">
        <f>M35/M12</f>
        <v>#DIV/0!</v>
      </c>
      <c r="O35" s="203">
        <f>SUM(O22:O34)</f>
        <v>0</v>
      </c>
      <c r="P35" s="202" t="e">
        <f>O35/O12</f>
        <v>#DIV/0!</v>
      </c>
      <c r="Q35" s="203">
        <f>SUM(Q22:Q34)</f>
        <v>0</v>
      </c>
      <c r="R35" s="202" t="e">
        <f>Q35/Q12</f>
        <v>#DIV/0!</v>
      </c>
      <c r="S35" s="203">
        <f>SUM(S22:S34)</f>
        <v>0</v>
      </c>
      <c r="T35" s="202" t="e">
        <f>S35/S12</f>
        <v>#DIV/0!</v>
      </c>
      <c r="U35" s="204">
        <f>SUM(U22:U34)</f>
        <v>0</v>
      </c>
      <c r="V35" s="202" t="e">
        <f>U35/U12</f>
        <v>#DIV/0!</v>
      </c>
      <c r="W35" s="204">
        <f>SUM(W22:W34)</f>
        <v>0</v>
      </c>
      <c r="X35" s="202" t="e">
        <f>W35/W12</f>
        <v>#DIV/0!</v>
      </c>
      <c r="Y35" s="204">
        <f>SUM(Y22:Y34)</f>
        <v>0</v>
      </c>
      <c r="Z35" s="202" t="e">
        <f>Y35/Y12</f>
        <v>#DIV/0!</v>
      </c>
      <c r="AA35" s="206">
        <f>SUM(AA22:AA34)</f>
        <v>0</v>
      </c>
      <c r="AB35" s="202" t="e">
        <f>AA35/AA12</f>
        <v>#DIV/0!</v>
      </c>
      <c r="AC35" s="207">
        <f t="shared" si="1"/>
        <v>0</v>
      </c>
      <c r="AD35" s="202" t="e">
        <f>AC35/AC12</f>
        <v>#DIV/0!</v>
      </c>
      <c r="AE35" s="44">
        <f t="shared" si="2"/>
        <v>0</v>
      </c>
      <c r="AF35" s="21">
        <f t="shared" si="3"/>
        <v>0</v>
      </c>
    </row>
    <row r="36" spans="1:33" s="1" customFormat="1">
      <c r="A36" s="208">
        <v>5999</v>
      </c>
      <c r="B36" s="209" t="s">
        <v>100</v>
      </c>
      <c r="C36" s="210">
        <f>C21+C35</f>
        <v>2564353.7653999999</v>
      </c>
      <c r="D36" s="211" t="e">
        <f>C36/C12</f>
        <v>#DIV/0!</v>
      </c>
      <c r="E36" s="212">
        <f>E21+E35</f>
        <v>2016273.5380000002</v>
      </c>
      <c r="F36" s="211" t="e">
        <f>E36/E12</f>
        <v>#DIV/0!</v>
      </c>
      <c r="G36" s="210">
        <f>G21+G35</f>
        <v>1938919.1328</v>
      </c>
      <c r="H36" s="211" t="e">
        <f>G36/G12</f>
        <v>#DIV/0!</v>
      </c>
      <c r="I36" s="210">
        <f>I21+I35</f>
        <v>3555571.702</v>
      </c>
      <c r="J36" s="211" t="e">
        <f>I36/I12</f>
        <v>#DIV/0!</v>
      </c>
      <c r="K36" s="213">
        <f>K21+K35</f>
        <v>2521011.1950000003</v>
      </c>
      <c r="L36" s="211" t="e">
        <f>K36/K12</f>
        <v>#DIV/0!</v>
      </c>
      <c r="M36" s="212">
        <f>M21+M35</f>
        <v>1452470.7</v>
      </c>
      <c r="N36" s="211" t="e">
        <f>M36/M12</f>
        <v>#DIV/0!</v>
      </c>
      <c r="O36" s="212">
        <f>O21+O35</f>
        <v>4043401.2892</v>
      </c>
      <c r="P36" s="211" t="e">
        <f>O36/O12</f>
        <v>#DIV/0!</v>
      </c>
      <c r="Q36" s="212">
        <f>Q21+Q35</f>
        <v>1602065.8848999999</v>
      </c>
      <c r="R36" s="211" t="e">
        <f>Q36/Q12</f>
        <v>#DIV/0!</v>
      </c>
      <c r="S36" s="212">
        <f>S21+S35</f>
        <v>2324678.4</v>
      </c>
      <c r="T36" s="211" t="e">
        <f>S36/S12</f>
        <v>#DIV/0!</v>
      </c>
      <c r="U36" s="210">
        <f>U21+U35</f>
        <v>1976189.8806809103</v>
      </c>
      <c r="V36" s="211" t="e">
        <f>U36/U12</f>
        <v>#DIV/0!</v>
      </c>
      <c r="W36" s="210">
        <f>W21+W35</f>
        <v>580224.46507461485</v>
      </c>
      <c r="X36" s="211" t="e">
        <f>W36/W12</f>
        <v>#DIV/0!</v>
      </c>
      <c r="Y36" s="210">
        <f>Y21+Y35</f>
        <v>1480587.5006100747</v>
      </c>
      <c r="Z36" s="211" t="e">
        <f>Y36/Y12</f>
        <v>#DIV/0!</v>
      </c>
      <c r="AA36" s="64">
        <f>AA21+AA35</f>
        <v>26055747.453665599</v>
      </c>
      <c r="AB36" s="211" t="e">
        <f>AA36/AA12</f>
        <v>#DIV/0!</v>
      </c>
      <c r="AC36" s="214">
        <f t="shared" si="1"/>
        <v>3722249.6362379426</v>
      </c>
      <c r="AD36" s="211" t="e">
        <f>AC36/AC12</f>
        <v>#DIV/0!</v>
      </c>
      <c r="AE36" s="44">
        <f t="shared" si="2"/>
        <v>26055747.453665599</v>
      </c>
      <c r="AF36" s="21">
        <f t="shared" si="3"/>
        <v>0</v>
      </c>
    </row>
    <row r="37" spans="1:33" s="1" customFormat="1" ht="15.75" thickBot="1">
      <c r="A37" s="7"/>
      <c r="B37" s="215" t="s">
        <v>68</v>
      </c>
      <c r="C37" s="42">
        <f>(C16-C36)</f>
        <v>-2564353.7653999999</v>
      </c>
      <c r="D37" s="131" t="e">
        <f>C37/C12</f>
        <v>#DIV/0!</v>
      </c>
      <c r="E37" s="179">
        <f>(E16-E36)</f>
        <v>-2016273.5380000002</v>
      </c>
      <c r="F37" s="131" t="e">
        <f>E37/E12</f>
        <v>#DIV/0!</v>
      </c>
      <c r="G37" s="42">
        <f>(G16-G36)</f>
        <v>-1938919.1328</v>
      </c>
      <c r="H37" s="131" t="e">
        <f>G37/G12</f>
        <v>#DIV/0!</v>
      </c>
      <c r="I37" s="42">
        <f>(I16-I36)</f>
        <v>-3555571.702</v>
      </c>
      <c r="J37" s="131" t="e">
        <f>I37/I12</f>
        <v>#DIV/0!</v>
      </c>
      <c r="K37" s="18">
        <f>(K16-K36)</f>
        <v>-2521011.1950000003</v>
      </c>
      <c r="L37" s="131" t="e">
        <f>K37/K12</f>
        <v>#DIV/0!</v>
      </c>
      <c r="M37" s="179">
        <f>(M16-M36)</f>
        <v>-1452470.7</v>
      </c>
      <c r="N37" s="131" t="e">
        <f>M37/M12</f>
        <v>#DIV/0!</v>
      </c>
      <c r="O37" s="179">
        <f>(O16-O36)</f>
        <v>-4043401.2892</v>
      </c>
      <c r="P37" s="131" t="e">
        <f>O37/O12</f>
        <v>#DIV/0!</v>
      </c>
      <c r="Q37" s="179">
        <f>(Q16-Q36)</f>
        <v>-1602065.8848999999</v>
      </c>
      <c r="R37" s="131" t="e">
        <f>Q37/Q12</f>
        <v>#DIV/0!</v>
      </c>
      <c r="S37" s="179">
        <f>(S16-S36)</f>
        <v>-2324678.4</v>
      </c>
      <c r="T37" s="131" t="e">
        <f>S37/S12</f>
        <v>#DIV/0!</v>
      </c>
      <c r="U37" s="42">
        <f>(U16-U36)</f>
        <v>-1976189.8806809103</v>
      </c>
      <c r="V37" s="131" t="e">
        <f>U37/U12</f>
        <v>#DIV/0!</v>
      </c>
      <c r="W37" s="42">
        <f>(W16-W36)</f>
        <v>-580224.46507461485</v>
      </c>
      <c r="X37" s="131" t="e">
        <f>W37/W12</f>
        <v>#DIV/0!</v>
      </c>
      <c r="Y37" s="42">
        <f>(Y16-Y36)</f>
        <v>-1480587.5006100747</v>
      </c>
      <c r="Z37" s="131" t="e">
        <f>Y37/Y12</f>
        <v>#DIV/0!</v>
      </c>
      <c r="AA37" s="180">
        <f>(AA16-AA36)</f>
        <v>-26055747.453665599</v>
      </c>
      <c r="AB37" s="131" t="e">
        <f>AA37/AA12</f>
        <v>#DIV/0!</v>
      </c>
      <c r="AC37" s="181">
        <f t="shared" si="1"/>
        <v>-3722249.6362379426</v>
      </c>
      <c r="AD37" s="131" t="e">
        <f>AC37/AC12</f>
        <v>#DIV/0!</v>
      </c>
      <c r="AE37" s="44">
        <f t="shared" si="2"/>
        <v>-26055747.453665599</v>
      </c>
      <c r="AF37" s="21">
        <f t="shared" si="3"/>
        <v>0</v>
      </c>
    </row>
    <row r="38" spans="1:33" s="1" customFormat="1" ht="15.75" thickTop="1">
      <c r="A38" s="2">
        <v>6002</v>
      </c>
      <c r="B38" s="216" t="s">
        <v>45</v>
      </c>
      <c r="C38" s="158"/>
      <c r="D38" s="191" t="e">
        <f>C38/C12</f>
        <v>#DIV/0!</v>
      </c>
      <c r="E38" s="157"/>
      <c r="F38" s="191" t="e">
        <f>E38/E12</f>
        <v>#DIV/0!</v>
      </c>
      <c r="G38" s="158"/>
      <c r="H38" s="191" t="e">
        <f>G38/G12</f>
        <v>#DIV/0!</v>
      </c>
      <c r="I38" s="158"/>
      <c r="J38" s="191" t="e">
        <f>I38/I12</f>
        <v>#DIV/0!</v>
      </c>
      <c r="K38" s="16"/>
      <c r="L38" s="191" t="e">
        <f>K38/K12</f>
        <v>#DIV/0!</v>
      </c>
      <c r="M38" s="157"/>
      <c r="N38" s="191" t="e">
        <f>M38/M12</f>
        <v>#DIV/0!</v>
      </c>
      <c r="O38" s="16"/>
      <c r="P38" s="191"/>
      <c r="Q38" s="16"/>
      <c r="R38" s="191"/>
      <c r="S38" s="16"/>
      <c r="T38" s="191" t="e">
        <f>S38/S12</f>
        <v>#DIV/0!</v>
      </c>
      <c r="U38" s="158"/>
      <c r="V38" s="191" t="e">
        <f>U38/U12</f>
        <v>#DIV/0!</v>
      </c>
      <c r="W38" s="158"/>
      <c r="X38" s="191" t="e">
        <f>W38/W12</f>
        <v>#DIV/0!</v>
      </c>
      <c r="Y38" s="158"/>
      <c r="Z38" s="191" t="e">
        <f>Y38/Y12</f>
        <v>#DIV/0!</v>
      </c>
      <c r="AA38" s="59">
        <f>C38+E38+G38+I38+K38+M38+O38+Q38+S38+U38+W38+Y38</f>
        <v>0</v>
      </c>
      <c r="AB38" s="191" t="e">
        <f>AA38/AA12</f>
        <v>#DIV/0!</v>
      </c>
      <c r="AC38" s="160">
        <f t="shared" si="1"/>
        <v>0</v>
      </c>
      <c r="AD38" s="191" t="e">
        <f>AC38/AC12</f>
        <v>#DIV/0!</v>
      </c>
      <c r="AE38" s="44">
        <f t="shared" si="2"/>
        <v>0</v>
      </c>
      <c r="AF38" s="21">
        <f t="shared" si="3"/>
        <v>0</v>
      </c>
    </row>
    <row r="39" spans="1:33" s="1" customFormat="1">
      <c r="A39" s="2">
        <v>6003</v>
      </c>
      <c r="B39" s="2" t="s">
        <v>0</v>
      </c>
      <c r="C39" s="158"/>
      <c r="D39" s="28" t="e">
        <f>C39/C12</f>
        <v>#DIV/0!</v>
      </c>
      <c r="E39" s="158"/>
      <c r="F39" s="28" t="e">
        <f>E39/E12</f>
        <v>#DIV/0!</v>
      </c>
      <c r="G39" s="158">
        <v>0</v>
      </c>
      <c r="H39" s="28" t="e">
        <f>G39/G12</f>
        <v>#DIV/0!</v>
      </c>
      <c r="I39" s="158"/>
      <c r="J39" s="28" t="e">
        <f>I39/I12</f>
        <v>#DIV/0!</v>
      </c>
      <c r="K39" s="16">
        <v>0</v>
      </c>
      <c r="L39" s="28" t="e">
        <f>K39/K12</f>
        <v>#DIV/0!</v>
      </c>
      <c r="M39" s="158"/>
      <c r="N39" s="28" t="e">
        <f>M39/M12</f>
        <v>#DIV/0!</v>
      </c>
      <c r="O39" s="16"/>
      <c r="P39" s="28"/>
      <c r="Q39" s="16"/>
      <c r="R39" s="28"/>
      <c r="S39" s="16"/>
      <c r="T39" s="28" t="e">
        <f>S39/S12</f>
        <v>#DIV/0!</v>
      </c>
      <c r="U39" s="16"/>
      <c r="V39" s="28" t="e">
        <f>U39/U12</f>
        <v>#DIV/0!</v>
      </c>
      <c r="W39" s="16"/>
      <c r="X39" s="28" t="e">
        <f>W39/W12</f>
        <v>#DIV/0!</v>
      </c>
      <c r="Y39" s="16"/>
      <c r="Z39" s="28" t="e">
        <f>Y39/Y12</f>
        <v>#DIV/0!</v>
      </c>
      <c r="AA39" s="59">
        <f>C39+E39+G39+I39+K39+M39+O39+Q39+S39+U39+W39+Y39</f>
        <v>0</v>
      </c>
      <c r="AB39" s="28" t="e">
        <f>AA39/AA12</f>
        <v>#DIV/0!</v>
      </c>
      <c r="AC39" s="160">
        <f t="shared" si="1"/>
        <v>0</v>
      </c>
      <c r="AD39" s="28" t="e">
        <f>AC39/AC12</f>
        <v>#DIV/0!</v>
      </c>
      <c r="AE39" s="44">
        <f t="shared" si="2"/>
        <v>0</v>
      </c>
      <c r="AF39" s="21">
        <f t="shared" si="3"/>
        <v>0</v>
      </c>
    </row>
    <row r="40" spans="1:33" s="1" customFormat="1">
      <c r="A40" s="2">
        <v>6004</v>
      </c>
      <c r="B40" s="216" t="s">
        <v>1</v>
      </c>
      <c r="C40" s="158"/>
      <c r="D40" s="191" t="e">
        <f>C40/C12</f>
        <v>#DIV/0!</v>
      </c>
      <c r="E40" s="157"/>
      <c r="F40" s="191" t="e">
        <f>E40/E12</f>
        <v>#DIV/0!</v>
      </c>
      <c r="G40" s="158"/>
      <c r="H40" s="191" t="e">
        <f>G40/G12</f>
        <v>#DIV/0!</v>
      </c>
      <c r="I40" s="158"/>
      <c r="J40" s="191" t="e">
        <f>I40/I12</f>
        <v>#DIV/0!</v>
      </c>
      <c r="K40" s="16"/>
      <c r="L40" s="191" t="e">
        <f>K40/K12</f>
        <v>#DIV/0!</v>
      </c>
      <c r="M40" s="157"/>
      <c r="N40" s="191" t="e">
        <f>M40/M12</f>
        <v>#DIV/0!</v>
      </c>
      <c r="O40" s="16"/>
      <c r="P40" s="191"/>
      <c r="Q40" s="16"/>
      <c r="R40" s="191"/>
      <c r="S40" s="16"/>
      <c r="T40" s="191" t="e">
        <f>S40/S12</f>
        <v>#DIV/0!</v>
      </c>
      <c r="U40" s="158"/>
      <c r="V40" s="191" t="e">
        <f>U40/U12</f>
        <v>#DIV/0!</v>
      </c>
      <c r="W40" s="158"/>
      <c r="X40" s="191" t="e">
        <f>W40/W12</f>
        <v>#DIV/0!</v>
      </c>
      <c r="Y40" s="158"/>
      <c r="Z40" s="191" t="e">
        <f>Y40/Y12</f>
        <v>#DIV/0!</v>
      </c>
      <c r="AA40" s="59">
        <f>C40+E40+G40+I40+K40+M40+O40+Q40+S40+U40+W40+Y40</f>
        <v>0</v>
      </c>
      <c r="AB40" s="191" t="e">
        <f>AA40/AA12</f>
        <v>#DIV/0!</v>
      </c>
      <c r="AC40" s="160">
        <f t="shared" si="1"/>
        <v>0</v>
      </c>
      <c r="AD40" s="191" t="e">
        <f>AC40/AC12</f>
        <v>#DIV/0!</v>
      </c>
      <c r="AE40" s="44">
        <f t="shared" si="2"/>
        <v>0</v>
      </c>
      <c r="AF40" s="21">
        <f t="shared" si="3"/>
        <v>0</v>
      </c>
    </row>
    <row r="41" spans="1:33" s="1" customFormat="1" ht="15.75" thickBot="1">
      <c r="A41" s="4">
        <v>6099</v>
      </c>
      <c r="B41" s="217" t="s">
        <v>101</v>
      </c>
      <c r="C41" s="168">
        <f>SUM(C38:C40)</f>
        <v>0</v>
      </c>
      <c r="D41" s="218" t="e">
        <f>C41/C12</f>
        <v>#DIV/0!</v>
      </c>
      <c r="E41" s="166">
        <f>SUM(E38:E40)</f>
        <v>0</v>
      </c>
      <c r="F41" s="218" t="e">
        <f>E41/E12</f>
        <v>#DIV/0!</v>
      </c>
      <c r="G41" s="168">
        <f>SUM(G38:G40)</f>
        <v>0</v>
      </c>
      <c r="H41" s="218" t="e">
        <f>G41/G12</f>
        <v>#DIV/0!</v>
      </c>
      <c r="I41" s="168">
        <f>SUM(I38:I40)</f>
        <v>0</v>
      </c>
      <c r="J41" s="218" t="e">
        <f>I41/I12</f>
        <v>#DIV/0!</v>
      </c>
      <c r="K41" s="188">
        <f>SUM(K38:K40)</f>
        <v>0</v>
      </c>
      <c r="L41" s="218" t="e">
        <f>K41/K12</f>
        <v>#DIV/0!</v>
      </c>
      <c r="M41" s="166">
        <f>SUM(M38:M40)</f>
        <v>0</v>
      </c>
      <c r="N41" s="218" t="e">
        <f>M41/M12</f>
        <v>#DIV/0!</v>
      </c>
      <c r="O41" s="188"/>
      <c r="P41" s="218"/>
      <c r="Q41" s="188"/>
      <c r="R41" s="218"/>
      <c r="S41" s="188"/>
      <c r="T41" s="218" t="e">
        <f>S41/S12</f>
        <v>#DIV/0!</v>
      </c>
      <c r="U41" s="168">
        <f>SUM(U38:U40)</f>
        <v>0</v>
      </c>
      <c r="V41" s="218" t="e">
        <f>U41/U12</f>
        <v>#DIV/0!</v>
      </c>
      <c r="W41" s="168">
        <f>SUM(W38:W40)</f>
        <v>0</v>
      </c>
      <c r="X41" s="218" t="e">
        <f>W41/W12</f>
        <v>#DIV/0!</v>
      </c>
      <c r="Y41" s="168">
        <f>SUM(Y38:Y40)</f>
        <v>0</v>
      </c>
      <c r="Z41" s="218" t="e">
        <f>Y41/Y12</f>
        <v>#DIV/0!</v>
      </c>
      <c r="AA41" s="189">
        <f>SUM(AA38:AA40)</f>
        <v>0</v>
      </c>
      <c r="AB41" s="218" t="e">
        <f>AA41/AA12</f>
        <v>#DIV/0!</v>
      </c>
      <c r="AC41" s="23">
        <f t="shared" si="1"/>
        <v>0</v>
      </c>
      <c r="AD41" s="218" t="e">
        <f>AC41/AC12</f>
        <v>#DIV/0!</v>
      </c>
      <c r="AE41" s="44">
        <f t="shared" si="2"/>
        <v>0</v>
      </c>
      <c r="AF41" s="21">
        <f t="shared" si="3"/>
        <v>0</v>
      </c>
    </row>
    <row r="42" spans="1:33" s="1" customFormat="1" ht="15.75" thickTop="1">
      <c r="A42" s="2">
        <v>6101</v>
      </c>
      <c r="B42" s="219" t="s">
        <v>2</v>
      </c>
      <c r="C42" s="16"/>
      <c r="D42" s="191" t="e">
        <f>C42/C12</f>
        <v>#DIV/0!</v>
      </c>
      <c r="E42" s="16"/>
      <c r="F42" s="191" t="e">
        <f>E42/E12</f>
        <v>#DIV/0!</v>
      </c>
      <c r="G42" s="16"/>
      <c r="H42" s="191" t="e">
        <f>G42/G12</f>
        <v>#DIV/0!</v>
      </c>
      <c r="I42" s="16"/>
      <c r="J42" s="191" t="e">
        <f>I42/I12</f>
        <v>#DIV/0!</v>
      </c>
      <c r="K42" s="16"/>
      <c r="L42" s="191" t="e">
        <f>K42/K12</f>
        <v>#DIV/0!</v>
      </c>
      <c r="M42" s="16">
        <v>0</v>
      </c>
      <c r="N42" s="191" t="e">
        <f>M42/M12</f>
        <v>#DIV/0!</v>
      </c>
      <c r="O42" s="16">
        <v>0</v>
      </c>
      <c r="P42" s="191" t="e">
        <f>O42/O12</f>
        <v>#DIV/0!</v>
      </c>
      <c r="Q42" s="16">
        <v>0</v>
      </c>
      <c r="R42" s="191" t="e">
        <f>Q42/Q12</f>
        <v>#DIV/0!</v>
      </c>
      <c r="S42" s="16">
        <v>0</v>
      </c>
      <c r="T42" s="191" t="e">
        <f>S42/S12</f>
        <v>#DIV/0!</v>
      </c>
      <c r="U42" s="16">
        <v>0</v>
      </c>
      <c r="V42" s="191" t="e">
        <f>U42/U12</f>
        <v>#DIV/0!</v>
      </c>
      <c r="W42" s="16">
        <v>0</v>
      </c>
      <c r="X42" s="191" t="e">
        <f>W42/W12</f>
        <v>#DIV/0!</v>
      </c>
      <c r="Y42" s="16">
        <v>0</v>
      </c>
      <c r="Z42" s="191" t="e">
        <f>Y42/Y12</f>
        <v>#DIV/0!</v>
      </c>
      <c r="AA42" s="59">
        <f t="shared" ref="AA42:AA69" si="16">C42+E42+G42+I42+K42+M42+O42+Q42+S42+U42+W42+Y42</f>
        <v>0</v>
      </c>
      <c r="AB42" s="28" t="e">
        <f>AA42/AA12</f>
        <v>#DIV/0!</v>
      </c>
      <c r="AC42" s="160">
        <f t="shared" si="1"/>
        <v>0</v>
      </c>
      <c r="AD42" s="28" t="e">
        <f>AC42/AC12</f>
        <v>#DIV/0!</v>
      </c>
      <c r="AE42" s="44">
        <f t="shared" si="2"/>
        <v>0</v>
      </c>
      <c r="AF42" s="21">
        <f t="shared" si="3"/>
        <v>0</v>
      </c>
      <c r="AG42" s="1" t="s">
        <v>199</v>
      </c>
    </row>
    <row r="43" spans="1:33" s="1" customFormat="1">
      <c r="A43" s="2">
        <v>6102</v>
      </c>
      <c r="B43" s="219" t="s">
        <v>3</v>
      </c>
      <c r="C43" s="155"/>
      <c r="D43" s="191" t="e">
        <f>C43/C12</f>
        <v>#DIV/0!</v>
      </c>
      <c r="E43" s="155"/>
      <c r="F43" s="191" t="e">
        <f>E43/E12</f>
        <v>#DIV/0!</v>
      </c>
      <c r="G43" s="155"/>
      <c r="H43" s="191" t="e">
        <f>G43/G12</f>
        <v>#DIV/0!</v>
      </c>
      <c r="I43" s="155"/>
      <c r="J43" s="191" t="e">
        <f>I43/I12</f>
        <v>#DIV/0!</v>
      </c>
      <c r="K43" s="155"/>
      <c r="L43" s="191" t="e">
        <f>K43/K12</f>
        <v>#DIV/0!</v>
      </c>
      <c r="M43" s="155">
        <v>0</v>
      </c>
      <c r="N43" s="191" t="e">
        <f>M43/M12</f>
        <v>#DIV/0!</v>
      </c>
      <c r="O43" s="155">
        <v>0</v>
      </c>
      <c r="P43" s="191" t="e">
        <f>O43/O12</f>
        <v>#DIV/0!</v>
      </c>
      <c r="Q43" s="155">
        <v>0</v>
      </c>
      <c r="R43" s="191" t="e">
        <f>Q43/Q12</f>
        <v>#DIV/0!</v>
      </c>
      <c r="S43" s="155">
        <v>0</v>
      </c>
      <c r="T43" s="191" t="e">
        <f>S43/S12</f>
        <v>#DIV/0!</v>
      </c>
      <c r="U43" s="155">
        <v>0</v>
      </c>
      <c r="V43" s="191" t="e">
        <f>U43/U12</f>
        <v>#DIV/0!</v>
      </c>
      <c r="W43" s="155">
        <v>0</v>
      </c>
      <c r="X43" s="191" t="e">
        <f>W43/W12</f>
        <v>#DIV/0!</v>
      </c>
      <c r="Y43" s="155">
        <v>0</v>
      </c>
      <c r="Z43" s="191" t="e">
        <f>Y43/Y12</f>
        <v>#DIV/0!</v>
      </c>
      <c r="AA43" s="59">
        <f t="shared" si="16"/>
        <v>0</v>
      </c>
      <c r="AB43" s="28" t="e">
        <f>AA43/AA12</f>
        <v>#DIV/0!</v>
      </c>
      <c r="AC43" s="160">
        <f t="shared" si="1"/>
        <v>0</v>
      </c>
      <c r="AD43" s="28" t="e">
        <f>AC43/AC12</f>
        <v>#DIV/0!</v>
      </c>
      <c r="AE43" s="44">
        <f t="shared" si="2"/>
        <v>0</v>
      </c>
      <c r="AF43" s="21">
        <f t="shared" si="3"/>
        <v>0</v>
      </c>
    </row>
    <row r="44" spans="1:33" s="1" customFormat="1">
      <c r="A44" s="82">
        <v>6103</v>
      </c>
      <c r="B44" s="219" t="s">
        <v>4</v>
      </c>
      <c r="C44" s="185"/>
      <c r="D44" s="191" t="e">
        <f>C44/C12</f>
        <v>#DIV/0!</v>
      </c>
      <c r="E44" s="185"/>
      <c r="F44" s="191" t="e">
        <f>E44/E12</f>
        <v>#DIV/0!</v>
      </c>
      <c r="G44" s="185"/>
      <c r="H44" s="191" t="e">
        <f>G44/G12</f>
        <v>#DIV/0!</v>
      </c>
      <c r="I44" s="185"/>
      <c r="J44" s="191" t="e">
        <f>I44/I12</f>
        <v>#DIV/0!</v>
      </c>
      <c r="K44" s="185"/>
      <c r="L44" s="191" t="e">
        <f>K44/K12</f>
        <v>#DIV/0!</v>
      </c>
      <c r="M44" s="185">
        <v>0</v>
      </c>
      <c r="N44" s="191" t="e">
        <f>M44/M12</f>
        <v>#DIV/0!</v>
      </c>
      <c r="O44" s="185">
        <v>0</v>
      </c>
      <c r="P44" s="191" t="e">
        <f>O44/O12</f>
        <v>#DIV/0!</v>
      </c>
      <c r="Q44" s="185">
        <v>0</v>
      </c>
      <c r="R44" s="191" t="e">
        <f>Q44/Q12</f>
        <v>#DIV/0!</v>
      </c>
      <c r="S44" s="185">
        <v>0</v>
      </c>
      <c r="T44" s="191" t="e">
        <f>S44/S12</f>
        <v>#DIV/0!</v>
      </c>
      <c r="U44" s="185">
        <v>0</v>
      </c>
      <c r="V44" s="191" t="e">
        <f>U44/U12</f>
        <v>#DIV/0!</v>
      </c>
      <c r="W44" s="185"/>
      <c r="X44" s="191" t="e">
        <f>W44/W12</f>
        <v>#DIV/0!</v>
      </c>
      <c r="Y44" s="185"/>
      <c r="Z44" s="191" t="e">
        <f>Y44/Y12</f>
        <v>#DIV/0!</v>
      </c>
      <c r="AA44" s="59">
        <f t="shared" si="16"/>
        <v>0</v>
      </c>
      <c r="AB44" s="28" t="e">
        <f>AA44/AA12</f>
        <v>#DIV/0!</v>
      </c>
      <c r="AC44" s="160">
        <f t="shared" si="1"/>
        <v>0</v>
      </c>
      <c r="AD44" s="28" t="e">
        <f>AC44/AC12</f>
        <v>#DIV/0!</v>
      </c>
      <c r="AE44" s="44">
        <f t="shared" si="2"/>
        <v>0</v>
      </c>
      <c r="AF44" s="21">
        <f t="shared" si="3"/>
        <v>0</v>
      </c>
    </row>
    <row r="45" spans="1:33" s="1" customFormat="1">
      <c r="A45" s="82">
        <v>6104</v>
      </c>
      <c r="B45" s="219" t="s">
        <v>5</v>
      </c>
      <c r="C45" s="155"/>
      <c r="D45" s="191" t="e">
        <f>C45/C12</f>
        <v>#DIV/0!</v>
      </c>
      <c r="E45" s="155"/>
      <c r="F45" s="191" t="e">
        <f>E45/E12</f>
        <v>#DIV/0!</v>
      </c>
      <c r="G45" s="155"/>
      <c r="H45" s="191" t="e">
        <f>G45/G12</f>
        <v>#DIV/0!</v>
      </c>
      <c r="I45" s="155"/>
      <c r="J45" s="191" t="e">
        <f>I45/I12</f>
        <v>#DIV/0!</v>
      </c>
      <c r="K45" s="155"/>
      <c r="L45" s="191" t="e">
        <f>K45/K12</f>
        <v>#DIV/0!</v>
      </c>
      <c r="M45" s="155">
        <v>0</v>
      </c>
      <c r="N45" s="191" t="e">
        <f>M45/M12</f>
        <v>#DIV/0!</v>
      </c>
      <c r="O45" s="155">
        <v>0</v>
      </c>
      <c r="P45" s="191" t="e">
        <f>O45/O12</f>
        <v>#DIV/0!</v>
      </c>
      <c r="Q45" s="155">
        <v>0</v>
      </c>
      <c r="R45" s="191" t="e">
        <f>Q45/Q12</f>
        <v>#DIV/0!</v>
      </c>
      <c r="S45" s="155">
        <v>0</v>
      </c>
      <c r="T45" s="191" t="e">
        <f>S45/S12</f>
        <v>#DIV/0!</v>
      </c>
      <c r="U45" s="155">
        <v>0</v>
      </c>
      <c r="V45" s="191" t="e">
        <f>U45/U12</f>
        <v>#DIV/0!</v>
      </c>
      <c r="W45" s="155">
        <v>0</v>
      </c>
      <c r="X45" s="191" t="e">
        <f>W45/W12</f>
        <v>#DIV/0!</v>
      </c>
      <c r="Y45" s="155">
        <v>0</v>
      </c>
      <c r="Z45" s="191" t="e">
        <f>Y45/Y12</f>
        <v>#DIV/0!</v>
      </c>
      <c r="AA45" s="59">
        <f t="shared" si="16"/>
        <v>0</v>
      </c>
      <c r="AB45" s="28" t="e">
        <f>AA45/AA12</f>
        <v>#DIV/0!</v>
      </c>
      <c r="AC45" s="160">
        <f t="shared" si="1"/>
        <v>0</v>
      </c>
      <c r="AD45" s="28" t="e">
        <f>AC45/AC12</f>
        <v>#DIV/0!</v>
      </c>
      <c r="AE45" s="44">
        <f t="shared" si="2"/>
        <v>0</v>
      </c>
      <c r="AF45" s="21">
        <f t="shared" si="3"/>
        <v>0</v>
      </c>
    </row>
    <row r="46" spans="1:33" s="1" customFormat="1">
      <c r="A46" s="82">
        <v>6105</v>
      </c>
      <c r="B46" s="219" t="s">
        <v>39</v>
      </c>
      <c r="C46" s="155"/>
      <c r="D46" s="191" t="e">
        <f>C46/C12</f>
        <v>#DIV/0!</v>
      </c>
      <c r="E46" s="155"/>
      <c r="F46" s="191" t="e">
        <f>E46/E12</f>
        <v>#DIV/0!</v>
      </c>
      <c r="G46" s="155"/>
      <c r="H46" s="191" t="e">
        <f>G46/G12</f>
        <v>#DIV/0!</v>
      </c>
      <c r="I46" s="155"/>
      <c r="J46" s="191" t="e">
        <f>I46/I12</f>
        <v>#DIV/0!</v>
      </c>
      <c r="K46" s="155"/>
      <c r="L46" s="191" t="e">
        <f>K46/K12</f>
        <v>#DIV/0!</v>
      </c>
      <c r="M46" s="158">
        <v>0</v>
      </c>
      <c r="N46" s="191"/>
      <c r="O46" s="158"/>
      <c r="P46" s="191"/>
      <c r="Q46" s="158"/>
      <c r="R46" s="191"/>
      <c r="S46" s="158">
        <v>0</v>
      </c>
      <c r="T46" s="191"/>
      <c r="U46" s="158"/>
      <c r="V46" s="191"/>
      <c r="W46" s="158">
        <v>0</v>
      </c>
      <c r="X46" s="191"/>
      <c r="Y46" s="158">
        <v>0</v>
      </c>
      <c r="Z46" s="191"/>
      <c r="AA46" s="59">
        <f t="shared" si="16"/>
        <v>0</v>
      </c>
      <c r="AB46" s="28" t="e">
        <f>AA46/AA12</f>
        <v>#DIV/0!</v>
      </c>
      <c r="AC46" s="160">
        <f t="shared" si="1"/>
        <v>0</v>
      </c>
      <c r="AD46" s="28" t="e">
        <f>AC46/AC12</f>
        <v>#DIV/0!</v>
      </c>
      <c r="AE46" s="44">
        <f t="shared" si="2"/>
        <v>0</v>
      </c>
      <c r="AF46" s="21">
        <f t="shared" si="3"/>
        <v>0</v>
      </c>
    </row>
    <row r="47" spans="1:33" s="1" customFormat="1">
      <c r="A47" s="82">
        <v>6106</v>
      </c>
      <c r="B47" s="219" t="s">
        <v>6</v>
      </c>
      <c r="C47" s="155"/>
      <c r="D47" s="191" t="e">
        <f>C47/C12</f>
        <v>#DIV/0!</v>
      </c>
      <c r="E47" s="155"/>
      <c r="F47" s="191" t="e">
        <f>E47/E12</f>
        <v>#DIV/0!</v>
      </c>
      <c r="G47" s="155"/>
      <c r="H47" s="191" t="e">
        <f>G47/G12</f>
        <v>#DIV/0!</v>
      </c>
      <c r="I47" s="155"/>
      <c r="J47" s="191" t="e">
        <f>I47/I12</f>
        <v>#DIV/0!</v>
      </c>
      <c r="K47" s="155"/>
      <c r="L47" s="191" t="e">
        <f>K47/K12</f>
        <v>#DIV/0!</v>
      </c>
      <c r="M47" s="155">
        <v>0</v>
      </c>
      <c r="N47" s="191" t="e">
        <f>M47/M12</f>
        <v>#DIV/0!</v>
      </c>
      <c r="O47" s="155">
        <v>0</v>
      </c>
      <c r="P47" s="191" t="e">
        <f>O47/O12</f>
        <v>#DIV/0!</v>
      </c>
      <c r="Q47" s="155">
        <v>0</v>
      </c>
      <c r="R47" s="191" t="e">
        <f>Q47/Q12</f>
        <v>#DIV/0!</v>
      </c>
      <c r="S47" s="155">
        <v>0</v>
      </c>
      <c r="T47" s="191" t="e">
        <f>S47/S12</f>
        <v>#DIV/0!</v>
      </c>
      <c r="U47" s="155">
        <v>0</v>
      </c>
      <c r="V47" s="191" t="e">
        <f>U47/U12</f>
        <v>#DIV/0!</v>
      </c>
      <c r="W47" s="155">
        <v>0</v>
      </c>
      <c r="X47" s="191" t="e">
        <f>W47/W12</f>
        <v>#DIV/0!</v>
      </c>
      <c r="Y47" s="155">
        <v>0</v>
      </c>
      <c r="Z47" s="191" t="e">
        <f>Y47/Y12</f>
        <v>#DIV/0!</v>
      </c>
      <c r="AA47" s="59">
        <f t="shared" si="16"/>
        <v>0</v>
      </c>
      <c r="AB47" s="28" t="e">
        <f>AA47/AA12</f>
        <v>#DIV/0!</v>
      </c>
      <c r="AC47" s="160">
        <f t="shared" si="1"/>
        <v>0</v>
      </c>
      <c r="AD47" s="28" t="e">
        <f>AC47/AC12</f>
        <v>#DIV/0!</v>
      </c>
      <c r="AE47" s="44">
        <f t="shared" si="2"/>
        <v>0</v>
      </c>
      <c r="AF47" s="21">
        <f t="shared" si="3"/>
        <v>0</v>
      </c>
    </row>
    <row r="48" spans="1:33" s="1" customFormat="1">
      <c r="A48" s="82">
        <v>6107</v>
      </c>
      <c r="B48" s="219" t="s">
        <v>7</v>
      </c>
      <c r="C48" s="19"/>
      <c r="D48" s="191" t="e">
        <f>C48/C12</f>
        <v>#DIV/0!</v>
      </c>
      <c r="E48" s="19"/>
      <c r="F48" s="191" t="e">
        <f>E48/E12</f>
        <v>#DIV/0!</v>
      </c>
      <c r="G48" s="19"/>
      <c r="H48" s="191" t="e">
        <f>G48/G12</f>
        <v>#DIV/0!</v>
      </c>
      <c r="I48" s="19"/>
      <c r="J48" s="191" t="e">
        <f>I48/I12</f>
        <v>#DIV/0!</v>
      </c>
      <c r="K48" s="19"/>
      <c r="L48" s="191" t="e">
        <f>K48/K12</f>
        <v>#DIV/0!</v>
      </c>
      <c r="M48" s="19"/>
      <c r="N48" s="191" t="e">
        <f>M48/M12</f>
        <v>#DIV/0!</v>
      </c>
      <c r="O48" s="19"/>
      <c r="P48" s="191" t="e">
        <f>O48/O12</f>
        <v>#DIV/0!</v>
      </c>
      <c r="Q48" s="19"/>
      <c r="R48" s="191" t="e">
        <f>Q48/Q12</f>
        <v>#DIV/0!</v>
      </c>
      <c r="S48" s="19"/>
      <c r="T48" s="191" t="e">
        <f>S48/S12</f>
        <v>#DIV/0!</v>
      </c>
      <c r="U48" s="19"/>
      <c r="V48" s="191" t="e">
        <f>U48/U12</f>
        <v>#DIV/0!</v>
      </c>
      <c r="W48" s="19"/>
      <c r="X48" s="191" t="e">
        <f>W48/W12</f>
        <v>#DIV/0!</v>
      </c>
      <c r="Y48" s="19"/>
      <c r="Z48" s="191" t="e">
        <f>Y48/Y12</f>
        <v>#DIV/0!</v>
      </c>
      <c r="AA48" s="59">
        <f t="shared" si="16"/>
        <v>0</v>
      </c>
      <c r="AB48" s="28" t="e">
        <f>AA48/AA12</f>
        <v>#DIV/0!</v>
      </c>
      <c r="AC48" s="160">
        <f t="shared" si="1"/>
        <v>0</v>
      </c>
      <c r="AD48" s="28" t="e">
        <f>AC48/AC12</f>
        <v>#DIV/0!</v>
      </c>
      <c r="AE48" s="44">
        <f t="shared" si="2"/>
        <v>0</v>
      </c>
      <c r="AF48" s="21">
        <f t="shared" si="3"/>
        <v>0</v>
      </c>
    </row>
    <row r="49" spans="1:34" s="1" customFormat="1">
      <c r="A49" s="82">
        <v>6108</v>
      </c>
      <c r="B49" s="219" t="s">
        <v>8</v>
      </c>
      <c r="C49" s="19"/>
      <c r="D49" s="191" t="e">
        <f>C49/C12</f>
        <v>#DIV/0!</v>
      </c>
      <c r="E49" s="19"/>
      <c r="F49" s="191" t="e">
        <f>E49/E12</f>
        <v>#DIV/0!</v>
      </c>
      <c r="G49" s="19"/>
      <c r="H49" s="191" t="e">
        <f>G49/G12</f>
        <v>#DIV/0!</v>
      </c>
      <c r="I49" s="19"/>
      <c r="J49" s="191" t="e">
        <f>I49/I12</f>
        <v>#DIV/0!</v>
      </c>
      <c r="K49" s="19"/>
      <c r="L49" s="191" t="e">
        <f>K49/K12</f>
        <v>#DIV/0!</v>
      </c>
      <c r="M49" s="19"/>
      <c r="N49" s="191" t="e">
        <f>M49/M12</f>
        <v>#DIV/0!</v>
      </c>
      <c r="O49" s="19"/>
      <c r="P49" s="191" t="e">
        <f>O49/O12</f>
        <v>#DIV/0!</v>
      </c>
      <c r="Q49" s="19"/>
      <c r="R49" s="191" t="e">
        <f>Q49/Q12</f>
        <v>#DIV/0!</v>
      </c>
      <c r="S49" s="19"/>
      <c r="T49" s="191" t="e">
        <f>S49/S12</f>
        <v>#DIV/0!</v>
      </c>
      <c r="U49" s="19"/>
      <c r="V49" s="191" t="e">
        <f>U49/U12</f>
        <v>#DIV/0!</v>
      </c>
      <c r="W49" s="19"/>
      <c r="X49" s="191" t="e">
        <f>W49/W12</f>
        <v>#DIV/0!</v>
      </c>
      <c r="Y49" s="19"/>
      <c r="Z49" s="191" t="e">
        <f>Y49/Y12</f>
        <v>#DIV/0!</v>
      </c>
      <c r="AA49" s="59">
        <f t="shared" si="16"/>
        <v>0</v>
      </c>
      <c r="AB49" s="28" t="e">
        <f>AA49/AA12</f>
        <v>#DIV/0!</v>
      </c>
      <c r="AC49" s="160">
        <f t="shared" si="1"/>
        <v>0</v>
      </c>
      <c r="AD49" s="28" t="e">
        <f>AC49/AC12</f>
        <v>#DIV/0!</v>
      </c>
      <c r="AE49" s="44">
        <f t="shared" si="2"/>
        <v>0</v>
      </c>
      <c r="AF49" s="21">
        <f t="shared" si="3"/>
        <v>0</v>
      </c>
    </row>
    <row r="50" spans="1:34" s="1" customFormat="1">
      <c r="A50" s="82">
        <v>6109</v>
      </c>
      <c r="B50" s="219" t="s">
        <v>79</v>
      </c>
      <c r="C50" s="162"/>
      <c r="D50" s="191" t="e">
        <f>C50/C12</f>
        <v>#DIV/0!</v>
      </c>
      <c r="E50" s="162"/>
      <c r="F50" s="191" t="e">
        <f>E50/E12</f>
        <v>#DIV/0!</v>
      </c>
      <c r="G50" s="162"/>
      <c r="H50" s="191" t="e">
        <f>G50/G12</f>
        <v>#DIV/0!</v>
      </c>
      <c r="I50" s="162"/>
      <c r="J50" s="191" t="e">
        <f>I50/I12</f>
        <v>#DIV/0!</v>
      </c>
      <c r="K50" s="162"/>
      <c r="L50" s="191" t="e">
        <f>K50/K12</f>
        <v>#DIV/0!</v>
      </c>
      <c r="M50" s="162"/>
      <c r="N50" s="191" t="e">
        <f>M50/M12</f>
        <v>#DIV/0!</v>
      </c>
      <c r="O50" s="162"/>
      <c r="P50" s="191" t="e">
        <f>O50/O12</f>
        <v>#DIV/0!</v>
      </c>
      <c r="Q50" s="162"/>
      <c r="R50" s="191" t="e">
        <f>Q50/Q12</f>
        <v>#DIV/0!</v>
      </c>
      <c r="S50" s="162"/>
      <c r="T50" s="191" t="e">
        <f>S50/S12</f>
        <v>#DIV/0!</v>
      </c>
      <c r="U50" s="162"/>
      <c r="V50" s="191" t="e">
        <f>U50/U12</f>
        <v>#DIV/0!</v>
      </c>
      <c r="W50" s="162"/>
      <c r="X50" s="191" t="e">
        <f>W50/W12</f>
        <v>#DIV/0!</v>
      </c>
      <c r="Y50" s="162"/>
      <c r="Z50" s="191" t="e">
        <f>Y50/Y12</f>
        <v>#DIV/0!</v>
      </c>
      <c r="AA50" s="59">
        <f t="shared" si="16"/>
        <v>0</v>
      </c>
      <c r="AB50" s="28" t="e">
        <f>AA50/AA12</f>
        <v>#DIV/0!</v>
      </c>
      <c r="AC50" s="160">
        <f t="shared" si="1"/>
        <v>0</v>
      </c>
      <c r="AD50" s="28" t="e">
        <f>AC50/AC12</f>
        <v>#DIV/0!</v>
      </c>
      <c r="AE50" s="44">
        <f t="shared" si="2"/>
        <v>0</v>
      </c>
      <c r="AF50" s="21">
        <f t="shared" si="3"/>
        <v>0</v>
      </c>
    </row>
    <row r="51" spans="1:34" s="1" customFormat="1">
      <c r="A51" s="82">
        <v>6110</v>
      </c>
      <c r="B51" s="219" t="s">
        <v>9</v>
      </c>
      <c r="C51" s="162"/>
      <c r="D51" s="191" t="e">
        <f>C51/C12</f>
        <v>#DIV/0!</v>
      </c>
      <c r="E51" s="162"/>
      <c r="F51" s="191" t="e">
        <f>E51/E12</f>
        <v>#DIV/0!</v>
      </c>
      <c r="G51" s="162"/>
      <c r="H51" s="191" t="e">
        <f>G51/G12</f>
        <v>#DIV/0!</v>
      </c>
      <c r="I51" s="162"/>
      <c r="J51" s="191" t="e">
        <f>I51/I12</f>
        <v>#DIV/0!</v>
      </c>
      <c r="K51" s="162"/>
      <c r="L51" s="191" t="e">
        <f>K51/K12</f>
        <v>#DIV/0!</v>
      </c>
      <c r="M51" s="162">
        <v>0</v>
      </c>
      <c r="N51" s="191" t="e">
        <f>M51/M12</f>
        <v>#DIV/0!</v>
      </c>
      <c r="O51" s="162">
        <v>0</v>
      </c>
      <c r="P51" s="191" t="e">
        <f>O51/O12</f>
        <v>#DIV/0!</v>
      </c>
      <c r="Q51" s="162">
        <v>0</v>
      </c>
      <c r="R51" s="191" t="e">
        <f>Q51/Q12</f>
        <v>#DIV/0!</v>
      </c>
      <c r="S51" s="162">
        <v>0</v>
      </c>
      <c r="T51" s="191" t="e">
        <f>S51/S12</f>
        <v>#DIV/0!</v>
      </c>
      <c r="U51" s="162">
        <v>0</v>
      </c>
      <c r="V51" s="191" t="e">
        <f>U51/U12</f>
        <v>#DIV/0!</v>
      </c>
      <c r="W51" s="162">
        <v>0</v>
      </c>
      <c r="X51" s="191" t="e">
        <f>W51/W12</f>
        <v>#DIV/0!</v>
      </c>
      <c r="Y51" s="162">
        <v>0</v>
      </c>
      <c r="Z51" s="191" t="e">
        <f>Y51/Y12</f>
        <v>#DIV/0!</v>
      </c>
      <c r="AA51" s="59">
        <f t="shared" si="16"/>
        <v>0</v>
      </c>
      <c r="AB51" s="28" t="e">
        <f>AA51/AA12</f>
        <v>#DIV/0!</v>
      </c>
      <c r="AC51" s="160">
        <f t="shared" si="1"/>
        <v>0</v>
      </c>
      <c r="AD51" s="28" t="e">
        <f>AC51/AC12</f>
        <v>#DIV/0!</v>
      </c>
      <c r="AE51" s="44">
        <f t="shared" si="2"/>
        <v>0</v>
      </c>
      <c r="AF51" s="21">
        <f t="shared" si="3"/>
        <v>0</v>
      </c>
    </row>
    <row r="52" spans="1:34" s="1" customFormat="1">
      <c r="A52" s="82">
        <v>6111</v>
      </c>
      <c r="B52" s="219" t="s">
        <v>10</v>
      </c>
      <c r="C52" s="158"/>
      <c r="D52" s="191" t="e">
        <f>C52/C12</f>
        <v>#DIV/0!</v>
      </c>
      <c r="E52" s="158"/>
      <c r="F52" s="191" t="e">
        <f>E52/E12</f>
        <v>#DIV/0!</v>
      </c>
      <c r="G52" s="158"/>
      <c r="H52" s="191" t="e">
        <f>G52/G12</f>
        <v>#DIV/0!</v>
      </c>
      <c r="I52" s="158"/>
      <c r="J52" s="191" t="e">
        <f>I52/I12</f>
        <v>#DIV/0!</v>
      </c>
      <c r="K52" s="158"/>
      <c r="L52" s="191" t="e">
        <f>K52/K12</f>
        <v>#DIV/0!</v>
      </c>
      <c r="M52" s="158">
        <v>0</v>
      </c>
      <c r="N52" s="191" t="e">
        <f>M52/M12</f>
        <v>#DIV/0!</v>
      </c>
      <c r="O52" s="158">
        <f>O42*15%</f>
        <v>0</v>
      </c>
      <c r="P52" s="191" t="e">
        <f>O52/O12</f>
        <v>#DIV/0!</v>
      </c>
      <c r="Q52" s="158">
        <f>Q42*15%</f>
        <v>0</v>
      </c>
      <c r="R52" s="191" t="e">
        <f>Q52/Q12</f>
        <v>#DIV/0!</v>
      </c>
      <c r="S52" s="158">
        <f>S42*15%</f>
        <v>0</v>
      </c>
      <c r="T52" s="191" t="e">
        <f>S52/S12</f>
        <v>#DIV/0!</v>
      </c>
      <c r="U52" s="158">
        <f>U42*15%</f>
        <v>0</v>
      </c>
      <c r="V52" s="191" t="e">
        <f>U52/U12</f>
        <v>#DIV/0!</v>
      </c>
      <c r="W52" s="158">
        <f>W42*15%</f>
        <v>0</v>
      </c>
      <c r="X52" s="191" t="e">
        <f>W52/W12</f>
        <v>#DIV/0!</v>
      </c>
      <c r="Y52" s="158">
        <f>Y42*15%</f>
        <v>0</v>
      </c>
      <c r="Z52" s="191" t="e">
        <f>Y52/Y12</f>
        <v>#DIV/0!</v>
      </c>
      <c r="AA52" s="59">
        <f t="shared" si="16"/>
        <v>0</v>
      </c>
      <c r="AB52" s="28" t="e">
        <f>AA52/AA12</f>
        <v>#DIV/0!</v>
      </c>
      <c r="AC52" s="160">
        <f t="shared" si="1"/>
        <v>0</v>
      </c>
      <c r="AD52" s="28" t="e">
        <f>AC52/AC12</f>
        <v>#DIV/0!</v>
      </c>
      <c r="AE52" s="44">
        <f t="shared" si="2"/>
        <v>0</v>
      </c>
      <c r="AF52" s="21">
        <f t="shared" si="3"/>
        <v>0</v>
      </c>
      <c r="AG52" s="1" t="s">
        <v>199</v>
      </c>
      <c r="AH52" s="1" t="s">
        <v>200</v>
      </c>
    </row>
    <row r="53" spans="1:34" s="1" customFormat="1">
      <c r="A53" s="82">
        <v>6112</v>
      </c>
      <c r="B53" s="219" t="s">
        <v>11</v>
      </c>
      <c r="C53" s="158"/>
      <c r="D53" s="191" t="e">
        <f>C53/C12</f>
        <v>#DIV/0!</v>
      </c>
      <c r="E53" s="158"/>
      <c r="F53" s="191" t="e">
        <f>E53/E12</f>
        <v>#DIV/0!</v>
      </c>
      <c r="G53" s="158"/>
      <c r="H53" s="191" t="e">
        <f>G53/G12</f>
        <v>#DIV/0!</v>
      </c>
      <c r="I53" s="158"/>
      <c r="J53" s="191" t="e">
        <f>I53/I12</f>
        <v>#DIV/0!</v>
      </c>
      <c r="K53" s="158"/>
      <c r="L53" s="191" t="e">
        <f>K53/K12</f>
        <v>#DIV/0!</v>
      </c>
      <c r="M53" s="158">
        <v>0</v>
      </c>
      <c r="N53" s="191" t="e">
        <f>M53/M12</f>
        <v>#DIV/0!</v>
      </c>
      <c r="O53" s="158">
        <v>0</v>
      </c>
      <c r="P53" s="191" t="e">
        <f>O53/O12</f>
        <v>#DIV/0!</v>
      </c>
      <c r="Q53" s="158">
        <v>0</v>
      </c>
      <c r="R53" s="191" t="e">
        <f>Q53/Q12</f>
        <v>#DIV/0!</v>
      </c>
      <c r="S53" s="158">
        <v>0</v>
      </c>
      <c r="T53" s="191" t="e">
        <f>S53/S12</f>
        <v>#DIV/0!</v>
      </c>
      <c r="U53" s="158">
        <v>0</v>
      </c>
      <c r="V53" s="191" t="e">
        <f>U53/U12</f>
        <v>#DIV/0!</v>
      </c>
      <c r="W53" s="158">
        <v>0</v>
      </c>
      <c r="X53" s="191" t="e">
        <f>W53/W12</f>
        <v>#DIV/0!</v>
      </c>
      <c r="Y53" s="158">
        <v>0</v>
      </c>
      <c r="Z53" s="191" t="e">
        <f>Y53/Y12</f>
        <v>#DIV/0!</v>
      </c>
      <c r="AA53" s="59">
        <f t="shared" si="16"/>
        <v>0</v>
      </c>
      <c r="AB53" s="28" t="e">
        <f>AA53/AA12</f>
        <v>#DIV/0!</v>
      </c>
      <c r="AC53" s="160">
        <f t="shared" si="1"/>
        <v>0</v>
      </c>
      <c r="AD53" s="28" t="e">
        <f>AC53/AC12</f>
        <v>#DIV/0!</v>
      </c>
      <c r="AE53" s="44">
        <f t="shared" si="2"/>
        <v>0</v>
      </c>
      <c r="AF53" s="21">
        <f t="shared" si="3"/>
        <v>0</v>
      </c>
    </row>
    <row r="54" spans="1:34" s="1" customFormat="1">
      <c r="A54" s="82">
        <v>6113</v>
      </c>
      <c r="B54" s="219" t="s">
        <v>12</v>
      </c>
      <c r="C54" s="158"/>
      <c r="D54" s="191" t="e">
        <f>C54/C12</f>
        <v>#DIV/0!</v>
      </c>
      <c r="E54" s="158"/>
      <c r="F54" s="191" t="e">
        <f>E54/E12</f>
        <v>#DIV/0!</v>
      </c>
      <c r="G54" s="158"/>
      <c r="H54" s="191" t="e">
        <f>G54/G12</f>
        <v>#DIV/0!</v>
      </c>
      <c r="I54" s="158"/>
      <c r="J54" s="191" t="e">
        <f>I54/I12</f>
        <v>#DIV/0!</v>
      </c>
      <c r="K54" s="158"/>
      <c r="L54" s="191" t="e">
        <f>K54/K12</f>
        <v>#DIV/0!</v>
      </c>
      <c r="M54" s="158"/>
      <c r="N54" s="191" t="e">
        <f>M54/M12</f>
        <v>#DIV/0!</v>
      </c>
      <c r="O54" s="158"/>
      <c r="P54" s="191" t="e">
        <f>O54/O12</f>
        <v>#DIV/0!</v>
      </c>
      <c r="Q54" s="158"/>
      <c r="R54" s="191" t="e">
        <f>Q54/Q12</f>
        <v>#DIV/0!</v>
      </c>
      <c r="S54" s="158">
        <v>0</v>
      </c>
      <c r="T54" s="191" t="e">
        <f>S54/S12</f>
        <v>#DIV/0!</v>
      </c>
      <c r="U54" s="158"/>
      <c r="V54" s="191" t="e">
        <f>U54/U12</f>
        <v>#DIV/0!</v>
      </c>
      <c r="W54" s="158"/>
      <c r="X54" s="191" t="e">
        <f>W54/W12</f>
        <v>#DIV/0!</v>
      </c>
      <c r="Y54" s="158"/>
      <c r="Z54" s="191" t="e">
        <f>Y54/Y12</f>
        <v>#DIV/0!</v>
      </c>
      <c r="AA54" s="59">
        <f t="shared" si="16"/>
        <v>0</v>
      </c>
      <c r="AB54" s="28" t="e">
        <f>AA54/AA12</f>
        <v>#DIV/0!</v>
      </c>
      <c r="AC54" s="160">
        <f t="shared" si="1"/>
        <v>0</v>
      </c>
      <c r="AD54" s="28" t="e">
        <f>AC54/AC12</f>
        <v>#DIV/0!</v>
      </c>
      <c r="AE54" s="44">
        <f t="shared" si="2"/>
        <v>0</v>
      </c>
      <c r="AF54" s="21">
        <f t="shared" si="3"/>
        <v>0</v>
      </c>
    </row>
    <row r="55" spans="1:34" s="1" customFormat="1">
      <c r="A55" s="82">
        <v>6114</v>
      </c>
      <c r="B55" s="219" t="s">
        <v>88</v>
      </c>
      <c r="C55" s="19"/>
      <c r="D55" s="28" t="e">
        <f>C55/C12</f>
        <v>#DIV/0!</v>
      </c>
      <c r="E55" s="19"/>
      <c r="F55" s="28" t="e">
        <f>E55/E12</f>
        <v>#DIV/0!</v>
      </c>
      <c r="G55" s="19"/>
      <c r="H55" s="28" t="e">
        <f>G55/G12</f>
        <v>#DIV/0!</v>
      </c>
      <c r="I55" s="19"/>
      <c r="J55" s="28" t="e">
        <f>I55/I12</f>
        <v>#DIV/0!</v>
      </c>
      <c r="K55" s="19"/>
      <c r="L55" s="28" t="e">
        <f>K55/K12</f>
        <v>#DIV/0!</v>
      </c>
      <c r="M55" s="19">
        <v>0</v>
      </c>
      <c r="N55" s="28" t="e">
        <f>M55/M12</f>
        <v>#DIV/0!</v>
      </c>
      <c r="O55" s="19">
        <v>0</v>
      </c>
      <c r="P55" s="28" t="e">
        <f>O55/O12</f>
        <v>#DIV/0!</v>
      </c>
      <c r="Q55" s="19">
        <v>0</v>
      </c>
      <c r="R55" s="28" t="e">
        <f>Q55/Q12</f>
        <v>#DIV/0!</v>
      </c>
      <c r="S55" s="19">
        <v>0</v>
      </c>
      <c r="T55" s="28" t="e">
        <f>S55/S12</f>
        <v>#DIV/0!</v>
      </c>
      <c r="U55" s="19">
        <v>0</v>
      </c>
      <c r="V55" s="28" t="e">
        <f>U55/U12</f>
        <v>#DIV/0!</v>
      </c>
      <c r="W55" s="19">
        <v>0</v>
      </c>
      <c r="X55" s="28" t="e">
        <f>W55/W12</f>
        <v>#DIV/0!</v>
      </c>
      <c r="Y55" s="19">
        <v>0</v>
      </c>
      <c r="Z55" s="28" t="e">
        <f>Y55/Y12</f>
        <v>#DIV/0!</v>
      </c>
      <c r="AA55" s="59">
        <f t="shared" si="16"/>
        <v>0</v>
      </c>
      <c r="AB55" s="28" t="e">
        <f>AA55/AA12</f>
        <v>#DIV/0!</v>
      </c>
      <c r="AC55" s="160">
        <f t="shared" si="1"/>
        <v>0</v>
      </c>
      <c r="AD55" s="28" t="e">
        <f>AC55/AC12</f>
        <v>#DIV/0!</v>
      </c>
      <c r="AE55" s="44">
        <f t="shared" si="2"/>
        <v>0</v>
      </c>
      <c r="AF55" s="21">
        <f t="shared" si="3"/>
        <v>0</v>
      </c>
    </row>
    <row r="56" spans="1:34" s="1" customFormat="1">
      <c r="A56" s="82">
        <v>6115</v>
      </c>
      <c r="B56" s="219" t="s">
        <v>13</v>
      </c>
      <c r="C56" s="155"/>
      <c r="D56" s="191" t="e">
        <f>C56/C12</f>
        <v>#DIV/0!</v>
      </c>
      <c r="E56" s="155"/>
      <c r="F56" s="191" t="e">
        <f>E56/E12</f>
        <v>#DIV/0!</v>
      </c>
      <c r="G56" s="155"/>
      <c r="H56" s="191" t="e">
        <f>G56/G12</f>
        <v>#DIV/0!</v>
      </c>
      <c r="I56" s="155"/>
      <c r="J56" s="191" t="e">
        <f>I56/I12</f>
        <v>#DIV/0!</v>
      </c>
      <c r="K56" s="155"/>
      <c r="L56" s="191" t="e">
        <f>K56/K12</f>
        <v>#DIV/0!</v>
      </c>
      <c r="M56" s="155">
        <v>0</v>
      </c>
      <c r="N56" s="191" t="e">
        <f>M56/M12</f>
        <v>#DIV/0!</v>
      </c>
      <c r="O56" s="155">
        <v>0</v>
      </c>
      <c r="P56" s="191" t="e">
        <f>O56/O12</f>
        <v>#DIV/0!</v>
      </c>
      <c r="Q56" s="155">
        <v>0</v>
      </c>
      <c r="R56" s="191" t="e">
        <f>Q56/Q12</f>
        <v>#DIV/0!</v>
      </c>
      <c r="S56" s="155">
        <v>0</v>
      </c>
      <c r="T56" s="191" t="e">
        <f>S56/S12</f>
        <v>#DIV/0!</v>
      </c>
      <c r="U56" s="155">
        <v>0</v>
      </c>
      <c r="V56" s="191" t="e">
        <f>U56/U12</f>
        <v>#DIV/0!</v>
      </c>
      <c r="W56" s="155">
        <v>0</v>
      </c>
      <c r="X56" s="191" t="e">
        <f>W56/W12</f>
        <v>#DIV/0!</v>
      </c>
      <c r="Y56" s="155">
        <v>0</v>
      </c>
      <c r="Z56" s="191" t="e">
        <f>Y56/Y12</f>
        <v>#DIV/0!</v>
      </c>
      <c r="AA56" s="59">
        <f>C56+E56+G56+I56+K56+M56+O56+Q56+S56+U56+W56+Y56</f>
        <v>0</v>
      </c>
      <c r="AB56" s="28" t="e">
        <f>AA56/AA12</f>
        <v>#DIV/0!</v>
      </c>
      <c r="AC56" s="160">
        <f t="shared" si="1"/>
        <v>0</v>
      </c>
      <c r="AD56" s="28" t="e">
        <f>AC56/AC12</f>
        <v>#DIV/0!</v>
      </c>
      <c r="AE56" s="44">
        <f t="shared" si="2"/>
        <v>0</v>
      </c>
      <c r="AF56" s="21">
        <f t="shared" si="3"/>
        <v>0</v>
      </c>
    </row>
    <row r="57" spans="1:34" s="1" customFormat="1">
      <c r="A57" s="82">
        <v>6116</v>
      </c>
      <c r="B57" s="219" t="s">
        <v>14</v>
      </c>
      <c r="C57" s="19"/>
      <c r="D57" s="28" t="e">
        <f>C57/C12</f>
        <v>#DIV/0!</v>
      </c>
      <c r="E57" s="19"/>
      <c r="F57" s="28" t="e">
        <f>E57/E12</f>
        <v>#DIV/0!</v>
      </c>
      <c r="G57" s="19"/>
      <c r="H57" s="28" t="e">
        <f>G57/G12</f>
        <v>#DIV/0!</v>
      </c>
      <c r="I57" s="19"/>
      <c r="J57" s="28" t="e">
        <f>I57/I12</f>
        <v>#DIV/0!</v>
      </c>
      <c r="K57" s="19"/>
      <c r="L57" s="28" t="e">
        <f>K57/K12</f>
        <v>#DIV/0!</v>
      </c>
      <c r="M57" s="19">
        <v>0</v>
      </c>
      <c r="N57" s="28" t="e">
        <f>M57/M12</f>
        <v>#DIV/0!</v>
      </c>
      <c r="O57" s="19">
        <v>0</v>
      </c>
      <c r="P57" s="28" t="e">
        <f>O57/O12</f>
        <v>#DIV/0!</v>
      </c>
      <c r="Q57" s="19">
        <v>0</v>
      </c>
      <c r="R57" s="28" t="e">
        <f>Q57/Q12</f>
        <v>#DIV/0!</v>
      </c>
      <c r="S57" s="19">
        <v>0</v>
      </c>
      <c r="T57" s="28" t="e">
        <f>S57/S12</f>
        <v>#DIV/0!</v>
      </c>
      <c r="U57" s="19">
        <v>0</v>
      </c>
      <c r="V57" s="28" t="e">
        <f>U57/U12</f>
        <v>#DIV/0!</v>
      </c>
      <c r="W57" s="19">
        <v>0</v>
      </c>
      <c r="X57" s="28" t="e">
        <f>W57/W12</f>
        <v>#DIV/0!</v>
      </c>
      <c r="Y57" s="19">
        <v>0</v>
      </c>
      <c r="Z57" s="28" t="e">
        <f>Y57/Y12</f>
        <v>#DIV/0!</v>
      </c>
      <c r="AA57" s="59">
        <f t="shared" si="16"/>
        <v>0</v>
      </c>
      <c r="AB57" s="28" t="e">
        <f>AA57/AA12</f>
        <v>#DIV/0!</v>
      </c>
      <c r="AC57" s="160">
        <f t="shared" si="1"/>
        <v>0</v>
      </c>
      <c r="AD57" s="28" t="e">
        <f>AC57/AC12</f>
        <v>#DIV/0!</v>
      </c>
      <c r="AE57" s="44">
        <f t="shared" si="2"/>
        <v>0</v>
      </c>
      <c r="AF57" s="21">
        <f t="shared" si="3"/>
        <v>0</v>
      </c>
      <c r="AG57" s="1" t="s">
        <v>201</v>
      </c>
    </row>
    <row r="58" spans="1:34" s="1" customFormat="1">
      <c r="A58" s="2">
        <v>6117</v>
      </c>
      <c r="B58" s="219" t="s">
        <v>15</v>
      </c>
      <c r="C58" s="158"/>
      <c r="D58" s="191" t="e">
        <f>C58/C12</f>
        <v>#DIV/0!</v>
      </c>
      <c r="E58" s="158"/>
      <c r="F58" s="191" t="e">
        <f>E58/E12</f>
        <v>#DIV/0!</v>
      </c>
      <c r="G58" s="158"/>
      <c r="H58" s="191" t="e">
        <f>G58/G12</f>
        <v>#DIV/0!</v>
      </c>
      <c r="I58" s="158"/>
      <c r="J58" s="191" t="e">
        <f>I58/I12</f>
        <v>#DIV/0!</v>
      </c>
      <c r="K58" s="158"/>
      <c r="L58" s="191" t="e">
        <f>K58/K12</f>
        <v>#DIV/0!</v>
      </c>
      <c r="M58" s="158"/>
      <c r="N58" s="191" t="e">
        <f>M58/M12</f>
        <v>#DIV/0!</v>
      </c>
      <c r="O58" s="158"/>
      <c r="P58" s="191" t="e">
        <f>O58/O12</f>
        <v>#DIV/0!</v>
      </c>
      <c r="Q58" s="158"/>
      <c r="R58" s="191" t="e">
        <f>Q58/Q12</f>
        <v>#DIV/0!</v>
      </c>
      <c r="S58" s="158"/>
      <c r="T58" s="191" t="e">
        <f>S58/S12</f>
        <v>#DIV/0!</v>
      </c>
      <c r="U58" s="158"/>
      <c r="V58" s="191" t="e">
        <f>U58/U12</f>
        <v>#DIV/0!</v>
      </c>
      <c r="W58" s="158"/>
      <c r="X58" s="191" t="e">
        <f>W58/W12</f>
        <v>#DIV/0!</v>
      </c>
      <c r="Y58" s="158"/>
      <c r="Z58" s="191" t="e">
        <f>Y58/Y12</f>
        <v>#DIV/0!</v>
      </c>
      <c r="AA58" s="59">
        <f t="shared" si="16"/>
        <v>0</v>
      </c>
      <c r="AB58" s="28" t="e">
        <f>AA58/AA12</f>
        <v>#DIV/0!</v>
      </c>
      <c r="AC58" s="160">
        <f t="shared" si="1"/>
        <v>0</v>
      </c>
      <c r="AD58" s="28" t="e">
        <f>AC58/AC12</f>
        <v>#DIV/0!</v>
      </c>
      <c r="AE58" s="44">
        <f t="shared" si="2"/>
        <v>0</v>
      </c>
      <c r="AF58" s="21">
        <f t="shared" si="3"/>
        <v>0</v>
      </c>
    </row>
    <row r="59" spans="1:34" s="1" customFormat="1">
      <c r="A59" s="2">
        <v>6118</v>
      </c>
      <c r="B59" s="219" t="s">
        <v>16</v>
      </c>
      <c r="C59" s="155"/>
      <c r="D59" s="191" t="e">
        <f>C59/C12</f>
        <v>#DIV/0!</v>
      </c>
      <c r="E59" s="155"/>
      <c r="F59" s="191" t="e">
        <f>E59/E12</f>
        <v>#DIV/0!</v>
      </c>
      <c r="G59" s="155"/>
      <c r="H59" s="191" t="e">
        <f>G59/G12</f>
        <v>#DIV/0!</v>
      </c>
      <c r="I59" s="155"/>
      <c r="J59" s="191" t="e">
        <f>I59/I12</f>
        <v>#DIV/0!</v>
      </c>
      <c r="K59" s="155"/>
      <c r="L59" s="191" t="e">
        <f>K59/K12</f>
        <v>#DIV/0!</v>
      </c>
      <c r="M59" s="155">
        <v>0</v>
      </c>
      <c r="N59" s="191" t="e">
        <f>M59/M12</f>
        <v>#DIV/0!</v>
      </c>
      <c r="O59" s="155">
        <v>0</v>
      </c>
      <c r="P59" s="191" t="e">
        <f>O59/O12</f>
        <v>#DIV/0!</v>
      </c>
      <c r="Q59" s="155">
        <v>0</v>
      </c>
      <c r="R59" s="191" t="e">
        <f>Q59/Q12</f>
        <v>#DIV/0!</v>
      </c>
      <c r="S59" s="155">
        <v>0</v>
      </c>
      <c r="T59" s="191" t="e">
        <f>S59/S12</f>
        <v>#DIV/0!</v>
      </c>
      <c r="U59" s="155">
        <v>0</v>
      </c>
      <c r="V59" s="191" t="e">
        <f>U59/U12</f>
        <v>#DIV/0!</v>
      </c>
      <c r="W59" s="155">
        <v>0</v>
      </c>
      <c r="X59" s="191" t="e">
        <f>W59/W12</f>
        <v>#DIV/0!</v>
      </c>
      <c r="Y59" s="155">
        <v>0</v>
      </c>
      <c r="Z59" s="191" t="e">
        <f>Y59/Y12</f>
        <v>#DIV/0!</v>
      </c>
      <c r="AA59" s="59">
        <f t="shared" si="16"/>
        <v>0</v>
      </c>
      <c r="AB59" s="28" t="e">
        <f>AA59/AA12</f>
        <v>#DIV/0!</v>
      </c>
      <c r="AC59" s="160">
        <f t="shared" si="1"/>
        <v>0</v>
      </c>
      <c r="AD59" s="28" t="e">
        <f>AC59/AC12</f>
        <v>#DIV/0!</v>
      </c>
      <c r="AE59" s="44">
        <f t="shared" si="2"/>
        <v>0</v>
      </c>
      <c r="AF59" s="21">
        <f t="shared" si="3"/>
        <v>0</v>
      </c>
      <c r="AG59" s="1" t="s">
        <v>199</v>
      </c>
    </row>
    <row r="60" spans="1:34" s="1" customFormat="1">
      <c r="A60" s="2">
        <v>6119</v>
      </c>
      <c r="B60" s="219" t="s">
        <v>17</v>
      </c>
      <c r="C60" s="158"/>
      <c r="D60" s="191" t="e">
        <f>C60/C12</f>
        <v>#DIV/0!</v>
      </c>
      <c r="E60" s="158"/>
      <c r="F60" s="191" t="e">
        <f>E60/E12</f>
        <v>#DIV/0!</v>
      </c>
      <c r="G60" s="158"/>
      <c r="H60" s="191" t="e">
        <f>G60/G12</f>
        <v>#DIV/0!</v>
      </c>
      <c r="I60" s="158"/>
      <c r="J60" s="191" t="e">
        <f>I60/I12</f>
        <v>#DIV/0!</v>
      </c>
      <c r="K60" s="158"/>
      <c r="L60" s="191" t="e">
        <f>K60/K12</f>
        <v>#DIV/0!</v>
      </c>
      <c r="M60" s="158"/>
      <c r="N60" s="191" t="e">
        <f>M60/M12</f>
        <v>#DIV/0!</v>
      </c>
      <c r="O60" s="158"/>
      <c r="P60" s="191" t="e">
        <f>O60/O12</f>
        <v>#DIV/0!</v>
      </c>
      <c r="Q60" s="158"/>
      <c r="R60" s="191" t="e">
        <f>Q60/Q12</f>
        <v>#DIV/0!</v>
      </c>
      <c r="S60" s="158"/>
      <c r="T60" s="191" t="e">
        <f>S60/S12</f>
        <v>#DIV/0!</v>
      </c>
      <c r="U60" s="158"/>
      <c r="V60" s="191" t="e">
        <f>U60/U12</f>
        <v>#DIV/0!</v>
      </c>
      <c r="W60" s="158"/>
      <c r="X60" s="191" t="e">
        <f>W60/W12</f>
        <v>#DIV/0!</v>
      </c>
      <c r="Y60" s="158"/>
      <c r="Z60" s="191" t="e">
        <f>Y60/Y12</f>
        <v>#DIV/0!</v>
      </c>
      <c r="AA60" s="59">
        <f t="shared" si="16"/>
        <v>0</v>
      </c>
      <c r="AB60" s="28" t="e">
        <f>AA60/AA12</f>
        <v>#DIV/0!</v>
      </c>
      <c r="AC60" s="160">
        <f t="shared" si="1"/>
        <v>0</v>
      </c>
      <c r="AD60" s="28" t="e">
        <f>AC60/AC12</f>
        <v>#DIV/0!</v>
      </c>
      <c r="AE60" s="44">
        <f t="shared" si="2"/>
        <v>0</v>
      </c>
      <c r="AF60" s="21">
        <f t="shared" si="3"/>
        <v>0</v>
      </c>
    </row>
    <row r="61" spans="1:34" s="1" customFormat="1">
      <c r="A61" s="2">
        <v>6120</v>
      </c>
      <c r="B61" s="219" t="s">
        <v>18</v>
      </c>
      <c r="C61" s="158"/>
      <c r="D61" s="191" t="e">
        <f>C61/C12</f>
        <v>#DIV/0!</v>
      </c>
      <c r="E61" s="158"/>
      <c r="F61" s="191" t="e">
        <f>E61/E12</f>
        <v>#DIV/0!</v>
      </c>
      <c r="G61" s="158"/>
      <c r="H61" s="191" t="e">
        <f>G61/G12</f>
        <v>#DIV/0!</v>
      </c>
      <c r="I61" s="158"/>
      <c r="J61" s="191" t="e">
        <f>I61/I12</f>
        <v>#DIV/0!</v>
      </c>
      <c r="K61" s="158"/>
      <c r="L61" s="191" t="e">
        <f>K61/K12</f>
        <v>#DIV/0!</v>
      </c>
      <c r="M61" s="158"/>
      <c r="N61" s="191" t="e">
        <f>M61/M12</f>
        <v>#DIV/0!</v>
      </c>
      <c r="O61" s="158"/>
      <c r="P61" s="191" t="e">
        <f>O61/O12</f>
        <v>#DIV/0!</v>
      </c>
      <c r="Q61" s="158"/>
      <c r="R61" s="191" t="e">
        <f>Q61/Q12</f>
        <v>#DIV/0!</v>
      </c>
      <c r="S61" s="158"/>
      <c r="T61" s="191" t="e">
        <f>S61/S12</f>
        <v>#DIV/0!</v>
      </c>
      <c r="U61" s="158"/>
      <c r="V61" s="191" t="e">
        <f>U61/U12</f>
        <v>#DIV/0!</v>
      </c>
      <c r="W61" s="158"/>
      <c r="X61" s="191" t="e">
        <f>W61/W12</f>
        <v>#DIV/0!</v>
      </c>
      <c r="Y61" s="158"/>
      <c r="Z61" s="191" t="e">
        <f>Y61/Y12</f>
        <v>#DIV/0!</v>
      </c>
      <c r="AA61" s="59">
        <f t="shared" si="16"/>
        <v>0</v>
      </c>
      <c r="AB61" s="28" t="e">
        <f>AA61/AA12</f>
        <v>#DIV/0!</v>
      </c>
      <c r="AC61" s="160">
        <f t="shared" si="1"/>
        <v>0</v>
      </c>
      <c r="AD61" s="28" t="e">
        <f>AC61/AC12</f>
        <v>#DIV/0!</v>
      </c>
      <c r="AE61" s="44">
        <f t="shared" si="2"/>
        <v>0</v>
      </c>
      <c r="AF61" s="21">
        <f t="shared" si="3"/>
        <v>0</v>
      </c>
    </row>
    <row r="62" spans="1:34" s="1" customFormat="1">
      <c r="A62" s="2">
        <v>6121</v>
      </c>
      <c r="B62" s="216" t="s">
        <v>19</v>
      </c>
      <c r="C62" s="16"/>
      <c r="D62" s="28" t="e">
        <f>C62/C12</f>
        <v>#DIV/0!</v>
      </c>
      <c r="E62" s="16"/>
      <c r="F62" s="28" t="e">
        <f>E62/E12</f>
        <v>#DIV/0!</v>
      </c>
      <c r="G62" s="16"/>
      <c r="H62" s="28" t="e">
        <f>G62/G12</f>
        <v>#DIV/0!</v>
      </c>
      <c r="I62" s="16"/>
      <c r="J62" s="28" t="e">
        <f>I62/I12</f>
        <v>#DIV/0!</v>
      </c>
      <c r="K62" s="16"/>
      <c r="L62" s="28" t="e">
        <f>K62/K12</f>
        <v>#DIV/0!</v>
      </c>
      <c r="M62" s="16">
        <v>0</v>
      </c>
      <c r="N62" s="28" t="e">
        <f>M62/M12</f>
        <v>#DIV/0!</v>
      </c>
      <c r="O62" s="16">
        <v>0</v>
      </c>
      <c r="P62" s="28" t="e">
        <f>O62/O12</f>
        <v>#DIV/0!</v>
      </c>
      <c r="Q62" s="16">
        <v>0</v>
      </c>
      <c r="R62" s="28" t="e">
        <f>Q62/Q12</f>
        <v>#DIV/0!</v>
      </c>
      <c r="S62" s="16">
        <v>0</v>
      </c>
      <c r="T62" s="28" t="e">
        <f>S62/S12</f>
        <v>#DIV/0!</v>
      </c>
      <c r="U62" s="16">
        <v>0</v>
      </c>
      <c r="V62" s="28" t="e">
        <f>U62/U12</f>
        <v>#DIV/0!</v>
      </c>
      <c r="W62" s="16">
        <v>0</v>
      </c>
      <c r="X62" s="28" t="e">
        <f>W62/W12</f>
        <v>#DIV/0!</v>
      </c>
      <c r="Y62" s="16">
        <v>0</v>
      </c>
      <c r="Z62" s="28" t="e">
        <f>Y62/Y12</f>
        <v>#DIV/0!</v>
      </c>
      <c r="AA62" s="59">
        <f t="shared" si="16"/>
        <v>0</v>
      </c>
      <c r="AB62" s="28" t="e">
        <f>AA62/AA12</f>
        <v>#DIV/0!</v>
      </c>
      <c r="AC62" s="160">
        <f t="shared" si="1"/>
        <v>0</v>
      </c>
      <c r="AD62" s="28" t="e">
        <f>AC62/AC12</f>
        <v>#DIV/0!</v>
      </c>
      <c r="AE62" s="44">
        <f t="shared" si="2"/>
        <v>0</v>
      </c>
      <c r="AF62" s="21">
        <f t="shared" si="3"/>
        <v>0</v>
      </c>
    </row>
    <row r="63" spans="1:34" s="1" customFormat="1">
      <c r="A63" s="2">
        <v>6122</v>
      </c>
      <c r="B63" s="216" t="s">
        <v>162</v>
      </c>
      <c r="C63" s="158"/>
      <c r="D63" s="191" t="e">
        <f>C63/C12</f>
        <v>#DIV/0!</v>
      </c>
      <c r="E63" s="158"/>
      <c r="F63" s="191" t="e">
        <f>E63/E12</f>
        <v>#DIV/0!</v>
      </c>
      <c r="G63" s="158"/>
      <c r="H63" s="191" t="e">
        <f>G63/G12</f>
        <v>#DIV/0!</v>
      </c>
      <c r="I63" s="158"/>
      <c r="J63" s="191" t="e">
        <f>I63/I12</f>
        <v>#DIV/0!</v>
      </c>
      <c r="K63" s="158"/>
      <c r="L63" s="191" t="e">
        <f>K63/K12</f>
        <v>#DIV/0!</v>
      </c>
      <c r="M63" s="158"/>
      <c r="N63" s="191" t="e">
        <f>M63/M12</f>
        <v>#DIV/0!</v>
      </c>
      <c r="O63" s="158"/>
      <c r="P63" s="191" t="e">
        <f>O63/O12</f>
        <v>#DIV/0!</v>
      </c>
      <c r="Q63" s="158"/>
      <c r="R63" s="191" t="e">
        <f>Q63/Q12</f>
        <v>#DIV/0!</v>
      </c>
      <c r="S63" s="158"/>
      <c r="T63" s="191" t="e">
        <f>S63/S12</f>
        <v>#DIV/0!</v>
      </c>
      <c r="U63" s="158"/>
      <c r="V63" s="191" t="e">
        <f>U63/U12</f>
        <v>#DIV/0!</v>
      </c>
      <c r="W63" s="158"/>
      <c r="X63" s="191" t="e">
        <f>W63/W12</f>
        <v>#DIV/0!</v>
      </c>
      <c r="Y63" s="158"/>
      <c r="Z63" s="191" t="e">
        <f>Y63/Y12</f>
        <v>#DIV/0!</v>
      </c>
      <c r="AA63" s="59">
        <f t="shared" si="16"/>
        <v>0</v>
      </c>
      <c r="AB63" s="28" t="e">
        <f>AA63/AA12</f>
        <v>#DIV/0!</v>
      </c>
      <c r="AC63" s="160">
        <f t="shared" si="1"/>
        <v>0</v>
      </c>
      <c r="AD63" s="28" t="e">
        <f>AC63/AC12</f>
        <v>#DIV/0!</v>
      </c>
      <c r="AE63" s="44">
        <f t="shared" si="2"/>
        <v>0</v>
      </c>
      <c r="AF63" s="21">
        <f t="shared" si="3"/>
        <v>0</v>
      </c>
    </row>
    <row r="64" spans="1:34" s="1" customFormat="1">
      <c r="A64" s="2">
        <v>6123</v>
      </c>
      <c r="B64" s="216" t="s">
        <v>21</v>
      </c>
      <c r="C64" s="158"/>
      <c r="D64" s="191" t="e">
        <f>C64/C12</f>
        <v>#DIV/0!</v>
      </c>
      <c r="E64" s="158"/>
      <c r="F64" s="191" t="e">
        <f>E64/E12</f>
        <v>#DIV/0!</v>
      </c>
      <c r="G64" s="158"/>
      <c r="H64" s="191" t="e">
        <f>G64/G12</f>
        <v>#DIV/0!</v>
      </c>
      <c r="I64" s="158"/>
      <c r="J64" s="191" t="e">
        <f>I64/I12</f>
        <v>#DIV/0!</v>
      </c>
      <c r="K64" s="158"/>
      <c r="L64" s="191" t="e">
        <f>K64/K12</f>
        <v>#DIV/0!</v>
      </c>
      <c r="M64" s="158"/>
      <c r="N64" s="191" t="e">
        <f>M64/M12</f>
        <v>#DIV/0!</v>
      </c>
      <c r="O64" s="158"/>
      <c r="P64" s="191" t="e">
        <f>O64/O12</f>
        <v>#DIV/0!</v>
      </c>
      <c r="Q64" s="158"/>
      <c r="R64" s="191" t="e">
        <f>Q64/Q12</f>
        <v>#DIV/0!</v>
      </c>
      <c r="S64" s="158"/>
      <c r="T64" s="191" t="e">
        <f>S64/S12</f>
        <v>#DIV/0!</v>
      </c>
      <c r="U64" s="158"/>
      <c r="V64" s="191" t="e">
        <f>U64/U12</f>
        <v>#DIV/0!</v>
      </c>
      <c r="W64" s="158"/>
      <c r="X64" s="191" t="e">
        <f>W64/W12</f>
        <v>#DIV/0!</v>
      </c>
      <c r="Y64" s="158"/>
      <c r="Z64" s="191" t="e">
        <f>Y64/Y12</f>
        <v>#DIV/0!</v>
      </c>
      <c r="AA64" s="59">
        <f t="shared" si="16"/>
        <v>0</v>
      </c>
      <c r="AB64" s="28" t="e">
        <f>AA64/AA12</f>
        <v>#DIV/0!</v>
      </c>
      <c r="AC64" s="160">
        <f t="shared" si="1"/>
        <v>0</v>
      </c>
      <c r="AD64" s="28" t="e">
        <f>AC64/AC12</f>
        <v>#DIV/0!</v>
      </c>
      <c r="AE64" s="44">
        <f t="shared" si="2"/>
        <v>0</v>
      </c>
      <c r="AF64" s="21">
        <f t="shared" si="3"/>
        <v>0</v>
      </c>
    </row>
    <row r="65" spans="1:32" s="1" customFormat="1">
      <c r="A65" s="82">
        <v>6124</v>
      </c>
      <c r="B65" s="216" t="s">
        <v>22</v>
      </c>
      <c r="C65" s="158"/>
      <c r="D65" s="191" t="e">
        <f>C65/C12</f>
        <v>#DIV/0!</v>
      </c>
      <c r="E65" s="158"/>
      <c r="F65" s="191" t="e">
        <f>E65/E12</f>
        <v>#DIV/0!</v>
      </c>
      <c r="G65" s="158"/>
      <c r="H65" s="191" t="e">
        <f>G65/G12</f>
        <v>#DIV/0!</v>
      </c>
      <c r="I65" s="158"/>
      <c r="J65" s="191" t="e">
        <f>I65/I12</f>
        <v>#DIV/0!</v>
      </c>
      <c r="K65" s="158"/>
      <c r="L65" s="191" t="e">
        <f>K65/K12</f>
        <v>#DIV/0!</v>
      </c>
      <c r="M65" s="158">
        <v>0</v>
      </c>
      <c r="N65" s="191" t="e">
        <f>M65/M12</f>
        <v>#DIV/0!</v>
      </c>
      <c r="O65" s="158">
        <v>0</v>
      </c>
      <c r="P65" s="191" t="e">
        <f>O65/O12</f>
        <v>#DIV/0!</v>
      </c>
      <c r="Q65" s="158">
        <v>0</v>
      </c>
      <c r="R65" s="191" t="e">
        <f>Q65/Q12</f>
        <v>#DIV/0!</v>
      </c>
      <c r="S65" s="158">
        <v>0</v>
      </c>
      <c r="T65" s="191" t="e">
        <f>S65/S12</f>
        <v>#DIV/0!</v>
      </c>
      <c r="U65" s="158">
        <v>0</v>
      </c>
      <c r="V65" s="191" t="e">
        <f>U65/U12</f>
        <v>#DIV/0!</v>
      </c>
      <c r="W65" s="158">
        <v>0</v>
      </c>
      <c r="X65" s="191" t="e">
        <f>W65/W12</f>
        <v>#DIV/0!</v>
      </c>
      <c r="Y65" s="158">
        <v>0</v>
      </c>
      <c r="Z65" s="191" t="e">
        <f>Y65/Y12</f>
        <v>#DIV/0!</v>
      </c>
      <c r="AA65" s="59">
        <f t="shared" si="16"/>
        <v>0</v>
      </c>
      <c r="AB65" s="28" t="e">
        <f>AA65/AA12</f>
        <v>#DIV/0!</v>
      </c>
      <c r="AC65" s="160">
        <f t="shared" si="1"/>
        <v>0</v>
      </c>
      <c r="AD65" s="28" t="e">
        <f>AC65/AC12</f>
        <v>#DIV/0!</v>
      </c>
      <c r="AE65" s="44">
        <f t="shared" si="2"/>
        <v>0</v>
      </c>
      <c r="AF65" s="21">
        <f t="shared" si="3"/>
        <v>0</v>
      </c>
    </row>
    <row r="66" spans="1:32" s="1" customFormat="1">
      <c r="A66" s="82">
        <v>6125</v>
      </c>
      <c r="B66" s="216" t="s">
        <v>78</v>
      </c>
      <c r="C66" s="16"/>
      <c r="D66" s="28" t="e">
        <f>C66/C12</f>
        <v>#DIV/0!</v>
      </c>
      <c r="E66" s="16"/>
      <c r="F66" s="28" t="e">
        <f>E66/E12</f>
        <v>#DIV/0!</v>
      </c>
      <c r="G66" s="16"/>
      <c r="H66" s="28" t="e">
        <f>G66/G12</f>
        <v>#DIV/0!</v>
      </c>
      <c r="I66" s="16"/>
      <c r="J66" s="28" t="e">
        <f>I66/I12</f>
        <v>#DIV/0!</v>
      </c>
      <c r="K66" s="16"/>
      <c r="L66" s="28" t="e">
        <f>K66/K12</f>
        <v>#DIV/0!</v>
      </c>
      <c r="M66" s="16">
        <v>0</v>
      </c>
      <c r="N66" s="28" t="e">
        <f>M66/M12</f>
        <v>#DIV/0!</v>
      </c>
      <c r="O66" s="16">
        <v>0</v>
      </c>
      <c r="P66" s="28" t="e">
        <f>O66/O12</f>
        <v>#DIV/0!</v>
      </c>
      <c r="Q66" s="16">
        <v>0</v>
      </c>
      <c r="R66" s="28" t="e">
        <f>Q66/Q12</f>
        <v>#DIV/0!</v>
      </c>
      <c r="S66" s="16">
        <v>0</v>
      </c>
      <c r="T66" s="28" t="e">
        <f>S66/S12</f>
        <v>#DIV/0!</v>
      </c>
      <c r="U66" s="16">
        <v>0</v>
      </c>
      <c r="V66" s="28" t="e">
        <f>U66/U12</f>
        <v>#DIV/0!</v>
      </c>
      <c r="W66" s="16">
        <v>0</v>
      </c>
      <c r="X66" s="28" t="e">
        <f>W66/W12</f>
        <v>#DIV/0!</v>
      </c>
      <c r="Y66" s="16">
        <v>0</v>
      </c>
      <c r="Z66" s="28" t="e">
        <f>Y66/Y12</f>
        <v>#DIV/0!</v>
      </c>
      <c r="AA66" s="59">
        <f t="shared" si="16"/>
        <v>0</v>
      </c>
      <c r="AB66" s="28" t="e">
        <f>AA66/AA12</f>
        <v>#DIV/0!</v>
      </c>
      <c r="AC66" s="160">
        <f t="shared" si="1"/>
        <v>0</v>
      </c>
      <c r="AD66" s="28" t="e">
        <f>AC66/AC12</f>
        <v>#DIV/0!</v>
      </c>
      <c r="AE66" s="44">
        <f t="shared" si="2"/>
        <v>0</v>
      </c>
      <c r="AF66" s="21">
        <f t="shared" si="3"/>
        <v>0</v>
      </c>
    </row>
    <row r="67" spans="1:32" s="1" customFormat="1">
      <c r="A67" s="2">
        <v>6126</v>
      </c>
      <c r="B67" s="216" t="s">
        <v>163</v>
      </c>
      <c r="C67" s="158"/>
      <c r="D67" s="191"/>
      <c r="E67" s="158"/>
      <c r="F67" s="191"/>
      <c r="G67" s="158"/>
      <c r="H67" s="191"/>
      <c r="I67" s="158"/>
      <c r="J67" s="191"/>
      <c r="K67" s="158"/>
      <c r="L67" s="191"/>
      <c r="M67" s="158">
        <v>0</v>
      </c>
      <c r="N67" s="191"/>
      <c r="O67" s="158"/>
      <c r="P67" s="191"/>
      <c r="Q67" s="158"/>
      <c r="R67" s="191"/>
      <c r="S67" s="158"/>
      <c r="T67" s="191"/>
      <c r="U67" s="158"/>
      <c r="V67" s="191"/>
      <c r="W67" s="158"/>
      <c r="X67" s="191"/>
      <c r="Y67" s="158"/>
      <c r="Z67" s="191"/>
      <c r="AA67" s="59">
        <f t="shared" si="16"/>
        <v>0</v>
      </c>
      <c r="AB67" s="28"/>
      <c r="AC67" s="160">
        <f t="shared" si="1"/>
        <v>0</v>
      </c>
      <c r="AD67" s="28"/>
      <c r="AE67" s="44">
        <f t="shared" si="2"/>
        <v>0</v>
      </c>
      <c r="AF67" s="21">
        <f t="shared" si="3"/>
        <v>0</v>
      </c>
    </row>
    <row r="68" spans="1:32" s="1" customFormat="1">
      <c r="A68" s="2">
        <v>6127</v>
      </c>
      <c r="B68" s="216" t="s">
        <v>76</v>
      </c>
      <c r="C68" s="16"/>
      <c r="D68" s="28" t="e">
        <f>C68/C12</f>
        <v>#DIV/0!</v>
      </c>
      <c r="E68" s="16"/>
      <c r="F68" s="28" t="e">
        <f>E68/E12</f>
        <v>#DIV/0!</v>
      </c>
      <c r="G68" s="16"/>
      <c r="H68" s="28" t="e">
        <f>G68/G12</f>
        <v>#DIV/0!</v>
      </c>
      <c r="I68" s="16"/>
      <c r="J68" s="28" t="e">
        <f>I68/I12</f>
        <v>#DIV/0!</v>
      </c>
      <c r="K68" s="16"/>
      <c r="L68" s="28" t="e">
        <f>K68/K12</f>
        <v>#DIV/0!</v>
      </c>
      <c r="M68" s="16">
        <v>0</v>
      </c>
      <c r="N68" s="28" t="e">
        <f>M68/M12</f>
        <v>#DIV/0!</v>
      </c>
      <c r="O68" s="16">
        <v>0</v>
      </c>
      <c r="P68" s="28" t="e">
        <f>O68/O12</f>
        <v>#DIV/0!</v>
      </c>
      <c r="Q68" s="16">
        <v>0</v>
      </c>
      <c r="R68" s="28" t="e">
        <f>Q68/Q12</f>
        <v>#DIV/0!</v>
      </c>
      <c r="S68" s="16">
        <v>0</v>
      </c>
      <c r="T68" s="28" t="e">
        <f>S68/S12</f>
        <v>#DIV/0!</v>
      </c>
      <c r="U68" s="16">
        <v>0</v>
      </c>
      <c r="V68" s="28" t="e">
        <f>U68/U12</f>
        <v>#DIV/0!</v>
      </c>
      <c r="W68" s="16">
        <v>0</v>
      </c>
      <c r="X68" s="28" t="e">
        <f>W68/W12</f>
        <v>#DIV/0!</v>
      </c>
      <c r="Y68" s="16">
        <v>0</v>
      </c>
      <c r="Z68" s="28" t="e">
        <f>Y68/Y12</f>
        <v>#DIV/0!</v>
      </c>
      <c r="AA68" s="59">
        <f t="shared" si="16"/>
        <v>0</v>
      </c>
      <c r="AB68" s="28" t="e">
        <f>AA68/AA12</f>
        <v>#DIV/0!</v>
      </c>
      <c r="AC68" s="160">
        <f t="shared" si="1"/>
        <v>0</v>
      </c>
      <c r="AD68" s="28" t="e">
        <f>AC68/AC12</f>
        <v>#DIV/0!</v>
      </c>
      <c r="AE68" s="44">
        <f t="shared" si="2"/>
        <v>0</v>
      </c>
      <c r="AF68" s="21">
        <f t="shared" si="3"/>
        <v>0</v>
      </c>
    </row>
    <row r="69" spans="1:32" s="1" customFormat="1">
      <c r="A69" s="2">
        <v>6128</v>
      </c>
      <c r="B69" s="216" t="s">
        <v>161</v>
      </c>
      <c r="C69" s="158"/>
      <c r="D69" s="191"/>
      <c r="E69" s="158"/>
      <c r="F69" s="191"/>
      <c r="G69" s="158"/>
      <c r="H69" s="191"/>
      <c r="I69" s="158"/>
      <c r="J69" s="191"/>
      <c r="K69" s="158"/>
      <c r="L69" s="191"/>
      <c r="M69" s="158"/>
      <c r="N69" s="191"/>
      <c r="O69" s="158"/>
      <c r="P69" s="191"/>
      <c r="Q69" s="158"/>
      <c r="R69" s="191"/>
      <c r="S69" s="158"/>
      <c r="T69" s="191"/>
      <c r="U69" s="158"/>
      <c r="V69" s="191"/>
      <c r="W69" s="158"/>
      <c r="X69" s="191"/>
      <c r="Y69" s="158"/>
      <c r="Z69" s="191"/>
      <c r="AA69" s="59">
        <f t="shared" si="16"/>
        <v>0</v>
      </c>
      <c r="AB69" s="28"/>
      <c r="AC69" s="160">
        <f t="shared" si="1"/>
        <v>0</v>
      </c>
      <c r="AD69" s="28"/>
      <c r="AE69" s="44">
        <f t="shared" si="2"/>
        <v>0</v>
      </c>
      <c r="AF69" s="21">
        <f t="shared" si="3"/>
        <v>0</v>
      </c>
    </row>
    <row r="70" spans="1:32" s="1" customFormat="1" ht="15.75" thickBot="1">
      <c r="A70" s="4">
        <v>6199</v>
      </c>
      <c r="B70" s="217" t="s">
        <v>23</v>
      </c>
      <c r="C70" s="168">
        <f>SUM(C42:C69)</f>
        <v>0</v>
      </c>
      <c r="D70" s="167" t="e">
        <f>C70/C12</f>
        <v>#DIV/0!</v>
      </c>
      <c r="E70" s="168">
        <f>SUM(E42:E69)</f>
        <v>0</v>
      </c>
      <c r="F70" s="167" t="e">
        <f>E70/E12</f>
        <v>#DIV/0!</v>
      </c>
      <c r="G70" s="168">
        <f>SUM(G42:G69)</f>
        <v>0</v>
      </c>
      <c r="H70" s="167" t="e">
        <f>G70/G12</f>
        <v>#DIV/0!</v>
      </c>
      <c r="I70" s="168">
        <f>SUM(I42:I69)</f>
        <v>0</v>
      </c>
      <c r="J70" s="167" t="e">
        <f>I70/I12</f>
        <v>#DIV/0!</v>
      </c>
      <c r="K70" s="168">
        <f>SUM(K42:K69)</f>
        <v>0</v>
      </c>
      <c r="L70" s="167" t="e">
        <f>K70/K12</f>
        <v>#DIV/0!</v>
      </c>
      <c r="M70" s="168">
        <f>SUM(M42:M69)</f>
        <v>0</v>
      </c>
      <c r="N70" s="167" t="e">
        <f>M70/M12</f>
        <v>#DIV/0!</v>
      </c>
      <c r="O70" s="168">
        <f>SUM(O42:O69)</f>
        <v>0</v>
      </c>
      <c r="P70" s="167" t="e">
        <f>O70/O12</f>
        <v>#DIV/0!</v>
      </c>
      <c r="Q70" s="168">
        <f>SUM(Q42:Q69)</f>
        <v>0</v>
      </c>
      <c r="R70" s="167" t="e">
        <f>Q70/Q12</f>
        <v>#DIV/0!</v>
      </c>
      <c r="S70" s="168">
        <f>SUM(S42:S69)</f>
        <v>0</v>
      </c>
      <c r="T70" s="167" t="e">
        <f>S70/S12</f>
        <v>#DIV/0!</v>
      </c>
      <c r="U70" s="168">
        <f>SUM(U42:U69)</f>
        <v>0</v>
      </c>
      <c r="V70" s="167" t="e">
        <f>U70/U12</f>
        <v>#DIV/0!</v>
      </c>
      <c r="W70" s="168">
        <f>SUM(W42:W69)</f>
        <v>0</v>
      </c>
      <c r="X70" s="167" t="e">
        <f>W70/W12</f>
        <v>#DIV/0!</v>
      </c>
      <c r="Y70" s="168">
        <f>SUM(Y42:Y69)</f>
        <v>0</v>
      </c>
      <c r="Z70" s="167" t="e">
        <f>Y70/Y12</f>
        <v>#DIV/0!</v>
      </c>
      <c r="AA70" s="189">
        <f>SUM(AA42:AA69)</f>
        <v>0</v>
      </c>
      <c r="AB70" s="220" t="e">
        <f>AA70/AA12</f>
        <v>#DIV/0!</v>
      </c>
      <c r="AC70" s="23">
        <f t="shared" ref="AC70:AC133" si="17">AA70/7</f>
        <v>0</v>
      </c>
      <c r="AD70" s="220" t="e">
        <f>AC70/AC12</f>
        <v>#DIV/0!</v>
      </c>
      <c r="AE70" s="44">
        <f t="shared" ref="AE70:AE134" si="18">C70+E70+G70+I70+K70+M70+O70+Q70+S70+U70+W70+Y70</f>
        <v>0</v>
      </c>
      <c r="AF70" s="21">
        <f t="shared" ref="AF70:AF134" si="19">AA70-AE70</f>
        <v>0</v>
      </c>
    </row>
    <row r="71" spans="1:32" s="1" customFormat="1" ht="15.75" thickTop="1">
      <c r="A71" s="2">
        <v>6201</v>
      </c>
      <c r="B71" s="216" t="s">
        <v>24</v>
      </c>
      <c r="C71" s="183"/>
      <c r="D71" s="191" t="e">
        <f>C71/C12</f>
        <v>#DIV/0!</v>
      </c>
      <c r="E71" s="183"/>
      <c r="F71" s="191" t="e">
        <f>E71/E12</f>
        <v>#DIV/0!</v>
      </c>
      <c r="G71" s="183"/>
      <c r="H71" s="191" t="e">
        <f>G71/G12</f>
        <v>#DIV/0!</v>
      </c>
      <c r="I71" s="183"/>
      <c r="J71" s="191" t="e">
        <f>I71/I12</f>
        <v>#DIV/0!</v>
      </c>
      <c r="K71" s="183"/>
      <c r="L71" s="191" t="e">
        <f>K71/K12</f>
        <v>#DIV/0!</v>
      </c>
      <c r="M71" s="183">
        <v>0</v>
      </c>
      <c r="N71" s="221" t="e">
        <f>M71/M12</f>
        <v>#DIV/0!</v>
      </c>
      <c r="O71" s="183">
        <v>0</v>
      </c>
      <c r="P71" s="221" t="e">
        <f>O71/O12</f>
        <v>#DIV/0!</v>
      </c>
      <c r="Q71" s="183">
        <v>0</v>
      </c>
      <c r="R71" s="221" t="e">
        <f>Q71/Q12</f>
        <v>#DIV/0!</v>
      </c>
      <c r="S71" s="183">
        <v>0</v>
      </c>
      <c r="T71" s="191" t="e">
        <f>S71/S12</f>
        <v>#DIV/0!</v>
      </c>
      <c r="U71" s="183">
        <v>0</v>
      </c>
      <c r="V71" s="191" t="e">
        <f>U71/U12</f>
        <v>#DIV/0!</v>
      </c>
      <c r="W71" s="183">
        <v>0</v>
      </c>
      <c r="X71" s="191" t="e">
        <f>W71/W12</f>
        <v>#DIV/0!</v>
      </c>
      <c r="Y71" s="183">
        <v>0</v>
      </c>
      <c r="Z71" s="191" t="e">
        <f>Y71/Y12</f>
        <v>#DIV/0!</v>
      </c>
      <c r="AA71" s="59">
        <f t="shared" ref="AA71:AA86" si="20">C71+E71+G71+I71+K71+M71+O71+Q71+S71+U71+W71+Y71</f>
        <v>0</v>
      </c>
      <c r="AB71" s="191" t="e">
        <f>AA71/AA12</f>
        <v>#DIV/0!</v>
      </c>
      <c r="AC71" s="160">
        <f t="shared" si="17"/>
        <v>0</v>
      </c>
      <c r="AD71" s="191" t="e">
        <f>AC71/AC12</f>
        <v>#DIV/0!</v>
      </c>
      <c r="AE71" s="44">
        <f t="shared" si="18"/>
        <v>0</v>
      </c>
      <c r="AF71" s="21">
        <f t="shared" si="19"/>
        <v>0</v>
      </c>
    </row>
    <row r="72" spans="1:32" s="1" customFormat="1">
      <c r="A72" s="2">
        <v>6202</v>
      </c>
      <c r="B72" s="216" t="s">
        <v>25</v>
      </c>
      <c r="C72" s="183"/>
      <c r="D72" s="191" t="e">
        <f>C72/C12</f>
        <v>#DIV/0!</v>
      </c>
      <c r="E72" s="183"/>
      <c r="F72" s="191" t="e">
        <f>E72/E12</f>
        <v>#DIV/0!</v>
      </c>
      <c r="G72" s="183"/>
      <c r="H72" s="191" t="e">
        <f>G72/G12</f>
        <v>#DIV/0!</v>
      </c>
      <c r="I72" s="183"/>
      <c r="J72" s="191" t="e">
        <f>I72/I12</f>
        <v>#DIV/0!</v>
      </c>
      <c r="K72" s="183"/>
      <c r="L72" s="191" t="e">
        <f>K72/K12</f>
        <v>#DIV/0!</v>
      </c>
      <c r="M72" s="183">
        <v>0</v>
      </c>
      <c r="N72" s="221" t="e">
        <f>M72/M12</f>
        <v>#DIV/0!</v>
      </c>
      <c r="O72" s="183">
        <v>0</v>
      </c>
      <c r="P72" s="221" t="e">
        <f>O72/O12</f>
        <v>#DIV/0!</v>
      </c>
      <c r="Q72" s="183">
        <v>0</v>
      </c>
      <c r="R72" s="221" t="e">
        <f>Q72/Q12</f>
        <v>#DIV/0!</v>
      </c>
      <c r="S72" s="183">
        <v>0</v>
      </c>
      <c r="T72" s="191" t="e">
        <f>S72/S12</f>
        <v>#DIV/0!</v>
      </c>
      <c r="U72" s="183">
        <v>0</v>
      </c>
      <c r="V72" s="191" t="e">
        <f>U72/U12</f>
        <v>#DIV/0!</v>
      </c>
      <c r="W72" s="183">
        <v>0</v>
      </c>
      <c r="X72" s="191" t="e">
        <f>W72/W12</f>
        <v>#DIV/0!</v>
      </c>
      <c r="Y72" s="183">
        <v>0</v>
      </c>
      <c r="Z72" s="191" t="e">
        <f>Y72/Y12</f>
        <v>#DIV/0!</v>
      </c>
      <c r="AA72" s="59">
        <f t="shared" si="20"/>
        <v>0</v>
      </c>
      <c r="AB72" s="191" t="e">
        <f>AA72/AA12</f>
        <v>#DIV/0!</v>
      </c>
      <c r="AC72" s="160">
        <f t="shared" si="17"/>
        <v>0</v>
      </c>
      <c r="AD72" s="191" t="e">
        <f>AC72/AC12</f>
        <v>#DIV/0!</v>
      </c>
      <c r="AE72" s="44">
        <f t="shared" si="18"/>
        <v>0</v>
      </c>
      <c r="AF72" s="21">
        <f t="shared" si="19"/>
        <v>0</v>
      </c>
    </row>
    <row r="73" spans="1:32" s="1" customFormat="1">
      <c r="A73" s="2">
        <v>6203</v>
      </c>
      <c r="B73" s="216" t="s">
        <v>26</v>
      </c>
      <c r="C73" s="183"/>
      <c r="D73" s="191" t="e">
        <f>C73/C12</f>
        <v>#DIV/0!</v>
      </c>
      <c r="E73" s="183"/>
      <c r="F73" s="191" t="e">
        <f>E73/E12</f>
        <v>#DIV/0!</v>
      </c>
      <c r="G73" s="183"/>
      <c r="H73" s="191" t="e">
        <f>G73/G12</f>
        <v>#DIV/0!</v>
      </c>
      <c r="I73" s="183"/>
      <c r="J73" s="191" t="e">
        <f>I73/I12</f>
        <v>#DIV/0!</v>
      </c>
      <c r="K73" s="183"/>
      <c r="L73" s="191" t="e">
        <f>K73/K12</f>
        <v>#DIV/0!</v>
      </c>
      <c r="M73" s="183">
        <v>0</v>
      </c>
      <c r="N73" s="221" t="e">
        <f>M73/M12</f>
        <v>#DIV/0!</v>
      </c>
      <c r="O73" s="183">
        <v>0</v>
      </c>
      <c r="P73" s="221" t="e">
        <f>O73/O12</f>
        <v>#DIV/0!</v>
      </c>
      <c r="Q73" s="183">
        <v>0</v>
      </c>
      <c r="R73" s="221" t="e">
        <f>Q73/Q12</f>
        <v>#DIV/0!</v>
      </c>
      <c r="S73" s="183">
        <v>0</v>
      </c>
      <c r="T73" s="191" t="e">
        <f>S73/S12</f>
        <v>#DIV/0!</v>
      </c>
      <c r="U73" s="183">
        <v>0</v>
      </c>
      <c r="V73" s="191" t="e">
        <f>U73/U12</f>
        <v>#DIV/0!</v>
      </c>
      <c r="W73" s="183">
        <v>0</v>
      </c>
      <c r="X73" s="191" t="e">
        <f>W73/W12</f>
        <v>#DIV/0!</v>
      </c>
      <c r="Y73" s="183">
        <v>0</v>
      </c>
      <c r="Z73" s="191" t="e">
        <f>Y73/Y12</f>
        <v>#DIV/0!</v>
      </c>
      <c r="AA73" s="59">
        <f t="shared" si="20"/>
        <v>0</v>
      </c>
      <c r="AB73" s="191" t="e">
        <f>AA73/AA12</f>
        <v>#DIV/0!</v>
      </c>
      <c r="AC73" s="160">
        <f t="shared" si="17"/>
        <v>0</v>
      </c>
      <c r="AD73" s="191" t="e">
        <f>AC73/AC12</f>
        <v>#DIV/0!</v>
      </c>
      <c r="AE73" s="44">
        <f t="shared" si="18"/>
        <v>0</v>
      </c>
      <c r="AF73" s="21">
        <f t="shared" si="19"/>
        <v>0</v>
      </c>
    </row>
    <row r="74" spans="1:32" s="1" customFormat="1">
      <c r="A74" s="2">
        <v>6204</v>
      </c>
      <c r="B74" s="216" t="s">
        <v>27</v>
      </c>
      <c r="C74" s="20"/>
      <c r="D74" s="191" t="e">
        <f>C74/C12</f>
        <v>#DIV/0!</v>
      </c>
      <c r="E74" s="20"/>
      <c r="F74" s="191" t="e">
        <f>E74/E12</f>
        <v>#DIV/0!</v>
      </c>
      <c r="G74" s="20"/>
      <c r="H74" s="191" t="e">
        <f>G74/G12</f>
        <v>#DIV/0!</v>
      </c>
      <c r="I74" s="20"/>
      <c r="J74" s="191" t="e">
        <f>I74/I12</f>
        <v>#DIV/0!</v>
      </c>
      <c r="K74" s="20"/>
      <c r="L74" s="191" t="e">
        <f>K74/K12</f>
        <v>#DIV/0!</v>
      </c>
      <c r="M74" s="20"/>
      <c r="N74" s="221" t="e">
        <f>M74/M12</f>
        <v>#DIV/0!</v>
      </c>
      <c r="O74" s="20"/>
      <c r="P74" s="221" t="e">
        <f>O74/O12</f>
        <v>#DIV/0!</v>
      </c>
      <c r="Q74" s="20"/>
      <c r="R74" s="221" t="e">
        <f>Q74/Q12</f>
        <v>#DIV/0!</v>
      </c>
      <c r="S74" s="20"/>
      <c r="T74" s="191" t="e">
        <f>S74/S12</f>
        <v>#DIV/0!</v>
      </c>
      <c r="U74" s="20"/>
      <c r="V74" s="191" t="e">
        <f>U74/U12</f>
        <v>#DIV/0!</v>
      </c>
      <c r="W74" s="20"/>
      <c r="X74" s="191" t="e">
        <f>W74/W12</f>
        <v>#DIV/0!</v>
      </c>
      <c r="Y74" s="20"/>
      <c r="Z74" s="191" t="e">
        <f>Y74/Y12</f>
        <v>#DIV/0!</v>
      </c>
      <c r="AA74" s="59">
        <f t="shared" si="20"/>
        <v>0</v>
      </c>
      <c r="AB74" s="191" t="e">
        <f>AA74/AA12</f>
        <v>#DIV/0!</v>
      </c>
      <c r="AC74" s="160">
        <f t="shared" si="17"/>
        <v>0</v>
      </c>
      <c r="AD74" s="191" t="e">
        <f>AC74/AC12</f>
        <v>#DIV/0!</v>
      </c>
      <c r="AE74" s="44">
        <f t="shared" si="18"/>
        <v>0</v>
      </c>
      <c r="AF74" s="21">
        <f t="shared" si="19"/>
        <v>0</v>
      </c>
    </row>
    <row r="75" spans="1:32" s="1" customFormat="1">
      <c r="A75" s="2">
        <v>6205</v>
      </c>
      <c r="B75" s="216" t="s">
        <v>28</v>
      </c>
      <c r="C75" s="20"/>
      <c r="D75" s="191" t="e">
        <f>C75/C12</f>
        <v>#DIV/0!</v>
      </c>
      <c r="E75" s="20"/>
      <c r="F75" s="191" t="e">
        <f>E75/E12</f>
        <v>#DIV/0!</v>
      </c>
      <c r="G75" s="20"/>
      <c r="H75" s="191" t="e">
        <f>G75/G12</f>
        <v>#DIV/0!</v>
      </c>
      <c r="I75" s="20"/>
      <c r="J75" s="191" t="e">
        <f>I75/I12</f>
        <v>#DIV/0!</v>
      </c>
      <c r="K75" s="20"/>
      <c r="L75" s="191" t="e">
        <f>K75/K12</f>
        <v>#DIV/0!</v>
      </c>
      <c r="M75" s="20"/>
      <c r="N75" s="221" t="e">
        <f>M75/M12</f>
        <v>#DIV/0!</v>
      </c>
      <c r="O75" s="20"/>
      <c r="P75" s="221" t="e">
        <f>O75/O12</f>
        <v>#DIV/0!</v>
      </c>
      <c r="Q75" s="20"/>
      <c r="R75" s="221" t="e">
        <f>Q75/Q12</f>
        <v>#DIV/0!</v>
      </c>
      <c r="S75" s="20"/>
      <c r="T75" s="191" t="e">
        <f>S75/S12</f>
        <v>#DIV/0!</v>
      </c>
      <c r="U75" s="20"/>
      <c r="V75" s="191" t="e">
        <f>U75/U12</f>
        <v>#DIV/0!</v>
      </c>
      <c r="W75" s="20"/>
      <c r="X75" s="191" t="e">
        <f>W75/W12</f>
        <v>#DIV/0!</v>
      </c>
      <c r="Y75" s="20"/>
      <c r="Z75" s="191" t="e">
        <f>Y75/Y12</f>
        <v>#DIV/0!</v>
      </c>
      <c r="AA75" s="59">
        <f t="shared" si="20"/>
        <v>0</v>
      </c>
      <c r="AB75" s="191" t="e">
        <f>AA75/AA12</f>
        <v>#DIV/0!</v>
      </c>
      <c r="AC75" s="160">
        <f t="shared" si="17"/>
        <v>0</v>
      </c>
      <c r="AD75" s="191" t="e">
        <f>AC75/AC12</f>
        <v>#DIV/0!</v>
      </c>
      <c r="AE75" s="44">
        <f t="shared" si="18"/>
        <v>0</v>
      </c>
      <c r="AF75" s="21">
        <f t="shared" si="19"/>
        <v>0</v>
      </c>
    </row>
    <row r="76" spans="1:32" s="1" customFormat="1">
      <c r="A76" s="2">
        <v>6206</v>
      </c>
      <c r="B76" s="2" t="s">
        <v>156</v>
      </c>
      <c r="C76" s="20"/>
      <c r="D76" s="191" t="e">
        <f>C76/C12</f>
        <v>#DIV/0!</v>
      </c>
      <c r="E76" s="20"/>
      <c r="F76" s="191" t="e">
        <f>E76/E12</f>
        <v>#DIV/0!</v>
      </c>
      <c r="G76" s="20"/>
      <c r="H76" s="191" t="e">
        <f>G76/G12</f>
        <v>#DIV/0!</v>
      </c>
      <c r="I76" s="20"/>
      <c r="J76" s="191" t="e">
        <f>I76/I12</f>
        <v>#DIV/0!</v>
      </c>
      <c r="K76" s="20"/>
      <c r="L76" s="191" t="e">
        <f>K76/K12</f>
        <v>#DIV/0!</v>
      </c>
      <c r="M76" s="20">
        <v>0</v>
      </c>
      <c r="N76" s="221" t="e">
        <f>M76/M12</f>
        <v>#DIV/0!</v>
      </c>
      <c r="O76" s="20">
        <v>0</v>
      </c>
      <c r="P76" s="221" t="e">
        <f>O76/O12</f>
        <v>#DIV/0!</v>
      </c>
      <c r="Q76" s="20">
        <v>0</v>
      </c>
      <c r="R76" s="221" t="e">
        <f>Q76/Q12</f>
        <v>#DIV/0!</v>
      </c>
      <c r="S76" s="20">
        <v>0</v>
      </c>
      <c r="T76" s="191" t="e">
        <f>S76/S12</f>
        <v>#DIV/0!</v>
      </c>
      <c r="U76" s="20">
        <v>0</v>
      </c>
      <c r="V76" s="191" t="e">
        <f>U76/U12</f>
        <v>#DIV/0!</v>
      </c>
      <c r="W76" s="20">
        <v>0</v>
      </c>
      <c r="X76" s="191" t="e">
        <f>W76/W12</f>
        <v>#DIV/0!</v>
      </c>
      <c r="Y76" s="20">
        <v>0</v>
      </c>
      <c r="Z76" s="191" t="e">
        <f>Y76/Y12</f>
        <v>#DIV/0!</v>
      </c>
      <c r="AA76" s="59">
        <f t="shared" si="20"/>
        <v>0</v>
      </c>
      <c r="AB76" s="191" t="e">
        <f>AA76/AA12</f>
        <v>#DIV/0!</v>
      </c>
      <c r="AC76" s="160">
        <f t="shared" si="17"/>
        <v>0</v>
      </c>
      <c r="AD76" s="191" t="e">
        <f>AC76/AC12</f>
        <v>#DIV/0!</v>
      </c>
      <c r="AE76" s="44">
        <f t="shared" si="18"/>
        <v>0</v>
      </c>
      <c r="AF76" s="21">
        <f t="shared" si="19"/>
        <v>0</v>
      </c>
    </row>
    <row r="77" spans="1:32" s="1" customFormat="1">
      <c r="A77" s="2">
        <v>6207</v>
      </c>
      <c r="B77" s="2" t="s">
        <v>157</v>
      </c>
      <c r="C77" s="222"/>
      <c r="D77" s="191" t="e">
        <f>C77/C$12</f>
        <v>#DIV/0!</v>
      </c>
      <c r="E77" s="222"/>
      <c r="F77" s="191" t="e">
        <f>E77/E$12</f>
        <v>#DIV/0!</v>
      </c>
      <c r="G77" s="222"/>
      <c r="H77" s="191" t="e">
        <f>G77/G$12</f>
        <v>#DIV/0!</v>
      </c>
      <c r="I77" s="222"/>
      <c r="J77" s="191" t="e">
        <f>I77/I$12</f>
        <v>#DIV/0!</v>
      </c>
      <c r="K77" s="222"/>
      <c r="L77" s="191" t="e">
        <f>K77/K$12</f>
        <v>#DIV/0!</v>
      </c>
      <c r="M77" s="222">
        <v>0</v>
      </c>
      <c r="N77" s="221" t="e">
        <f>M77/M$12</f>
        <v>#DIV/0!</v>
      </c>
      <c r="O77" s="222">
        <v>0</v>
      </c>
      <c r="P77" s="221" t="e">
        <f>O77/O$12</f>
        <v>#DIV/0!</v>
      </c>
      <c r="Q77" s="222">
        <v>0</v>
      </c>
      <c r="R77" s="221" t="e">
        <f>Q77/Q$12</f>
        <v>#DIV/0!</v>
      </c>
      <c r="S77" s="222">
        <v>0</v>
      </c>
      <c r="T77" s="191" t="e">
        <f>S77/S$12</f>
        <v>#DIV/0!</v>
      </c>
      <c r="U77" s="222">
        <v>0</v>
      </c>
      <c r="V77" s="191" t="e">
        <f>U77/U$12</f>
        <v>#DIV/0!</v>
      </c>
      <c r="W77" s="222">
        <v>0</v>
      </c>
      <c r="X77" s="191" t="e">
        <f>W77/W$12</f>
        <v>#DIV/0!</v>
      </c>
      <c r="Y77" s="222">
        <v>0</v>
      </c>
      <c r="Z77" s="191" t="e">
        <f>Y77/Y$12</f>
        <v>#DIV/0!</v>
      </c>
      <c r="AA77" s="59">
        <f t="shared" si="20"/>
        <v>0</v>
      </c>
      <c r="AB77" s="28" t="e">
        <f>AA77/AA$12</f>
        <v>#DIV/0!</v>
      </c>
      <c r="AC77" s="160">
        <f t="shared" si="17"/>
        <v>0</v>
      </c>
      <c r="AD77" s="28" t="e">
        <f>AC77/AC$12</f>
        <v>#DIV/0!</v>
      </c>
      <c r="AE77" s="44">
        <f t="shared" si="18"/>
        <v>0</v>
      </c>
      <c r="AF77" s="21">
        <f t="shared" si="19"/>
        <v>0</v>
      </c>
    </row>
    <row r="78" spans="1:32" s="1" customFormat="1">
      <c r="A78" s="2">
        <v>6208</v>
      </c>
      <c r="B78" s="2" t="s">
        <v>158</v>
      </c>
      <c r="C78" s="20"/>
      <c r="D78" s="191" t="e">
        <f>C78/C12</f>
        <v>#DIV/0!</v>
      </c>
      <c r="E78" s="20"/>
      <c r="F78" s="191" t="e">
        <f>E78/E12</f>
        <v>#DIV/0!</v>
      </c>
      <c r="G78" s="20"/>
      <c r="H78" s="191" t="e">
        <f>G78/G12</f>
        <v>#DIV/0!</v>
      </c>
      <c r="I78" s="20"/>
      <c r="J78" s="191" t="e">
        <f>I78/I12</f>
        <v>#DIV/0!</v>
      </c>
      <c r="K78" s="20"/>
      <c r="L78" s="191" t="e">
        <f>K78/K12</f>
        <v>#DIV/0!</v>
      </c>
      <c r="M78" s="20"/>
      <c r="N78" s="221" t="e">
        <f>M78/M12</f>
        <v>#DIV/0!</v>
      </c>
      <c r="O78" s="20"/>
      <c r="P78" s="221" t="e">
        <f>O78/O12</f>
        <v>#DIV/0!</v>
      </c>
      <c r="Q78" s="20"/>
      <c r="R78" s="221" t="e">
        <f>Q78/Q12</f>
        <v>#DIV/0!</v>
      </c>
      <c r="S78" s="20"/>
      <c r="T78" s="191" t="e">
        <f>S78/S12</f>
        <v>#DIV/0!</v>
      </c>
      <c r="U78" s="20"/>
      <c r="V78" s="191" t="e">
        <f>U78/U12</f>
        <v>#DIV/0!</v>
      </c>
      <c r="W78" s="20"/>
      <c r="X78" s="191" t="e">
        <f>W78/W12</f>
        <v>#DIV/0!</v>
      </c>
      <c r="Y78" s="20"/>
      <c r="Z78" s="191" t="e">
        <f>Y78/Y12</f>
        <v>#DIV/0!</v>
      </c>
      <c r="AA78" s="59">
        <f t="shared" si="20"/>
        <v>0</v>
      </c>
      <c r="AB78" s="191" t="e">
        <f>AA78/AA12</f>
        <v>#DIV/0!</v>
      </c>
      <c r="AC78" s="160">
        <f t="shared" si="17"/>
        <v>0</v>
      </c>
      <c r="AD78" s="191" t="e">
        <f>AC78/AC12</f>
        <v>#DIV/0!</v>
      </c>
      <c r="AE78" s="44">
        <f t="shared" si="18"/>
        <v>0</v>
      </c>
      <c r="AF78" s="21">
        <f t="shared" si="19"/>
        <v>0</v>
      </c>
    </row>
    <row r="79" spans="1:32" s="1" customFormat="1">
      <c r="A79" s="2">
        <v>6209</v>
      </c>
      <c r="B79" s="216" t="s">
        <v>29</v>
      </c>
      <c r="C79" s="20"/>
      <c r="D79" s="28" t="e">
        <f>C79/C12</f>
        <v>#DIV/0!</v>
      </c>
      <c r="E79" s="20"/>
      <c r="F79" s="28" t="e">
        <f>E79/E12</f>
        <v>#DIV/0!</v>
      </c>
      <c r="G79" s="20"/>
      <c r="H79" s="28" t="e">
        <f>G79/G12</f>
        <v>#DIV/0!</v>
      </c>
      <c r="I79" s="20"/>
      <c r="J79" s="28" t="e">
        <f>I79/I12</f>
        <v>#DIV/0!</v>
      </c>
      <c r="K79" s="20"/>
      <c r="L79" s="28" t="e">
        <f>K79/K12</f>
        <v>#DIV/0!</v>
      </c>
      <c r="M79" s="20">
        <v>0</v>
      </c>
      <c r="N79" s="91" t="e">
        <f>M79/M12</f>
        <v>#DIV/0!</v>
      </c>
      <c r="O79" s="20">
        <v>0</v>
      </c>
      <c r="P79" s="91" t="e">
        <f>O79/O12</f>
        <v>#DIV/0!</v>
      </c>
      <c r="Q79" s="20">
        <v>0</v>
      </c>
      <c r="R79" s="91" t="e">
        <f>Q79/Q12</f>
        <v>#DIV/0!</v>
      </c>
      <c r="S79" s="20">
        <v>0</v>
      </c>
      <c r="T79" s="28" t="e">
        <f>S79/S12</f>
        <v>#DIV/0!</v>
      </c>
      <c r="U79" s="20">
        <v>0</v>
      </c>
      <c r="V79" s="28" t="e">
        <f>U79/U12</f>
        <v>#DIV/0!</v>
      </c>
      <c r="W79" s="20">
        <v>0</v>
      </c>
      <c r="X79" s="28" t="e">
        <f>W79/W12</f>
        <v>#DIV/0!</v>
      </c>
      <c r="Y79" s="20">
        <v>0</v>
      </c>
      <c r="Z79" s="28" t="e">
        <f>Y79/Y12</f>
        <v>#DIV/0!</v>
      </c>
      <c r="AA79" s="59">
        <f t="shared" si="20"/>
        <v>0</v>
      </c>
      <c r="AB79" s="28" t="e">
        <f>AA79/AA12</f>
        <v>#DIV/0!</v>
      </c>
      <c r="AC79" s="160">
        <f t="shared" si="17"/>
        <v>0</v>
      </c>
      <c r="AD79" s="28" t="e">
        <f>AC79/AC12</f>
        <v>#DIV/0!</v>
      </c>
      <c r="AE79" s="44">
        <f t="shared" si="18"/>
        <v>0</v>
      </c>
      <c r="AF79" s="21">
        <f t="shared" si="19"/>
        <v>0</v>
      </c>
    </row>
    <row r="80" spans="1:32" s="1" customFormat="1">
      <c r="A80" s="2">
        <v>6210</v>
      </c>
      <c r="B80" s="216" t="s">
        <v>30</v>
      </c>
      <c r="C80" s="20"/>
      <c r="D80" s="191" t="e">
        <f>C80/C12</f>
        <v>#DIV/0!</v>
      </c>
      <c r="E80" s="20"/>
      <c r="F80" s="191" t="e">
        <f>E80/E12</f>
        <v>#DIV/0!</v>
      </c>
      <c r="G80" s="20"/>
      <c r="H80" s="191" t="e">
        <f>G80/G12</f>
        <v>#DIV/0!</v>
      </c>
      <c r="I80" s="20"/>
      <c r="J80" s="191" t="e">
        <f>I80/I12</f>
        <v>#DIV/0!</v>
      </c>
      <c r="K80" s="20"/>
      <c r="L80" s="191" t="e">
        <f>K80/K12</f>
        <v>#DIV/0!</v>
      </c>
      <c r="M80" s="20">
        <v>0</v>
      </c>
      <c r="N80" s="221" t="e">
        <f>M80/M12</f>
        <v>#DIV/0!</v>
      </c>
      <c r="O80" s="20">
        <v>0</v>
      </c>
      <c r="P80" s="221" t="e">
        <f>O80/O12</f>
        <v>#DIV/0!</v>
      </c>
      <c r="Q80" s="20">
        <v>0</v>
      </c>
      <c r="R80" s="221" t="e">
        <f>Q80/Q12</f>
        <v>#DIV/0!</v>
      </c>
      <c r="S80" s="20">
        <v>0</v>
      </c>
      <c r="T80" s="191" t="e">
        <f>S80/S12</f>
        <v>#DIV/0!</v>
      </c>
      <c r="U80" s="20">
        <v>0</v>
      </c>
      <c r="V80" s="191" t="e">
        <f>U80/U12</f>
        <v>#DIV/0!</v>
      </c>
      <c r="W80" s="20">
        <v>0</v>
      </c>
      <c r="X80" s="191" t="e">
        <f>W80/W12</f>
        <v>#DIV/0!</v>
      </c>
      <c r="Y80" s="20">
        <v>0</v>
      </c>
      <c r="Z80" s="191" t="e">
        <f>Y80/Y12</f>
        <v>#DIV/0!</v>
      </c>
      <c r="AA80" s="59">
        <f t="shared" si="20"/>
        <v>0</v>
      </c>
      <c r="AB80" s="191" t="e">
        <f>AA80/AA12</f>
        <v>#DIV/0!</v>
      </c>
      <c r="AC80" s="160">
        <f t="shared" si="17"/>
        <v>0</v>
      </c>
      <c r="AD80" s="191" t="e">
        <f>AC80/AC12</f>
        <v>#DIV/0!</v>
      </c>
      <c r="AE80" s="44">
        <f t="shared" si="18"/>
        <v>0</v>
      </c>
      <c r="AF80" s="21">
        <f t="shared" si="19"/>
        <v>0</v>
      </c>
    </row>
    <row r="81" spans="1:32" s="1" customFormat="1">
      <c r="A81" s="2">
        <v>6211</v>
      </c>
      <c r="B81" s="216" t="s">
        <v>31</v>
      </c>
      <c r="C81" s="20"/>
      <c r="D81" s="191" t="e">
        <f>C81/C12</f>
        <v>#DIV/0!</v>
      </c>
      <c r="E81" s="20"/>
      <c r="F81" s="191" t="e">
        <f>E81/E12</f>
        <v>#DIV/0!</v>
      </c>
      <c r="G81" s="20"/>
      <c r="H81" s="191" t="e">
        <f>G81/G12</f>
        <v>#DIV/0!</v>
      </c>
      <c r="I81" s="20"/>
      <c r="J81" s="191" t="e">
        <f>I81/I12</f>
        <v>#DIV/0!</v>
      </c>
      <c r="K81" s="20"/>
      <c r="L81" s="191" t="e">
        <f>K81/K12</f>
        <v>#DIV/0!</v>
      </c>
      <c r="M81" s="20">
        <v>0</v>
      </c>
      <c r="N81" s="221" t="e">
        <f>M81/M12</f>
        <v>#DIV/0!</v>
      </c>
      <c r="O81" s="20">
        <v>0</v>
      </c>
      <c r="P81" s="221" t="e">
        <f>O81/O12</f>
        <v>#DIV/0!</v>
      </c>
      <c r="Q81" s="20">
        <v>0</v>
      </c>
      <c r="R81" s="221" t="e">
        <f>Q81/Q12</f>
        <v>#DIV/0!</v>
      </c>
      <c r="S81" s="20">
        <v>0</v>
      </c>
      <c r="T81" s="191" t="e">
        <f>S81/S12</f>
        <v>#DIV/0!</v>
      </c>
      <c r="U81" s="20">
        <v>0</v>
      </c>
      <c r="V81" s="191" t="e">
        <f>U81/U12</f>
        <v>#DIV/0!</v>
      </c>
      <c r="W81" s="20">
        <v>0</v>
      </c>
      <c r="X81" s="191" t="e">
        <f>W81/W12</f>
        <v>#DIV/0!</v>
      </c>
      <c r="Y81" s="20">
        <v>0</v>
      </c>
      <c r="Z81" s="191" t="e">
        <f>Y81/Y12</f>
        <v>#DIV/0!</v>
      </c>
      <c r="AA81" s="59">
        <f t="shared" si="20"/>
        <v>0</v>
      </c>
      <c r="AB81" s="191" t="e">
        <f>AA81/AA12</f>
        <v>#DIV/0!</v>
      </c>
      <c r="AC81" s="160">
        <f t="shared" si="17"/>
        <v>0</v>
      </c>
      <c r="AD81" s="191" t="e">
        <f>AC81/AC12</f>
        <v>#DIV/0!</v>
      </c>
      <c r="AE81" s="44">
        <f t="shared" si="18"/>
        <v>0</v>
      </c>
      <c r="AF81" s="21">
        <f t="shared" si="19"/>
        <v>0</v>
      </c>
    </row>
    <row r="82" spans="1:32" s="1" customFormat="1">
      <c r="A82" s="2">
        <v>6212</v>
      </c>
      <c r="B82" s="216" t="s">
        <v>32</v>
      </c>
      <c r="C82" s="100"/>
      <c r="D82" s="28" t="e">
        <f>C82/C12</f>
        <v>#DIV/0!</v>
      </c>
      <c r="E82" s="100"/>
      <c r="F82" s="28" t="e">
        <f>E82/E12</f>
        <v>#DIV/0!</v>
      </c>
      <c r="G82" s="100"/>
      <c r="H82" s="28" t="e">
        <f>G82/G12</f>
        <v>#DIV/0!</v>
      </c>
      <c r="I82" s="100"/>
      <c r="J82" s="28" t="e">
        <f>I82/I12</f>
        <v>#DIV/0!</v>
      </c>
      <c r="K82" s="100"/>
      <c r="L82" s="28" t="e">
        <f>K82/K12</f>
        <v>#DIV/0!</v>
      </c>
      <c r="M82" s="100">
        <v>0</v>
      </c>
      <c r="N82" s="91" t="e">
        <f>M82/M12</f>
        <v>#DIV/0!</v>
      </c>
      <c r="O82" s="100">
        <v>0</v>
      </c>
      <c r="P82" s="91" t="e">
        <f>O82/O12</f>
        <v>#DIV/0!</v>
      </c>
      <c r="Q82" s="100">
        <v>0</v>
      </c>
      <c r="R82" s="91" t="e">
        <f>Q82/Q12</f>
        <v>#DIV/0!</v>
      </c>
      <c r="S82" s="100">
        <v>0</v>
      </c>
      <c r="T82" s="28" t="e">
        <f>S82/S12</f>
        <v>#DIV/0!</v>
      </c>
      <c r="U82" s="100">
        <v>0</v>
      </c>
      <c r="V82" s="28" t="e">
        <f>U82/U12</f>
        <v>#DIV/0!</v>
      </c>
      <c r="W82" s="100">
        <v>0</v>
      </c>
      <c r="X82" s="28" t="e">
        <f>W82/W12</f>
        <v>#DIV/0!</v>
      </c>
      <c r="Y82" s="100">
        <v>0</v>
      </c>
      <c r="Z82" s="28" t="e">
        <f>Y82/Y12</f>
        <v>#DIV/0!</v>
      </c>
      <c r="AA82" s="59">
        <f t="shared" si="20"/>
        <v>0</v>
      </c>
      <c r="AB82" s="28" t="e">
        <f>AA82/AA12</f>
        <v>#DIV/0!</v>
      </c>
      <c r="AC82" s="160">
        <f t="shared" si="17"/>
        <v>0</v>
      </c>
      <c r="AD82" s="28" t="e">
        <f>AC82/AC12</f>
        <v>#DIV/0!</v>
      </c>
      <c r="AE82" s="44">
        <f t="shared" si="18"/>
        <v>0</v>
      </c>
      <c r="AF82" s="21">
        <f t="shared" si="19"/>
        <v>0</v>
      </c>
    </row>
    <row r="83" spans="1:32" s="1" customFormat="1">
      <c r="A83" s="2">
        <v>6213</v>
      </c>
      <c r="B83" s="216" t="s">
        <v>33</v>
      </c>
      <c r="C83" s="100"/>
      <c r="D83" s="28" t="e">
        <f>C83/C12</f>
        <v>#DIV/0!</v>
      </c>
      <c r="E83" s="100"/>
      <c r="F83" s="28" t="e">
        <f>E83/E12</f>
        <v>#DIV/0!</v>
      </c>
      <c r="G83" s="100">
        <v>0</v>
      </c>
      <c r="H83" s="28" t="e">
        <f>G83/G12</f>
        <v>#DIV/0!</v>
      </c>
      <c r="I83" s="100"/>
      <c r="J83" s="28" t="e">
        <f>I83/I12</f>
        <v>#DIV/0!</v>
      </c>
      <c r="K83" s="100"/>
      <c r="L83" s="28" t="e">
        <f>K83/K12</f>
        <v>#DIV/0!</v>
      </c>
      <c r="M83" s="100">
        <v>0</v>
      </c>
      <c r="N83" s="91" t="e">
        <f>M83/M12</f>
        <v>#DIV/0!</v>
      </c>
      <c r="O83" s="100">
        <v>0</v>
      </c>
      <c r="P83" s="91" t="e">
        <f>O83/O12</f>
        <v>#DIV/0!</v>
      </c>
      <c r="Q83" s="100">
        <v>0</v>
      </c>
      <c r="R83" s="91" t="e">
        <f>Q83/Q12</f>
        <v>#DIV/0!</v>
      </c>
      <c r="S83" s="100">
        <v>0</v>
      </c>
      <c r="T83" s="28" t="e">
        <f>S83/S12</f>
        <v>#DIV/0!</v>
      </c>
      <c r="U83" s="100">
        <v>0</v>
      </c>
      <c r="V83" s="28" t="e">
        <f>U83/U12</f>
        <v>#DIV/0!</v>
      </c>
      <c r="W83" s="100">
        <v>0</v>
      </c>
      <c r="X83" s="28" t="e">
        <f>W83/W12</f>
        <v>#DIV/0!</v>
      </c>
      <c r="Y83" s="100">
        <v>0</v>
      </c>
      <c r="Z83" s="28" t="e">
        <f>Y83/Y12</f>
        <v>#DIV/0!</v>
      </c>
      <c r="AA83" s="59">
        <f t="shared" si="20"/>
        <v>0</v>
      </c>
      <c r="AB83" s="28" t="e">
        <f>AA83/AA12</f>
        <v>#DIV/0!</v>
      </c>
      <c r="AC83" s="160">
        <f t="shared" si="17"/>
        <v>0</v>
      </c>
      <c r="AD83" s="28" t="e">
        <f>AC83/AC12</f>
        <v>#DIV/0!</v>
      </c>
      <c r="AE83" s="44">
        <f t="shared" si="18"/>
        <v>0</v>
      </c>
      <c r="AF83" s="21">
        <f t="shared" si="19"/>
        <v>0</v>
      </c>
    </row>
    <row r="84" spans="1:32" s="1" customFormat="1">
      <c r="A84" s="2">
        <v>6214</v>
      </c>
      <c r="B84" s="216" t="s">
        <v>34</v>
      </c>
      <c r="C84" s="100"/>
      <c r="D84" s="28" t="e">
        <f>C84/C12</f>
        <v>#DIV/0!</v>
      </c>
      <c r="E84" s="100"/>
      <c r="F84" s="28" t="e">
        <f>E84/E12</f>
        <v>#DIV/0!</v>
      </c>
      <c r="G84" s="100">
        <f>G71*20%</f>
        <v>0</v>
      </c>
      <c r="H84" s="28" t="e">
        <f>G84/G12</f>
        <v>#DIV/0!</v>
      </c>
      <c r="I84" s="100"/>
      <c r="J84" s="28" t="e">
        <f>I84/I12</f>
        <v>#DIV/0!</v>
      </c>
      <c r="K84" s="100"/>
      <c r="L84" s="28" t="e">
        <f>K84/K12</f>
        <v>#DIV/0!</v>
      </c>
      <c r="M84" s="100"/>
      <c r="N84" s="91" t="e">
        <f>M84/M12</f>
        <v>#DIV/0!</v>
      </c>
      <c r="O84" s="100">
        <f>O71*20%</f>
        <v>0</v>
      </c>
      <c r="P84" s="91" t="e">
        <f>O84/O12</f>
        <v>#DIV/0!</v>
      </c>
      <c r="Q84" s="100"/>
      <c r="R84" s="91" t="e">
        <f>Q84/Q12</f>
        <v>#DIV/0!</v>
      </c>
      <c r="S84" s="100">
        <f>S71*20%</f>
        <v>0</v>
      </c>
      <c r="T84" s="28" t="e">
        <f>S84/S12</f>
        <v>#DIV/0!</v>
      </c>
      <c r="U84" s="100"/>
      <c r="V84" s="28" t="e">
        <f>U84/U12</f>
        <v>#DIV/0!</v>
      </c>
      <c r="W84" s="100"/>
      <c r="X84" s="28" t="e">
        <f>W84/W12</f>
        <v>#DIV/0!</v>
      </c>
      <c r="Y84" s="100">
        <f>Y71*20%</f>
        <v>0</v>
      </c>
      <c r="Z84" s="28" t="e">
        <f>Y84/Y12</f>
        <v>#DIV/0!</v>
      </c>
      <c r="AA84" s="59">
        <f t="shared" si="20"/>
        <v>0</v>
      </c>
      <c r="AB84" s="28" t="e">
        <f>AA84/AA12</f>
        <v>#DIV/0!</v>
      </c>
      <c r="AC84" s="160">
        <f t="shared" si="17"/>
        <v>0</v>
      </c>
      <c r="AD84" s="28" t="e">
        <f>AC84/AC12</f>
        <v>#DIV/0!</v>
      </c>
      <c r="AE84" s="44">
        <f t="shared" si="18"/>
        <v>0</v>
      </c>
      <c r="AF84" s="21">
        <f t="shared" si="19"/>
        <v>0</v>
      </c>
    </row>
    <row r="85" spans="1:32" s="1" customFormat="1">
      <c r="A85" s="2">
        <v>6215</v>
      </c>
      <c r="B85" s="216" t="s">
        <v>35</v>
      </c>
      <c r="C85" s="100"/>
      <c r="D85" s="191" t="e">
        <f>C85/C12</f>
        <v>#DIV/0!</v>
      </c>
      <c r="E85" s="100">
        <v>0</v>
      </c>
      <c r="F85" s="191" t="e">
        <f>E85/E12</f>
        <v>#DIV/0!</v>
      </c>
      <c r="G85" s="100">
        <v>0</v>
      </c>
      <c r="H85" s="191" t="e">
        <f>G85/G12</f>
        <v>#DIV/0!</v>
      </c>
      <c r="I85" s="100"/>
      <c r="J85" s="191" t="e">
        <f>I85/I12</f>
        <v>#DIV/0!</v>
      </c>
      <c r="K85" s="100"/>
      <c r="L85" s="191" t="e">
        <f>K85/K12</f>
        <v>#DIV/0!</v>
      </c>
      <c r="M85" s="100">
        <v>0</v>
      </c>
      <c r="N85" s="221" t="e">
        <f>M85/M12</f>
        <v>#DIV/0!</v>
      </c>
      <c r="O85" s="100">
        <v>0</v>
      </c>
      <c r="P85" s="221" t="e">
        <f>O85/O12</f>
        <v>#DIV/0!</v>
      </c>
      <c r="Q85" s="100">
        <v>0</v>
      </c>
      <c r="R85" s="221" t="e">
        <f>Q85/Q12</f>
        <v>#DIV/0!</v>
      </c>
      <c r="S85" s="100">
        <v>0</v>
      </c>
      <c r="T85" s="191" t="e">
        <f>S85/S12</f>
        <v>#DIV/0!</v>
      </c>
      <c r="U85" s="100">
        <v>0</v>
      </c>
      <c r="V85" s="191" t="e">
        <f>U85/U12</f>
        <v>#DIV/0!</v>
      </c>
      <c r="W85" s="100">
        <v>0</v>
      </c>
      <c r="X85" s="191" t="e">
        <f>W85/W12</f>
        <v>#DIV/0!</v>
      </c>
      <c r="Y85" s="100">
        <v>0</v>
      </c>
      <c r="Z85" s="191" t="e">
        <f>Y85/Y12</f>
        <v>#DIV/0!</v>
      </c>
      <c r="AA85" s="59">
        <f t="shared" si="20"/>
        <v>0</v>
      </c>
      <c r="AB85" s="191" t="e">
        <f>AA85/AA12</f>
        <v>#DIV/0!</v>
      </c>
      <c r="AC85" s="160">
        <f t="shared" si="17"/>
        <v>0</v>
      </c>
      <c r="AD85" s="191" t="e">
        <f>AC85/AC12</f>
        <v>#DIV/0!</v>
      </c>
      <c r="AE85" s="44">
        <f t="shared" si="18"/>
        <v>0</v>
      </c>
      <c r="AF85" s="21">
        <f t="shared" si="19"/>
        <v>0</v>
      </c>
    </row>
    <row r="86" spans="1:32" s="1" customFormat="1">
      <c r="A86" s="2">
        <v>6216</v>
      </c>
      <c r="B86" s="216" t="s">
        <v>91</v>
      </c>
      <c r="C86" s="100">
        <v>0</v>
      </c>
      <c r="D86" s="191" t="e">
        <f>C86/C12</f>
        <v>#DIV/0!</v>
      </c>
      <c r="E86" s="100">
        <v>0</v>
      </c>
      <c r="F86" s="191" t="e">
        <f>E86/E12</f>
        <v>#DIV/0!</v>
      </c>
      <c r="G86" s="100">
        <v>0</v>
      </c>
      <c r="H86" s="191" t="e">
        <f>G86/G12</f>
        <v>#DIV/0!</v>
      </c>
      <c r="I86" s="100">
        <v>0</v>
      </c>
      <c r="J86" s="191" t="e">
        <f>I86/I12</f>
        <v>#DIV/0!</v>
      </c>
      <c r="K86" s="100">
        <v>0</v>
      </c>
      <c r="L86" s="191" t="e">
        <f>K86/K12</f>
        <v>#DIV/0!</v>
      </c>
      <c r="M86" s="100">
        <v>0</v>
      </c>
      <c r="N86" s="221" t="e">
        <f>M86/M12</f>
        <v>#DIV/0!</v>
      </c>
      <c r="O86" s="100">
        <v>0</v>
      </c>
      <c r="P86" s="221" t="e">
        <f>O86/O12</f>
        <v>#DIV/0!</v>
      </c>
      <c r="Q86" s="100">
        <v>0</v>
      </c>
      <c r="R86" s="221" t="e">
        <f>Q86/Q12</f>
        <v>#DIV/0!</v>
      </c>
      <c r="S86" s="100">
        <v>0</v>
      </c>
      <c r="T86" s="191" t="e">
        <f>S86/S12</f>
        <v>#DIV/0!</v>
      </c>
      <c r="U86" s="100">
        <v>0</v>
      </c>
      <c r="V86" s="191" t="e">
        <f>U86/U12</f>
        <v>#DIV/0!</v>
      </c>
      <c r="W86" s="100">
        <v>0</v>
      </c>
      <c r="X86" s="191" t="e">
        <f>W86/W12</f>
        <v>#DIV/0!</v>
      </c>
      <c r="Y86" s="100">
        <v>0</v>
      </c>
      <c r="Z86" s="191" t="e">
        <f>Y86/Y12</f>
        <v>#DIV/0!</v>
      </c>
      <c r="AA86" s="59">
        <f t="shared" si="20"/>
        <v>0</v>
      </c>
      <c r="AB86" s="191" t="e">
        <f>AA86/AA12</f>
        <v>#DIV/0!</v>
      </c>
      <c r="AC86" s="160">
        <f t="shared" si="17"/>
        <v>0</v>
      </c>
      <c r="AD86" s="191" t="e">
        <f>AC86/AC12</f>
        <v>#DIV/0!</v>
      </c>
      <c r="AE86" s="44">
        <f t="shared" si="18"/>
        <v>0</v>
      </c>
      <c r="AF86" s="21">
        <f t="shared" si="19"/>
        <v>0</v>
      </c>
    </row>
    <row r="87" spans="1:32" s="1" customFormat="1" ht="15.75" thickBot="1">
      <c r="A87" s="4">
        <v>6299</v>
      </c>
      <c r="B87" s="217" t="s">
        <v>102</v>
      </c>
      <c r="C87" s="168">
        <f>SUM(C71:C85)</f>
        <v>0</v>
      </c>
      <c r="D87" s="167" t="e">
        <f>C87/C12</f>
        <v>#DIV/0!</v>
      </c>
      <c r="E87" s="168">
        <f>SUM(E71:E85)</f>
        <v>0</v>
      </c>
      <c r="F87" s="167" t="e">
        <f>E87/E12</f>
        <v>#DIV/0!</v>
      </c>
      <c r="G87" s="168">
        <f>SUM(G71:G85)</f>
        <v>0</v>
      </c>
      <c r="H87" s="167" t="e">
        <f>G87/G12</f>
        <v>#DIV/0!</v>
      </c>
      <c r="I87" s="168">
        <f>SUM(I71:I85)</f>
        <v>0</v>
      </c>
      <c r="J87" s="167" t="e">
        <f>I87/I12</f>
        <v>#DIV/0!</v>
      </c>
      <c r="K87" s="168">
        <f>SUM(K71:K85)</f>
        <v>0</v>
      </c>
      <c r="L87" s="167" t="e">
        <f>K87/K12</f>
        <v>#DIV/0!</v>
      </c>
      <c r="M87" s="168">
        <f>SUM(M71:M85)</f>
        <v>0</v>
      </c>
      <c r="N87" s="167" t="e">
        <f>M87/M12</f>
        <v>#DIV/0!</v>
      </c>
      <c r="O87" s="168">
        <f>SUM(O71:O85)</f>
        <v>0</v>
      </c>
      <c r="P87" s="167" t="e">
        <f>O87/O12</f>
        <v>#DIV/0!</v>
      </c>
      <c r="Q87" s="168">
        <f>SUM(Q71:Q85)</f>
        <v>0</v>
      </c>
      <c r="R87" s="167" t="e">
        <f>Q87/Q12</f>
        <v>#DIV/0!</v>
      </c>
      <c r="S87" s="168">
        <f>SUM(S71:S85)</f>
        <v>0</v>
      </c>
      <c r="T87" s="167" t="e">
        <f>S87/S12</f>
        <v>#DIV/0!</v>
      </c>
      <c r="U87" s="168">
        <f>SUM(U71:U85)</f>
        <v>0</v>
      </c>
      <c r="V87" s="167" t="e">
        <f>U87/U12</f>
        <v>#DIV/0!</v>
      </c>
      <c r="W87" s="168">
        <f>SUM(W71:W85)</f>
        <v>0</v>
      </c>
      <c r="X87" s="167" t="e">
        <f>W87/W12</f>
        <v>#DIV/0!</v>
      </c>
      <c r="Y87" s="168">
        <f>SUM(Y71:Y85)</f>
        <v>0</v>
      </c>
      <c r="Z87" s="167" t="e">
        <f>Y87/Y12</f>
        <v>#DIV/0!</v>
      </c>
      <c r="AA87" s="189">
        <f>SUM(AA71:AA86)</f>
        <v>0</v>
      </c>
      <c r="AB87" s="220" t="e">
        <f>AA87/AA12</f>
        <v>#DIV/0!</v>
      </c>
      <c r="AC87" s="23">
        <f t="shared" si="17"/>
        <v>0</v>
      </c>
      <c r="AD87" s="220" t="e">
        <f>AC87/AC12</f>
        <v>#DIV/0!</v>
      </c>
      <c r="AE87" s="44">
        <f t="shared" si="18"/>
        <v>0</v>
      </c>
      <c r="AF87" s="21">
        <f t="shared" si="19"/>
        <v>0</v>
      </c>
    </row>
    <row r="88" spans="1:32" s="1" customFormat="1" ht="15.75" thickTop="1">
      <c r="A88" s="2">
        <v>6301</v>
      </c>
      <c r="B88" s="216" t="s">
        <v>36</v>
      </c>
      <c r="C88" s="226"/>
      <c r="D88" s="191" t="e">
        <f>C88/C12</f>
        <v>#DIV/0!</v>
      </c>
      <c r="E88" s="226"/>
      <c r="F88" s="191" t="e">
        <f>E88/E12</f>
        <v>#DIV/0!</v>
      </c>
      <c r="G88" s="226"/>
      <c r="H88" s="191" t="e">
        <f>G88/G12</f>
        <v>#DIV/0!</v>
      </c>
      <c r="I88" s="226"/>
      <c r="J88" s="191" t="e">
        <f>I88/I12</f>
        <v>#DIV/0!</v>
      </c>
      <c r="K88" s="226"/>
      <c r="L88" s="224" t="e">
        <f>K88/K12</f>
        <v>#DIV/0!</v>
      </c>
      <c r="M88" s="226"/>
      <c r="N88" s="225" t="e">
        <f>M88/M12</f>
        <v>#DIV/0!</v>
      </c>
      <c r="O88" s="226"/>
      <c r="P88" s="225" t="e">
        <f>O88/O12</f>
        <v>#DIV/0!</v>
      </c>
      <c r="Q88" s="226"/>
      <c r="R88" s="225" t="e">
        <f>Q88/Q12</f>
        <v>#DIV/0!</v>
      </c>
      <c r="S88" s="226"/>
      <c r="T88" s="224" t="e">
        <f>S88/S12</f>
        <v>#DIV/0!</v>
      </c>
      <c r="U88" s="226"/>
      <c r="V88" s="225" t="e">
        <f>U88/U12</f>
        <v>#DIV/0!</v>
      </c>
      <c r="W88" s="223"/>
      <c r="X88" s="224" t="e">
        <f>W88/W12</f>
        <v>#DIV/0!</v>
      </c>
      <c r="Y88" s="226"/>
      <c r="Z88" s="191" t="e">
        <f>Y88/Y12</f>
        <v>#DIV/0!</v>
      </c>
      <c r="AA88" s="59">
        <f t="shared" ref="AA88:AA100" si="21">C88+E88+G88+I88+K88+M88+O88+Q88+S88+U88+W88+Y88</f>
        <v>0</v>
      </c>
      <c r="AB88" s="191" t="e">
        <f>AA88/AA$12</f>
        <v>#DIV/0!</v>
      </c>
      <c r="AC88" s="160">
        <f t="shared" si="17"/>
        <v>0</v>
      </c>
      <c r="AD88" s="191" t="e">
        <f>AC88/AC$12</f>
        <v>#DIV/0!</v>
      </c>
      <c r="AE88" s="44">
        <f t="shared" si="18"/>
        <v>0</v>
      </c>
      <c r="AF88" s="21">
        <f t="shared" si="19"/>
        <v>0</v>
      </c>
    </row>
    <row r="89" spans="1:32" s="1" customFormat="1">
      <c r="A89" s="2">
        <v>6302</v>
      </c>
      <c r="B89" s="216" t="s">
        <v>37</v>
      </c>
      <c r="C89" s="228"/>
      <c r="D89" s="28" t="e">
        <f>C89/C12</f>
        <v>#DIV/0!</v>
      </c>
      <c r="E89" s="228"/>
      <c r="F89" s="28" t="e">
        <f>E89/E12</f>
        <v>#DIV/0!</v>
      </c>
      <c r="G89" s="228"/>
      <c r="H89" s="28" t="e">
        <f>G89/G12</f>
        <v>#DIV/0!</v>
      </c>
      <c r="I89" s="228"/>
      <c r="J89" s="28" t="e">
        <f>I89/I12</f>
        <v>#DIV/0!</v>
      </c>
      <c r="K89" s="228"/>
      <c r="L89" s="28" t="e">
        <f>K89/K12</f>
        <v>#DIV/0!</v>
      </c>
      <c r="M89" s="228"/>
      <c r="N89" s="91" t="e">
        <f>M89/M12</f>
        <v>#DIV/0!</v>
      </c>
      <c r="O89" s="228"/>
      <c r="P89" s="91" t="e">
        <f>O89/O12</f>
        <v>#DIV/0!</v>
      </c>
      <c r="Q89" s="228"/>
      <c r="R89" s="91" t="e">
        <f>Q89/Q12</f>
        <v>#DIV/0!</v>
      </c>
      <c r="S89" s="228"/>
      <c r="T89" s="28" t="e">
        <f>S89/S12</f>
        <v>#DIV/0!</v>
      </c>
      <c r="U89" s="228"/>
      <c r="V89" s="91" t="e">
        <f>U89/U12</f>
        <v>#DIV/0!</v>
      </c>
      <c r="W89" s="227"/>
      <c r="X89" s="28" t="e">
        <f>W89/W12</f>
        <v>#DIV/0!</v>
      </c>
      <c r="Y89" s="228"/>
      <c r="Z89" s="28" t="e">
        <f>Y89/Y12</f>
        <v>#DIV/0!</v>
      </c>
      <c r="AA89" s="59">
        <f t="shared" si="21"/>
        <v>0</v>
      </c>
      <c r="AB89" s="191" t="e">
        <f t="shared" ref="AB89:AB100" si="22">AA89/AA$12</f>
        <v>#DIV/0!</v>
      </c>
      <c r="AC89" s="160">
        <f t="shared" si="17"/>
        <v>0</v>
      </c>
      <c r="AD89" s="191" t="e">
        <f t="shared" ref="AD89:AD100" si="23">AC89/AC$12</f>
        <v>#DIV/0!</v>
      </c>
      <c r="AE89" s="44">
        <f t="shared" si="18"/>
        <v>0</v>
      </c>
      <c r="AF89" s="21">
        <f t="shared" si="19"/>
        <v>0</v>
      </c>
    </row>
    <row r="90" spans="1:32" s="1" customFormat="1">
      <c r="A90" s="2">
        <v>6303</v>
      </c>
      <c r="B90" s="2" t="s">
        <v>115</v>
      </c>
      <c r="C90" s="228"/>
      <c r="D90" s="28" t="e">
        <f>C90/C12</f>
        <v>#DIV/0!</v>
      </c>
      <c r="E90" s="228"/>
      <c r="F90" s="28" t="e">
        <f>E90/E12</f>
        <v>#DIV/0!</v>
      </c>
      <c r="G90" s="228"/>
      <c r="H90" s="28" t="e">
        <f>G90/G12</f>
        <v>#DIV/0!</v>
      </c>
      <c r="I90" s="228"/>
      <c r="J90" s="28" t="e">
        <f>I90/I12</f>
        <v>#DIV/0!</v>
      </c>
      <c r="K90" s="228"/>
      <c r="L90" s="28" t="e">
        <f>K90/K12</f>
        <v>#DIV/0!</v>
      </c>
      <c r="M90" s="228"/>
      <c r="N90" s="91" t="e">
        <f>M90/M12</f>
        <v>#DIV/0!</v>
      </c>
      <c r="O90" s="228"/>
      <c r="P90" s="91" t="e">
        <f>O90/O12</f>
        <v>#DIV/0!</v>
      </c>
      <c r="Q90" s="228"/>
      <c r="R90" s="91" t="e">
        <f>Q90/Q12</f>
        <v>#DIV/0!</v>
      </c>
      <c r="S90" s="228"/>
      <c r="T90" s="28" t="e">
        <f>S90/S12</f>
        <v>#DIV/0!</v>
      </c>
      <c r="U90" s="228"/>
      <c r="V90" s="91" t="e">
        <f>U90/U12</f>
        <v>#DIV/0!</v>
      </c>
      <c r="W90" s="227"/>
      <c r="X90" s="28" t="e">
        <f>W90/W12</f>
        <v>#DIV/0!</v>
      </c>
      <c r="Y90" s="228"/>
      <c r="Z90" s="28" t="e">
        <f>Y90/Y12</f>
        <v>#DIV/0!</v>
      </c>
      <c r="AA90" s="59">
        <f t="shared" si="21"/>
        <v>0</v>
      </c>
      <c r="AB90" s="191" t="e">
        <f t="shared" si="22"/>
        <v>#DIV/0!</v>
      </c>
      <c r="AC90" s="160">
        <f t="shared" si="17"/>
        <v>0</v>
      </c>
      <c r="AD90" s="191" t="e">
        <f t="shared" si="23"/>
        <v>#DIV/0!</v>
      </c>
      <c r="AE90" s="44">
        <f t="shared" si="18"/>
        <v>0</v>
      </c>
      <c r="AF90" s="21">
        <f t="shared" si="19"/>
        <v>0</v>
      </c>
    </row>
    <row r="91" spans="1:32" s="1" customFormat="1">
      <c r="A91" s="2">
        <v>6304</v>
      </c>
      <c r="B91" s="2" t="s">
        <v>38</v>
      </c>
      <c r="C91" s="228"/>
      <c r="D91" s="28" t="e">
        <f>C91/C12</f>
        <v>#DIV/0!</v>
      </c>
      <c r="E91" s="228"/>
      <c r="F91" s="28" t="e">
        <f>E91/E12</f>
        <v>#DIV/0!</v>
      </c>
      <c r="G91" s="228"/>
      <c r="H91" s="28" t="e">
        <f>G91/G12</f>
        <v>#DIV/0!</v>
      </c>
      <c r="I91" s="228"/>
      <c r="J91" s="28" t="e">
        <f>I91/I12</f>
        <v>#DIV/0!</v>
      </c>
      <c r="K91" s="228"/>
      <c r="L91" s="28" t="e">
        <f>K91/K12</f>
        <v>#DIV/0!</v>
      </c>
      <c r="M91" s="279">
        <v>0</v>
      </c>
      <c r="N91" s="91" t="e">
        <f>M91/M12</f>
        <v>#DIV/0!</v>
      </c>
      <c r="O91" s="280">
        <v>0</v>
      </c>
      <c r="P91" s="28" t="e">
        <f>O91/O12</f>
        <v>#DIV/0!</v>
      </c>
      <c r="Q91" s="281">
        <v>0</v>
      </c>
      <c r="R91" s="91" t="e">
        <f>Q91/Q12</f>
        <v>#DIV/0!</v>
      </c>
      <c r="S91" s="229">
        <v>0</v>
      </c>
      <c r="T91" s="28" t="e">
        <f>S91/S12</f>
        <v>#DIV/0!</v>
      </c>
      <c r="U91" s="228">
        <v>0</v>
      </c>
      <c r="V91" s="91" t="e">
        <f>U91/U12</f>
        <v>#DIV/0!</v>
      </c>
      <c r="W91" s="229">
        <v>0</v>
      </c>
      <c r="X91" s="28" t="e">
        <f>W91/W12</f>
        <v>#DIV/0!</v>
      </c>
      <c r="Y91" s="228">
        <v>0</v>
      </c>
      <c r="Z91" s="28" t="e">
        <f>Y91/Y12</f>
        <v>#DIV/0!</v>
      </c>
      <c r="AA91" s="59">
        <f t="shared" si="21"/>
        <v>0</v>
      </c>
      <c r="AB91" s="191" t="e">
        <f t="shared" si="22"/>
        <v>#DIV/0!</v>
      </c>
      <c r="AC91" s="160">
        <f t="shared" si="17"/>
        <v>0</v>
      </c>
      <c r="AD91" s="191" t="e">
        <f t="shared" si="23"/>
        <v>#DIV/0!</v>
      </c>
      <c r="AE91" s="44">
        <f t="shared" si="18"/>
        <v>0</v>
      </c>
      <c r="AF91" s="21">
        <f t="shared" si="19"/>
        <v>0</v>
      </c>
    </row>
    <row r="92" spans="1:32" s="1" customFormat="1">
      <c r="A92" s="82">
        <v>6305</v>
      </c>
      <c r="B92" s="2" t="s">
        <v>39</v>
      </c>
      <c r="C92" s="228"/>
      <c r="D92" s="28" t="e">
        <f>C92/C12</f>
        <v>#DIV/0!</v>
      </c>
      <c r="E92" s="228"/>
      <c r="F92" s="28" t="e">
        <f>E92/E12</f>
        <v>#DIV/0!</v>
      </c>
      <c r="G92" s="228"/>
      <c r="H92" s="28" t="e">
        <f>G92/G12</f>
        <v>#DIV/0!</v>
      </c>
      <c r="I92" s="228"/>
      <c r="J92" s="28" t="e">
        <f>I92/I12</f>
        <v>#DIV/0!</v>
      </c>
      <c r="K92" s="228"/>
      <c r="L92" s="28" t="e">
        <f>K92/K12</f>
        <v>#DIV/0!</v>
      </c>
      <c r="M92" s="228"/>
      <c r="N92" s="91" t="e">
        <f>M92/M12</f>
        <v>#DIV/0!</v>
      </c>
      <c r="O92" s="280"/>
      <c r="P92" s="28" t="e">
        <f>O92/O12</f>
        <v>#DIV/0!</v>
      </c>
      <c r="Q92" s="228"/>
      <c r="R92" s="91" t="e">
        <f>Q92/Q12</f>
        <v>#DIV/0!</v>
      </c>
      <c r="S92" s="227"/>
      <c r="T92" s="28" t="e">
        <f>S92/S12</f>
        <v>#DIV/0!</v>
      </c>
      <c r="U92" s="228"/>
      <c r="V92" s="91" t="e">
        <f>U92/U12</f>
        <v>#DIV/0!</v>
      </c>
      <c r="W92" s="227"/>
      <c r="X92" s="28" t="e">
        <f>W92/W12</f>
        <v>#DIV/0!</v>
      </c>
      <c r="Y92" s="228"/>
      <c r="Z92" s="28" t="e">
        <f>Y92/Y12</f>
        <v>#DIV/0!</v>
      </c>
      <c r="AA92" s="59">
        <f t="shared" si="21"/>
        <v>0</v>
      </c>
      <c r="AB92" s="191" t="e">
        <f t="shared" si="22"/>
        <v>#DIV/0!</v>
      </c>
      <c r="AC92" s="160">
        <f t="shared" si="17"/>
        <v>0</v>
      </c>
      <c r="AD92" s="191" t="e">
        <f t="shared" si="23"/>
        <v>#DIV/0!</v>
      </c>
      <c r="AE92" s="44">
        <f t="shared" si="18"/>
        <v>0</v>
      </c>
      <c r="AF92" s="21">
        <f t="shared" si="19"/>
        <v>0</v>
      </c>
    </row>
    <row r="93" spans="1:32" s="1" customFormat="1">
      <c r="A93" s="2">
        <v>6306</v>
      </c>
      <c r="B93" s="2" t="s">
        <v>40</v>
      </c>
      <c r="C93" s="228"/>
      <c r="D93" s="28" t="e">
        <f>C93/C12</f>
        <v>#DIV/0!</v>
      </c>
      <c r="E93" s="228"/>
      <c r="F93" s="28" t="e">
        <f>E93/E12</f>
        <v>#DIV/0!</v>
      </c>
      <c r="G93" s="228"/>
      <c r="H93" s="28" t="e">
        <f>G93/G12</f>
        <v>#DIV/0!</v>
      </c>
      <c r="I93" s="228"/>
      <c r="J93" s="28" t="e">
        <f>I93/I12</f>
        <v>#DIV/0!</v>
      </c>
      <c r="K93" s="228"/>
      <c r="L93" s="28" t="e">
        <f>K93/K12</f>
        <v>#DIV/0!</v>
      </c>
      <c r="M93" s="228"/>
      <c r="N93" s="91" t="e">
        <f>M93/M12</f>
        <v>#DIV/0!</v>
      </c>
      <c r="O93" s="280"/>
      <c r="P93" s="28" t="e">
        <f>O93/O12</f>
        <v>#DIV/0!</v>
      </c>
      <c r="Q93" s="228"/>
      <c r="R93" s="91" t="e">
        <f>Q93/Q12</f>
        <v>#DIV/0!</v>
      </c>
      <c r="S93" s="227"/>
      <c r="T93" s="28" t="e">
        <f>S93/S12</f>
        <v>#DIV/0!</v>
      </c>
      <c r="U93" s="228"/>
      <c r="V93" s="91" t="e">
        <f>U93/U12</f>
        <v>#DIV/0!</v>
      </c>
      <c r="W93" s="227"/>
      <c r="X93" s="28" t="e">
        <f>W93/W12</f>
        <v>#DIV/0!</v>
      </c>
      <c r="Y93" s="228"/>
      <c r="Z93" s="28" t="e">
        <f>Y93/Y12</f>
        <v>#DIV/0!</v>
      </c>
      <c r="AA93" s="59">
        <f t="shared" si="21"/>
        <v>0</v>
      </c>
      <c r="AB93" s="191" t="e">
        <f t="shared" si="22"/>
        <v>#DIV/0!</v>
      </c>
      <c r="AC93" s="160">
        <f t="shared" si="17"/>
        <v>0</v>
      </c>
      <c r="AD93" s="191" t="e">
        <f t="shared" si="23"/>
        <v>#DIV/0!</v>
      </c>
      <c r="AE93" s="44">
        <f t="shared" si="18"/>
        <v>0</v>
      </c>
      <c r="AF93" s="21">
        <f t="shared" si="19"/>
        <v>0</v>
      </c>
    </row>
    <row r="94" spans="1:32" s="1" customFormat="1">
      <c r="A94" s="2">
        <v>6308</v>
      </c>
      <c r="B94" s="2" t="s">
        <v>126</v>
      </c>
      <c r="C94" s="228"/>
      <c r="D94" s="28" t="e">
        <f>C94/C12</f>
        <v>#DIV/0!</v>
      </c>
      <c r="E94" s="228"/>
      <c r="F94" s="28" t="e">
        <f>E94/E12</f>
        <v>#DIV/0!</v>
      </c>
      <c r="G94" s="228"/>
      <c r="H94" s="28" t="e">
        <f>G94/G12</f>
        <v>#DIV/0!</v>
      </c>
      <c r="I94" s="228"/>
      <c r="J94" s="28" t="e">
        <f>I94/I12</f>
        <v>#DIV/0!</v>
      </c>
      <c r="K94" s="228"/>
      <c r="L94" s="28" t="e">
        <f>K94/K12</f>
        <v>#DIV/0!</v>
      </c>
      <c r="M94" s="228"/>
      <c r="N94" s="91" t="e">
        <f>M94/M12</f>
        <v>#DIV/0!</v>
      </c>
      <c r="O94" s="280"/>
      <c r="P94" s="28" t="e">
        <f>O94/O12</f>
        <v>#DIV/0!</v>
      </c>
      <c r="Q94" s="228"/>
      <c r="R94" s="91" t="e">
        <f>Q94/Q12</f>
        <v>#DIV/0!</v>
      </c>
      <c r="S94" s="227"/>
      <c r="T94" s="28" t="e">
        <f>S94/S12</f>
        <v>#DIV/0!</v>
      </c>
      <c r="U94" s="228"/>
      <c r="V94" s="91" t="e">
        <f>U94/U12</f>
        <v>#DIV/0!</v>
      </c>
      <c r="W94" s="227"/>
      <c r="X94" s="28" t="e">
        <f>W94/W12</f>
        <v>#DIV/0!</v>
      </c>
      <c r="Y94" s="228"/>
      <c r="Z94" s="28" t="e">
        <f>Y94/Y12</f>
        <v>#DIV/0!</v>
      </c>
      <c r="AA94" s="59">
        <f t="shared" si="21"/>
        <v>0</v>
      </c>
      <c r="AB94" s="191" t="e">
        <f t="shared" si="22"/>
        <v>#DIV/0!</v>
      </c>
      <c r="AC94" s="160">
        <f t="shared" si="17"/>
        <v>0</v>
      </c>
      <c r="AD94" s="191" t="e">
        <f t="shared" si="23"/>
        <v>#DIV/0!</v>
      </c>
      <c r="AE94" s="44">
        <f t="shared" si="18"/>
        <v>0</v>
      </c>
      <c r="AF94" s="21">
        <f t="shared" si="19"/>
        <v>0</v>
      </c>
    </row>
    <row r="95" spans="1:32" s="1" customFormat="1">
      <c r="A95" s="2">
        <v>6309</v>
      </c>
      <c r="B95" s="2" t="s">
        <v>127</v>
      </c>
      <c r="C95" s="230"/>
      <c r="D95" s="28" t="e">
        <f>C95/C$12</f>
        <v>#DIV/0!</v>
      </c>
      <c r="E95" s="230"/>
      <c r="F95" s="28" t="e">
        <f>E95/E12</f>
        <v>#DIV/0!</v>
      </c>
      <c r="G95" s="230"/>
      <c r="H95" s="28" t="e">
        <f>G95/G12</f>
        <v>#DIV/0!</v>
      </c>
      <c r="I95" s="230"/>
      <c r="J95" s="28" t="e">
        <f>I95/I12</f>
        <v>#DIV/0!</v>
      </c>
      <c r="K95" s="230"/>
      <c r="L95" s="28" t="e">
        <f>K95/K12</f>
        <v>#DIV/0!</v>
      </c>
      <c r="M95" s="282">
        <v>0</v>
      </c>
      <c r="N95" s="91" t="e">
        <f>M95/M12</f>
        <v>#DIV/0!</v>
      </c>
      <c r="O95" s="282">
        <v>0</v>
      </c>
      <c r="P95" s="28" t="e">
        <f>O95/O12</f>
        <v>#DIV/0!</v>
      </c>
      <c r="Q95" s="282">
        <v>0</v>
      </c>
      <c r="R95" s="91" t="e">
        <f>Q95/Q12</f>
        <v>#DIV/0!</v>
      </c>
      <c r="S95" s="282">
        <v>0</v>
      </c>
      <c r="T95" s="28" t="e">
        <f>S95/S12</f>
        <v>#DIV/0!</v>
      </c>
      <c r="U95" s="282">
        <v>0</v>
      </c>
      <c r="V95" s="91" t="e">
        <f>U95/U12</f>
        <v>#DIV/0!</v>
      </c>
      <c r="W95" s="282">
        <v>0</v>
      </c>
      <c r="X95" s="28" t="e">
        <f>W95/W12</f>
        <v>#DIV/0!</v>
      </c>
      <c r="Y95" s="282">
        <v>0</v>
      </c>
      <c r="Z95" s="28" t="e">
        <f>Y95/Y12</f>
        <v>#DIV/0!</v>
      </c>
      <c r="AA95" s="59">
        <f t="shared" si="21"/>
        <v>0</v>
      </c>
      <c r="AB95" s="191" t="e">
        <f t="shared" si="22"/>
        <v>#DIV/0!</v>
      </c>
      <c r="AC95" s="160">
        <f t="shared" si="17"/>
        <v>0</v>
      </c>
      <c r="AD95" s="191" t="e">
        <f t="shared" si="23"/>
        <v>#DIV/0!</v>
      </c>
      <c r="AE95" s="44">
        <f t="shared" si="18"/>
        <v>0</v>
      </c>
      <c r="AF95" s="21">
        <f t="shared" si="19"/>
        <v>0</v>
      </c>
    </row>
    <row r="96" spans="1:32" s="1" customFormat="1">
      <c r="A96" s="2">
        <v>6310</v>
      </c>
      <c r="B96" s="2" t="s">
        <v>128</v>
      </c>
      <c r="C96" s="228"/>
      <c r="D96" s="28" t="e">
        <f>C96/C$12</f>
        <v>#DIV/0!</v>
      </c>
      <c r="E96" s="228"/>
      <c r="F96" s="28" t="e">
        <f>E96/E$12</f>
        <v>#DIV/0!</v>
      </c>
      <c r="G96" s="228"/>
      <c r="H96" s="28" t="e">
        <f>G96/G$12</f>
        <v>#DIV/0!</v>
      </c>
      <c r="I96" s="228"/>
      <c r="J96" s="28" t="e">
        <f>I96/I$12</f>
        <v>#DIV/0!</v>
      </c>
      <c r="K96" s="228"/>
      <c r="L96" s="28" t="e">
        <f>K96/K$12</f>
        <v>#DIV/0!</v>
      </c>
      <c r="M96" s="283">
        <v>0</v>
      </c>
      <c r="N96" s="91" t="e">
        <f>M96/M$12</f>
        <v>#DIV/0!</v>
      </c>
      <c r="O96" s="283"/>
      <c r="P96" s="28" t="e">
        <f>O96/O$12</f>
        <v>#DIV/0!</v>
      </c>
      <c r="Q96" s="283"/>
      <c r="R96" s="91" t="e">
        <f>Q96/Q$12</f>
        <v>#DIV/0!</v>
      </c>
      <c r="S96" s="283">
        <v>0</v>
      </c>
      <c r="T96" s="28" t="e">
        <f>S96/S$12</f>
        <v>#DIV/0!</v>
      </c>
      <c r="U96" s="283">
        <v>0</v>
      </c>
      <c r="V96" s="91" t="e">
        <f>U96/U$12</f>
        <v>#DIV/0!</v>
      </c>
      <c r="W96" s="283">
        <v>0</v>
      </c>
      <c r="X96" s="28" t="e">
        <f>W96/W$12</f>
        <v>#DIV/0!</v>
      </c>
      <c r="Y96" s="283">
        <v>0</v>
      </c>
      <c r="Z96" s="28" t="e">
        <f>Y96/Y$12</f>
        <v>#DIV/0!</v>
      </c>
      <c r="AA96" s="59">
        <f t="shared" si="21"/>
        <v>0</v>
      </c>
      <c r="AB96" s="191" t="e">
        <f t="shared" si="22"/>
        <v>#DIV/0!</v>
      </c>
      <c r="AC96" s="160">
        <f t="shared" si="17"/>
        <v>0</v>
      </c>
      <c r="AD96" s="191" t="e">
        <f t="shared" si="23"/>
        <v>#DIV/0!</v>
      </c>
      <c r="AE96" s="44">
        <f t="shared" si="18"/>
        <v>0</v>
      </c>
      <c r="AF96" s="21">
        <f t="shared" si="19"/>
        <v>0</v>
      </c>
    </row>
    <row r="97" spans="1:32" s="1" customFormat="1">
      <c r="A97" s="2">
        <v>6311</v>
      </c>
      <c r="B97" s="2" t="s">
        <v>129</v>
      </c>
      <c r="C97" s="228"/>
      <c r="D97" s="28" t="e">
        <f>C97/C12</f>
        <v>#DIV/0!</v>
      </c>
      <c r="E97" s="228"/>
      <c r="F97" s="28" t="e">
        <f>E97/E12</f>
        <v>#DIV/0!</v>
      </c>
      <c r="G97" s="228"/>
      <c r="H97" s="28" t="e">
        <f>G97/G12</f>
        <v>#DIV/0!</v>
      </c>
      <c r="I97" s="228"/>
      <c r="J97" s="28" t="e">
        <f>I97/I12</f>
        <v>#DIV/0!</v>
      </c>
      <c r="K97" s="228"/>
      <c r="L97" s="28" t="e">
        <f>K97/K12</f>
        <v>#DIV/0!</v>
      </c>
      <c r="M97" s="283">
        <v>0</v>
      </c>
      <c r="N97" s="91" t="e">
        <f>M97/M12</f>
        <v>#DIV/0!</v>
      </c>
      <c r="O97" s="283"/>
      <c r="P97" s="28" t="e">
        <f>O97/O12</f>
        <v>#DIV/0!</v>
      </c>
      <c r="Q97" s="283">
        <v>0</v>
      </c>
      <c r="R97" s="91" t="e">
        <f>Q97/Q12</f>
        <v>#DIV/0!</v>
      </c>
      <c r="S97" s="283"/>
      <c r="T97" s="28" t="e">
        <f>S97/S12</f>
        <v>#DIV/0!</v>
      </c>
      <c r="U97" s="283">
        <v>0</v>
      </c>
      <c r="V97" s="91" t="e">
        <f>U97/U12</f>
        <v>#DIV/0!</v>
      </c>
      <c r="W97" s="283"/>
      <c r="X97" s="28" t="e">
        <f>W97/W12</f>
        <v>#DIV/0!</v>
      </c>
      <c r="Y97" s="283"/>
      <c r="Z97" s="28" t="e">
        <f>Y97/Y12</f>
        <v>#DIV/0!</v>
      </c>
      <c r="AA97" s="59">
        <f t="shared" si="21"/>
        <v>0</v>
      </c>
      <c r="AB97" s="191" t="e">
        <f t="shared" si="22"/>
        <v>#DIV/0!</v>
      </c>
      <c r="AC97" s="160">
        <f t="shared" si="17"/>
        <v>0</v>
      </c>
      <c r="AD97" s="191" t="e">
        <f t="shared" si="23"/>
        <v>#DIV/0!</v>
      </c>
      <c r="AE97" s="44">
        <f t="shared" si="18"/>
        <v>0</v>
      </c>
      <c r="AF97" s="21">
        <f t="shared" si="19"/>
        <v>0</v>
      </c>
    </row>
    <row r="98" spans="1:32" s="1" customFormat="1">
      <c r="A98" s="2">
        <v>6312</v>
      </c>
      <c r="B98" s="2" t="s">
        <v>130</v>
      </c>
      <c r="C98" s="17"/>
      <c r="D98" s="28" t="e">
        <f>C98/C12</f>
        <v>#DIV/0!</v>
      </c>
      <c r="E98" s="17"/>
      <c r="F98" s="28" t="e">
        <f>E98/E12</f>
        <v>#DIV/0!</v>
      </c>
      <c r="G98" s="17"/>
      <c r="H98" s="28" t="e">
        <f>G98/G12</f>
        <v>#DIV/0!</v>
      </c>
      <c r="I98" s="17"/>
      <c r="J98" s="28" t="e">
        <f>I98/I12</f>
        <v>#DIV/0!</v>
      </c>
      <c r="K98" s="17"/>
      <c r="L98" s="28" t="e">
        <f>K98/K12</f>
        <v>#DIV/0!</v>
      </c>
      <c r="M98" s="283">
        <v>0</v>
      </c>
      <c r="N98" s="91" t="e">
        <f>M98/M12</f>
        <v>#DIV/0!</v>
      </c>
      <c r="O98" s="283">
        <v>0</v>
      </c>
      <c r="P98" s="28" t="e">
        <f>O98/O12</f>
        <v>#DIV/0!</v>
      </c>
      <c r="Q98" s="283">
        <v>0</v>
      </c>
      <c r="R98" s="91" t="e">
        <f>Q98/Q12</f>
        <v>#DIV/0!</v>
      </c>
      <c r="S98" s="283">
        <v>0</v>
      </c>
      <c r="T98" s="28" t="e">
        <f>S98/S12</f>
        <v>#DIV/0!</v>
      </c>
      <c r="U98" s="283">
        <v>0</v>
      </c>
      <c r="V98" s="91" t="e">
        <f>U98/U12</f>
        <v>#DIV/0!</v>
      </c>
      <c r="W98" s="283">
        <v>0</v>
      </c>
      <c r="X98" s="28" t="e">
        <f>W98/W12</f>
        <v>#DIV/0!</v>
      </c>
      <c r="Y98" s="283">
        <v>0</v>
      </c>
      <c r="Z98" s="28" t="e">
        <f>Y98/Y12</f>
        <v>#DIV/0!</v>
      </c>
      <c r="AA98" s="59">
        <f t="shared" si="21"/>
        <v>0</v>
      </c>
      <c r="AB98" s="191" t="e">
        <f t="shared" si="22"/>
        <v>#DIV/0!</v>
      </c>
      <c r="AC98" s="160">
        <f t="shared" si="17"/>
        <v>0</v>
      </c>
      <c r="AD98" s="191" t="e">
        <f t="shared" si="23"/>
        <v>#DIV/0!</v>
      </c>
      <c r="AE98" s="44">
        <f t="shared" si="18"/>
        <v>0</v>
      </c>
      <c r="AF98" s="21">
        <f t="shared" si="19"/>
        <v>0</v>
      </c>
    </row>
    <row r="99" spans="1:32" s="1" customFormat="1">
      <c r="A99" s="2">
        <v>6313</v>
      </c>
      <c r="B99" s="2" t="s">
        <v>131</v>
      </c>
      <c r="C99" s="229"/>
      <c r="D99" s="28" t="e">
        <f t="shared" ref="D99" si="24">C99/C$12</f>
        <v>#DIV/0!</v>
      </c>
      <c r="E99" s="228"/>
      <c r="F99" s="91" t="e">
        <f t="shared" ref="F99" si="25">E99/E$12</f>
        <v>#DIV/0!</v>
      </c>
      <c r="G99" s="227"/>
      <c r="H99" s="28" t="e">
        <f t="shared" ref="H99" si="26">G99/G$12</f>
        <v>#DIV/0!</v>
      </c>
      <c r="I99" s="228"/>
      <c r="J99" s="91" t="e">
        <f t="shared" ref="J99" si="27">I99/I$12</f>
        <v>#DIV/0!</v>
      </c>
      <c r="K99" s="227"/>
      <c r="L99" s="28" t="e">
        <f t="shared" ref="L99" si="28">K99/K$12</f>
        <v>#DIV/0!</v>
      </c>
      <c r="M99" s="284">
        <v>0</v>
      </c>
      <c r="N99" s="91" t="e">
        <f t="shared" ref="N99:X99" si="29">M99/M$12</f>
        <v>#DIV/0!</v>
      </c>
      <c r="O99" s="284">
        <v>0</v>
      </c>
      <c r="P99" s="91" t="e">
        <f t="shared" si="29"/>
        <v>#DIV/0!</v>
      </c>
      <c r="Q99" s="284">
        <v>0</v>
      </c>
      <c r="R99" s="91" t="e">
        <f t="shared" si="29"/>
        <v>#DIV/0!</v>
      </c>
      <c r="S99" s="284">
        <v>0</v>
      </c>
      <c r="T99" s="91" t="e">
        <f t="shared" si="29"/>
        <v>#DIV/0!</v>
      </c>
      <c r="U99" s="284">
        <v>0</v>
      </c>
      <c r="V99" s="91" t="e">
        <f t="shared" si="29"/>
        <v>#DIV/0!</v>
      </c>
      <c r="W99" s="284">
        <v>0</v>
      </c>
      <c r="X99" s="91" t="e">
        <f t="shared" si="29"/>
        <v>#DIV/0!</v>
      </c>
      <c r="Y99" s="284">
        <v>0</v>
      </c>
      <c r="Z99" s="91" t="e">
        <f t="shared" ref="Z99" si="30">Y99/Y$12</f>
        <v>#DIV/0!</v>
      </c>
      <c r="AA99" s="59">
        <f t="shared" si="21"/>
        <v>0</v>
      </c>
      <c r="AB99" s="191" t="e">
        <f t="shared" si="22"/>
        <v>#DIV/0!</v>
      </c>
      <c r="AC99" s="160">
        <f t="shared" si="17"/>
        <v>0</v>
      </c>
      <c r="AD99" s="191" t="e">
        <f t="shared" si="23"/>
        <v>#DIV/0!</v>
      </c>
      <c r="AE99" s="44"/>
      <c r="AF99" s="21"/>
    </row>
    <row r="100" spans="1:32" s="1" customFormat="1">
      <c r="A100" s="2">
        <v>6314</v>
      </c>
      <c r="B100" s="2" t="s">
        <v>210</v>
      </c>
      <c r="C100" s="272"/>
      <c r="D100" s="273" t="e">
        <f>C100/C12</f>
        <v>#DIV/0!</v>
      </c>
      <c r="E100" s="274"/>
      <c r="F100" s="275" t="e">
        <f>E100/E12</f>
        <v>#DIV/0!</v>
      </c>
      <c r="G100" s="272"/>
      <c r="H100" s="273" t="e">
        <f>G100/G12</f>
        <v>#DIV/0!</v>
      </c>
      <c r="I100" s="276"/>
      <c r="J100" s="275" t="e">
        <f>I100/I12</f>
        <v>#DIV/0!</v>
      </c>
      <c r="K100" s="277"/>
      <c r="L100" s="273" t="e">
        <f>K100/K12</f>
        <v>#DIV/0!</v>
      </c>
      <c r="M100" s="284">
        <v>0</v>
      </c>
      <c r="N100" s="273" t="e">
        <f>M100/M12</f>
        <v>#DIV/0!</v>
      </c>
      <c r="O100" s="284">
        <v>0</v>
      </c>
      <c r="P100" s="273" t="e">
        <f>O100/O12</f>
        <v>#DIV/0!</v>
      </c>
      <c r="Q100" s="284">
        <v>0</v>
      </c>
      <c r="R100" s="285" t="e">
        <f>Q100/Q12</f>
        <v>#DIV/0!</v>
      </c>
      <c r="S100" s="284">
        <v>0</v>
      </c>
      <c r="T100" s="273" t="e">
        <f>S100/S12</f>
        <v>#DIV/0!</v>
      </c>
      <c r="U100" s="284">
        <v>0</v>
      </c>
      <c r="V100" s="273" t="e">
        <f>U100/U12</f>
        <v>#DIV/0!</v>
      </c>
      <c r="W100" s="284">
        <v>0</v>
      </c>
      <c r="X100" s="286" t="e">
        <f>W100/W12</f>
        <v>#DIV/0!</v>
      </c>
      <c r="Y100" s="284">
        <v>0</v>
      </c>
      <c r="Z100" s="275" t="e">
        <f>Y100/Y12</f>
        <v>#DIV/0!</v>
      </c>
      <c r="AA100" s="59">
        <f t="shared" si="21"/>
        <v>0</v>
      </c>
      <c r="AB100" s="191" t="e">
        <f t="shared" si="22"/>
        <v>#DIV/0!</v>
      </c>
      <c r="AC100" s="160">
        <f t="shared" si="17"/>
        <v>0</v>
      </c>
      <c r="AD100" s="191" t="e">
        <f t="shared" si="23"/>
        <v>#DIV/0!</v>
      </c>
      <c r="AE100" s="44">
        <f t="shared" si="18"/>
        <v>0</v>
      </c>
      <c r="AF100" s="21">
        <f t="shared" si="19"/>
        <v>0</v>
      </c>
    </row>
    <row r="101" spans="1:32" s="1" customFormat="1" ht="15.75" thickBot="1">
      <c r="A101" s="4">
        <v>6399</v>
      </c>
      <c r="B101" s="217" t="s">
        <v>103</v>
      </c>
      <c r="C101" s="168">
        <f>SUM(C88:C100)</f>
        <v>0</v>
      </c>
      <c r="D101" s="167" t="e">
        <f>C101/C12</f>
        <v>#DIV/0!</v>
      </c>
      <c r="E101" s="168">
        <f>SUM(E88:E100)</f>
        <v>0</v>
      </c>
      <c r="F101" s="167" t="e">
        <f>E101/E12</f>
        <v>#DIV/0!</v>
      </c>
      <c r="G101" s="168">
        <f>SUM(G88:G100)</f>
        <v>0</v>
      </c>
      <c r="H101" s="167" t="e">
        <f>G101/G12</f>
        <v>#DIV/0!</v>
      </c>
      <c r="I101" s="168">
        <f>SUM(I88:I100)</f>
        <v>0</v>
      </c>
      <c r="J101" s="167" t="e">
        <f>I101/I12</f>
        <v>#DIV/0!</v>
      </c>
      <c r="K101" s="168">
        <f>SUM(K88:K100)</f>
        <v>0</v>
      </c>
      <c r="L101" s="167" t="e">
        <f>K101/K12</f>
        <v>#DIV/0!</v>
      </c>
      <c r="M101" s="168">
        <f>SUM(M88:M100)</f>
        <v>0</v>
      </c>
      <c r="N101" s="167" t="e">
        <f>M101/M12</f>
        <v>#DIV/0!</v>
      </c>
      <c r="O101" s="168">
        <f>SUM(O88:O100)</f>
        <v>0</v>
      </c>
      <c r="P101" s="167" t="e">
        <f>O101/O12</f>
        <v>#DIV/0!</v>
      </c>
      <c r="Q101" s="168">
        <f>SUM(Q88:Q100)</f>
        <v>0</v>
      </c>
      <c r="R101" s="167" t="e">
        <f>Q101/Q12</f>
        <v>#DIV/0!</v>
      </c>
      <c r="S101" s="168">
        <f>SUM(S88:S100)</f>
        <v>0</v>
      </c>
      <c r="T101" s="167" t="e">
        <f>S101/S12</f>
        <v>#DIV/0!</v>
      </c>
      <c r="U101" s="168">
        <f>SUM(U88:U100)</f>
        <v>0</v>
      </c>
      <c r="V101" s="167" t="e">
        <f>U101/U12</f>
        <v>#DIV/0!</v>
      </c>
      <c r="W101" s="168">
        <f>SUM(W88:W100)</f>
        <v>0</v>
      </c>
      <c r="X101" s="167" t="e">
        <f>W101/W12</f>
        <v>#DIV/0!</v>
      </c>
      <c r="Y101" s="168">
        <f>SUM(Y88:Y100)</f>
        <v>0</v>
      </c>
      <c r="Z101" s="167" t="e">
        <f>Y101/Y12</f>
        <v>#DIV/0!</v>
      </c>
      <c r="AA101" s="189">
        <f>SUM(AA88:AA100)</f>
        <v>0</v>
      </c>
      <c r="AB101" s="167" t="e">
        <f>AA101/AA12</f>
        <v>#DIV/0!</v>
      </c>
      <c r="AC101" s="23">
        <f t="shared" si="17"/>
        <v>0</v>
      </c>
      <c r="AD101" s="167" t="e">
        <f>AC101/AC12</f>
        <v>#DIV/0!</v>
      </c>
      <c r="AE101" s="44">
        <f t="shared" si="18"/>
        <v>0</v>
      </c>
      <c r="AF101" s="21">
        <f t="shared" si="19"/>
        <v>0</v>
      </c>
    </row>
    <row r="102" spans="1:32" s="1" customFormat="1" ht="15.75" thickTop="1">
      <c r="A102" s="15">
        <v>6401</v>
      </c>
      <c r="B102" s="219" t="s">
        <v>89</v>
      </c>
      <c r="C102" s="183"/>
      <c r="D102" s="191" t="e">
        <f>C102/C12</f>
        <v>#DIV/0!</v>
      </c>
      <c r="E102" s="183"/>
      <c r="F102" s="191" t="e">
        <f>E102/E12</f>
        <v>#DIV/0!</v>
      </c>
      <c r="G102" s="183"/>
      <c r="H102" s="191" t="e">
        <f>G102/G12</f>
        <v>#DIV/0!</v>
      </c>
      <c r="I102" s="183"/>
      <c r="J102" s="191" t="e">
        <f>I102/I12</f>
        <v>#DIV/0!</v>
      </c>
      <c r="K102" s="183"/>
      <c r="L102" s="191" t="e">
        <f>K102/K12</f>
        <v>#DIV/0!</v>
      </c>
      <c r="M102" s="183"/>
      <c r="N102" s="191" t="e">
        <f>M102/M12</f>
        <v>#DIV/0!</v>
      </c>
      <c r="O102" s="183"/>
      <c r="P102" s="191" t="e">
        <f>O102/O12</f>
        <v>#DIV/0!</v>
      </c>
      <c r="Q102" s="183"/>
      <c r="R102" s="191" t="e">
        <f>Q102/Q12</f>
        <v>#DIV/0!</v>
      </c>
      <c r="S102" s="183"/>
      <c r="T102" s="191" t="e">
        <f>S102/S12</f>
        <v>#DIV/0!</v>
      </c>
      <c r="U102" s="183"/>
      <c r="V102" s="191" t="e">
        <f>U102/U12</f>
        <v>#DIV/0!</v>
      </c>
      <c r="W102" s="183"/>
      <c r="X102" s="191" t="e">
        <f>W102/W12</f>
        <v>#DIV/0!</v>
      </c>
      <c r="Y102" s="183"/>
      <c r="Z102" s="191" t="e">
        <f>Y102/Y12</f>
        <v>#DIV/0!</v>
      </c>
      <c r="AA102" s="59">
        <f t="shared" ref="AA102:AA113" si="31">C102+E102+G102+I102+K102+M102+O102+Q102+S102+U102+W102+Y102</f>
        <v>0</v>
      </c>
      <c r="AB102" s="191" t="e">
        <f>AA102/AA12</f>
        <v>#DIV/0!</v>
      </c>
      <c r="AC102" s="160">
        <f t="shared" si="17"/>
        <v>0</v>
      </c>
      <c r="AD102" s="191" t="e">
        <f>AC102/AC12</f>
        <v>#DIV/0!</v>
      </c>
      <c r="AE102" s="44">
        <f t="shared" si="18"/>
        <v>0</v>
      </c>
      <c r="AF102" s="21">
        <f t="shared" si="19"/>
        <v>0</v>
      </c>
    </row>
    <row r="103" spans="1:32" s="1" customFormat="1">
      <c r="A103" s="82">
        <v>6402</v>
      </c>
      <c r="B103" s="2" t="s">
        <v>75</v>
      </c>
      <c r="C103" s="19"/>
      <c r="D103" s="28" t="e">
        <f>C103/C12</f>
        <v>#DIV/0!</v>
      </c>
      <c r="E103" s="19"/>
      <c r="F103" s="28" t="e">
        <f>E103/E12</f>
        <v>#DIV/0!</v>
      </c>
      <c r="G103" s="19"/>
      <c r="H103" s="28" t="e">
        <f>G103/G12</f>
        <v>#DIV/0!</v>
      </c>
      <c r="I103" s="19"/>
      <c r="J103" s="28" t="e">
        <f>I103/I12</f>
        <v>#DIV/0!</v>
      </c>
      <c r="K103" s="19"/>
      <c r="L103" s="28" t="e">
        <f>K103/K12</f>
        <v>#DIV/0!</v>
      </c>
      <c r="M103" s="19">
        <v>0</v>
      </c>
      <c r="N103" s="28" t="e">
        <f>M103/M12</f>
        <v>#DIV/0!</v>
      </c>
      <c r="O103" s="19">
        <v>0</v>
      </c>
      <c r="P103" s="28" t="e">
        <f>O103/O12</f>
        <v>#DIV/0!</v>
      </c>
      <c r="Q103" s="19">
        <v>0</v>
      </c>
      <c r="R103" s="28" t="e">
        <f>Q103/Q12</f>
        <v>#DIV/0!</v>
      </c>
      <c r="S103" s="19">
        <v>0</v>
      </c>
      <c r="T103" s="28" t="e">
        <f>S103/S12</f>
        <v>#DIV/0!</v>
      </c>
      <c r="U103" s="19">
        <v>0</v>
      </c>
      <c r="V103" s="28" t="e">
        <f>U103/U12</f>
        <v>#DIV/0!</v>
      </c>
      <c r="W103" s="19">
        <v>0</v>
      </c>
      <c r="X103" s="28" t="e">
        <f>W103/W12</f>
        <v>#DIV/0!</v>
      </c>
      <c r="Y103" s="19">
        <v>0</v>
      </c>
      <c r="Z103" s="28" t="e">
        <f>Y103/Y12</f>
        <v>#DIV/0!</v>
      </c>
      <c r="AA103" s="59">
        <f t="shared" si="31"/>
        <v>0</v>
      </c>
      <c r="AB103" s="28" t="e">
        <f>AA103/AA12</f>
        <v>#DIV/0!</v>
      </c>
      <c r="AC103" s="160">
        <f t="shared" si="17"/>
        <v>0</v>
      </c>
      <c r="AD103" s="28" t="e">
        <f>AC103/AC12</f>
        <v>#DIV/0!</v>
      </c>
      <c r="AE103" s="44">
        <f t="shared" si="18"/>
        <v>0</v>
      </c>
      <c r="AF103" s="21">
        <f t="shared" si="19"/>
        <v>0</v>
      </c>
    </row>
    <row r="104" spans="1:32" s="1" customFormat="1">
      <c r="A104" s="2">
        <v>6404</v>
      </c>
      <c r="B104" s="231" t="s">
        <v>92</v>
      </c>
      <c r="C104" s="19"/>
      <c r="D104" s="28" t="e">
        <f>C104/C12</f>
        <v>#DIV/0!</v>
      </c>
      <c r="E104" s="19"/>
      <c r="F104" s="28" t="e">
        <f>E104/E12</f>
        <v>#DIV/0!</v>
      </c>
      <c r="G104" s="19"/>
      <c r="H104" s="28" t="e">
        <f>G104/G12</f>
        <v>#DIV/0!</v>
      </c>
      <c r="I104" s="19"/>
      <c r="J104" s="28" t="e">
        <f>I104/I12</f>
        <v>#DIV/0!</v>
      </c>
      <c r="K104" s="19"/>
      <c r="L104" s="28" t="e">
        <f>K104/K12</f>
        <v>#DIV/0!</v>
      </c>
      <c r="M104" s="19">
        <v>0</v>
      </c>
      <c r="N104" s="28" t="e">
        <f>M104/M12</f>
        <v>#DIV/0!</v>
      </c>
      <c r="O104" s="19">
        <v>0</v>
      </c>
      <c r="P104" s="28" t="e">
        <f>O104/O12</f>
        <v>#DIV/0!</v>
      </c>
      <c r="Q104" s="19">
        <v>0</v>
      </c>
      <c r="R104" s="28" t="e">
        <f>Q104/Q12</f>
        <v>#DIV/0!</v>
      </c>
      <c r="S104" s="19">
        <v>0</v>
      </c>
      <c r="T104" s="28" t="e">
        <f>S104/S12</f>
        <v>#DIV/0!</v>
      </c>
      <c r="U104" s="19">
        <v>0</v>
      </c>
      <c r="V104" s="28" t="e">
        <f>U104/U12</f>
        <v>#DIV/0!</v>
      </c>
      <c r="W104" s="19">
        <v>0</v>
      </c>
      <c r="X104" s="28" t="e">
        <f>W104/W12</f>
        <v>#DIV/0!</v>
      </c>
      <c r="Y104" s="19">
        <v>0</v>
      </c>
      <c r="Z104" s="28" t="e">
        <f>Y104/Y12</f>
        <v>#DIV/0!</v>
      </c>
      <c r="AA104" s="59">
        <f t="shared" si="31"/>
        <v>0</v>
      </c>
      <c r="AB104" s="28" t="e">
        <f>AA104/AA12</f>
        <v>#DIV/0!</v>
      </c>
      <c r="AC104" s="160">
        <f t="shared" si="17"/>
        <v>0</v>
      </c>
      <c r="AD104" s="28" t="e">
        <f>AC104/AC12</f>
        <v>#DIV/0!</v>
      </c>
      <c r="AE104" s="44">
        <f t="shared" si="18"/>
        <v>0</v>
      </c>
      <c r="AF104" s="21">
        <f t="shared" si="19"/>
        <v>0</v>
      </c>
    </row>
    <row r="105" spans="1:32" s="1" customFormat="1">
      <c r="A105" s="82">
        <v>6406</v>
      </c>
      <c r="B105" s="2" t="s">
        <v>72</v>
      </c>
      <c r="C105" s="16"/>
      <c r="D105" s="28" t="e">
        <f>C105/C12</f>
        <v>#DIV/0!</v>
      </c>
      <c r="E105" s="16"/>
      <c r="F105" s="28" t="e">
        <f>E105/E12</f>
        <v>#DIV/0!</v>
      </c>
      <c r="G105" s="16"/>
      <c r="H105" s="28" t="e">
        <f>G105/G12</f>
        <v>#DIV/0!</v>
      </c>
      <c r="I105" s="16"/>
      <c r="J105" s="28" t="e">
        <f>I105/I12</f>
        <v>#DIV/0!</v>
      </c>
      <c r="K105" s="16"/>
      <c r="L105" s="28" t="e">
        <f>K105/K12</f>
        <v>#DIV/0!</v>
      </c>
      <c r="M105" s="16">
        <v>0</v>
      </c>
      <c r="N105" s="28" t="e">
        <f>M105/M12</f>
        <v>#DIV/0!</v>
      </c>
      <c r="O105" s="16">
        <v>0</v>
      </c>
      <c r="P105" s="28" t="e">
        <f>O105/O12</f>
        <v>#DIV/0!</v>
      </c>
      <c r="Q105" s="16">
        <v>0</v>
      </c>
      <c r="R105" s="28" t="e">
        <f>Q105/Q12</f>
        <v>#DIV/0!</v>
      </c>
      <c r="S105" s="16">
        <v>0</v>
      </c>
      <c r="T105" s="28" t="e">
        <f>S105/S12</f>
        <v>#DIV/0!</v>
      </c>
      <c r="U105" s="16">
        <v>0</v>
      </c>
      <c r="V105" s="28" t="e">
        <f>U105/U12</f>
        <v>#DIV/0!</v>
      </c>
      <c r="W105" s="16">
        <v>0</v>
      </c>
      <c r="X105" s="28" t="e">
        <f>W105/W12</f>
        <v>#DIV/0!</v>
      </c>
      <c r="Y105" s="16">
        <v>0</v>
      </c>
      <c r="Z105" s="28" t="e">
        <f>Y105/Y12</f>
        <v>#DIV/0!</v>
      </c>
      <c r="AA105" s="59">
        <f t="shared" si="31"/>
        <v>0</v>
      </c>
      <c r="AB105" s="28" t="e">
        <f>AA105/AA12</f>
        <v>#DIV/0!</v>
      </c>
      <c r="AC105" s="160">
        <f t="shared" si="17"/>
        <v>0</v>
      </c>
      <c r="AD105" s="28" t="e">
        <f>AC105/AC12</f>
        <v>#DIV/0!</v>
      </c>
      <c r="AE105" s="44">
        <f t="shared" si="18"/>
        <v>0</v>
      </c>
      <c r="AF105" s="21">
        <f t="shared" si="19"/>
        <v>0</v>
      </c>
    </row>
    <row r="106" spans="1:32" s="1" customFormat="1">
      <c r="A106" s="2">
        <v>6407</v>
      </c>
      <c r="B106" s="216" t="s">
        <v>73</v>
      </c>
      <c r="C106" s="158"/>
      <c r="D106" s="28" t="e">
        <f>C106/C12</f>
        <v>#DIV/0!</v>
      </c>
      <c r="E106" s="158"/>
      <c r="F106" s="28" t="e">
        <f>E106/E12</f>
        <v>#DIV/0!</v>
      </c>
      <c r="G106" s="158"/>
      <c r="H106" s="28" t="e">
        <f>G106/G12</f>
        <v>#DIV/0!</v>
      </c>
      <c r="I106" s="158"/>
      <c r="J106" s="28" t="e">
        <f>I106/I12</f>
        <v>#DIV/0!</v>
      </c>
      <c r="K106" s="158"/>
      <c r="L106" s="28" t="e">
        <f>K106/K12</f>
        <v>#DIV/0!</v>
      </c>
      <c r="M106" s="158"/>
      <c r="N106" s="28" t="e">
        <f>M106/M12</f>
        <v>#DIV/0!</v>
      </c>
      <c r="O106" s="158"/>
      <c r="P106" s="28" t="e">
        <f>O106/O12</f>
        <v>#DIV/0!</v>
      </c>
      <c r="Q106" s="158"/>
      <c r="R106" s="28" t="e">
        <f>Q106/Q12</f>
        <v>#DIV/0!</v>
      </c>
      <c r="S106" s="158"/>
      <c r="T106" s="28" t="e">
        <f>S106/S12</f>
        <v>#DIV/0!</v>
      </c>
      <c r="U106" s="158"/>
      <c r="V106" s="28" t="e">
        <f>U106/U12</f>
        <v>#DIV/0!</v>
      </c>
      <c r="W106" s="158"/>
      <c r="X106" s="28">
        <v>0.02</v>
      </c>
      <c r="Y106" s="158"/>
      <c r="Z106" s="28" t="e">
        <f>Y106/Y12</f>
        <v>#DIV/0!</v>
      </c>
      <c r="AA106" s="59">
        <f t="shared" si="31"/>
        <v>0</v>
      </c>
      <c r="AB106" s="28" t="e">
        <f>AA106/AA12</f>
        <v>#DIV/0!</v>
      </c>
      <c r="AC106" s="160">
        <f t="shared" si="17"/>
        <v>0</v>
      </c>
      <c r="AD106" s="28" t="e">
        <f>AC106/AC12</f>
        <v>#DIV/0!</v>
      </c>
      <c r="AE106" s="44">
        <f t="shared" si="18"/>
        <v>0</v>
      </c>
      <c r="AF106" s="21">
        <f t="shared" si="19"/>
        <v>0</v>
      </c>
    </row>
    <row r="107" spans="1:32" s="1" customFormat="1">
      <c r="A107" s="2">
        <v>6408</v>
      </c>
      <c r="B107" s="216" t="s">
        <v>42</v>
      </c>
      <c r="C107" s="158"/>
      <c r="D107" s="28" t="e">
        <f>C107/C12</f>
        <v>#DIV/0!</v>
      </c>
      <c r="E107" s="158"/>
      <c r="F107" s="28" t="e">
        <f>E107/E12</f>
        <v>#DIV/0!</v>
      </c>
      <c r="G107" s="158"/>
      <c r="H107" s="28" t="e">
        <f>G107/G12</f>
        <v>#DIV/0!</v>
      </c>
      <c r="I107" s="158"/>
      <c r="J107" s="28" t="e">
        <f>I107/I12</f>
        <v>#DIV/0!</v>
      </c>
      <c r="K107" s="158"/>
      <c r="L107" s="28" t="e">
        <f>K107/K12</f>
        <v>#DIV/0!</v>
      </c>
      <c r="M107" s="158"/>
      <c r="N107" s="28" t="e">
        <f>M107/M12</f>
        <v>#DIV/0!</v>
      </c>
      <c r="O107" s="158"/>
      <c r="P107" s="28" t="e">
        <f>O107/O12</f>
        <v>#DIV/0!</v>
      </c>
      <c r="Q107" s="158"/>
      <c r="R107" s="28" t="e">
        <f>Q107/Q12</f>
        <v>#DIV/0!</v>
      </c>
      <c r="S107" s="158"/>
      <c r="T107" s="28" t="e">
        <f>S107/S12</f>
        <v>#DIV/0!</v>
      </c>
      <c r="U107" s="158"/>
      <c r="V107" s="28" t="e">
        <f>U107/U12</f>
        <v>#DIV/0!</v>
      </c>
      <c r="W107" s="185"/>
      <c r="X107" s="28" t="e">
        <f>W107/W12</f>
        <v>#DIV/0!</v>
      </c>
      <c r="Y107" s="158"/>
      <c r="Z107" s="28" t="e">
        <f>Y107/Y12</f>
        <v>#DIV/0!</v>
      </c>
      <c r="AA107" s="59">
        <f t="shared" si="31"/>
        <v>0</v>
      </c>
      <c r="AB107" s="28" t="e">
        <f>AA107/AA12</f>
        <v>#DIV/0!</v>
      </c>
      <c r="AC107" s="160">
        <f t="shared" si="17"/>
        <v>0</v>
      </c>
      <c r="AD107" s="28" t="e">
        <f>AC107/AC12</f>
        <v>#DIV/0!</v>
      </c>
      <c r="AE107" s="44">
        <f t="shared" si="18"/>
        <v>0</v>
      </c>
      <c r="AF107" s="21">
        <f t="shared" si="19"/>
        <v>0</v>
      </c>
    </row>
    <row r="108" spans="1:32" s="1" customFormat="1">
      <c r="A108" s="2">
        <v>6410</v>
      </c>
      <c r="B108" s="216" t="s">
        <v>164</v>
      </c>
      <c r="C108" s="158"/>
      <c r="D108" s="191"/>
      <c r="E108" s="158"/>
      <c r="F108" s="191"/>
      <c r="G108" s="158"/>
      <c r="H108" s="191"/>
      <c r="I108" s="158"/>
      <c r="J108" s="191"/>
      <c r="K108" s="158"/>
      <c r="L108" s="191"/>
      <c r="M108" s="158"/>
      <c r="N108" s="191"/>
      <c r="O108" s="158"/>
      <c r="P108" s="191"/>
      <c r="Q108" s="158"/>
      <c r="R108" s="191"/>
      <c r="S108" s="158"/>
      <c r="T108" s="191"/>
      <c r="U108" s="158"/>
      <c r="V108" s="191"/>
      <c r="W108" s="158"/>
      <c r="X108" s="191"/>
      <c r="Y108" s="158"/>
      <c r="Z108" s="191"/>
      <c r="AA108" s="59">
        <f t="shared" si="31"/>
        <v>0</v>
      </c>
      <c r="AB108" s="191"/>
      <c r="AC108" s="160">
        <f t="shared" si="17"/>
        <v>0</v>
      </c>
      <c r="AD108" s="191"/>
      <c r="AE108" s="44">
        <f t="shared" si="18"/>
        <v>0</v>
      </c>
      <c r="AF108" s="21">
        <f t="shared" si="19"/>
        <v>0</v>
      </c>
    </row>
    <row r="109" spans="1:32" s="1" customFormat="1">
      <c r="A109" s="2">
        <v>6411</v>
      </c>
      <c r="B109" s="216" t="s">
        <v>165</v>
      </c>
      <c r="C109" s="158"/>
      <c r="D109" s="191"/>
      <c r="E109" s="158"/>
      <c r="F109" s="191"/>
      <c r="G109" s="158"/>
      <c r="H109" s="191"/>
      <c r="I109" s="158"/>
      <c r="J109" s="191"/>
      <c r="K109" s="158"/>
      <c r="L109" s="191"/>
      <c r="M109" s="158"/>
      <c r="N109" s="191"/>
      <c r="O109" s="158"/>
      <c r="P109" s="191"/>
      <c r="Q109" s="158"/>
      <c r="R109" s="191"/>
      <c r="S109" s="158"/>
      <c r="T109" s="191"/>
      <c r="U109" s="158"/>
      <c r="V109" s="191"/>
      <c r="W109" s="158"/>
      <c r="X109" s="191"/>
      <c r="Y109" s="158"/>
      <c r="Z109" s="191"/>
      <c r="AA109" s="59">
        <f t="shared" si="31"/>
        <v>0</v>
      </c>
      <c r="AB109" s="191"/>
      <c r="AC109" s="160">
        <f t="shared" si="17"/>
        <v>0</v>
      </c>
      <c r="AD109" s="191"/>
      <c r="AE109" s="44">
        <f t="shared" si="18"/>
        <v>0</v>
      </c>
      <c r="AF109" s="21">
        <f t="shared" si="19"/>
        <v>0</v>
      </c>
    </row>
    <row r="110" spans="1:32" s="1" customFormat="1">
      <c r="A110" s="2">
        <v>6412</v>
      </c>
      <c r="B110" s="216" t="s">
        <v>93</v>
      </c>
      <c r="C110" s="158"/>
      <c r="D110" s="191" t="e">
        <f>C110/C12</f>
        <v>#DIV/0!</v>
      </c>
      <c r="E110" s="158"/>
      <c r="F110" s="191" t="e">
        <f>E110/E12</f>
        <v>#DIV/0!</v>
      </c>
      <c r="G110" s="158"/>
      <c r="H110" s="191" t="e">
        <f>G110/G12</f>
        <v>#DIV/0!</v>
      </c>
      <c r="I110" s="158"/>
      <c r="J110" s="191" t="e">
        <f>I110/I12</f>
        <v>#DIV/0!</v>
      </c>
      <c r="K110" s="158"/>
      <c r="L110" s="191" t="e">
        <f>K110/K12</f>
        <v>#DIV/0!</v>
      </c>
      <c r="M110" s="158"/>
      <c r="N110" s="191" t="e">
        <f>M110/M12</f>
        <v>#DIV/0!</v>
      </c>
      <c r="O110" s="158"/>
      <c r="P110" s="191" t="e">
        <f>O110/O12</f>
        <v>#DIV/0!</v>
      </c>
      <c r="Q110" s="158"/>
      <c r="R110" s="191" t="e">
        <f>Q110/Q12</f>
        <v>#DIV/0!</v>
      </c>
      <c r="S110" s="158"/>
      <c r="T110" s="191" t="e">
        <f>S110/S12</f>
        <v>#DIV/0!</v>
      </c>
      <c r="U110" s="158"/>
      <c r="V110" s="191" t="e">
        <f>U110/U12</f>
        <v>#DIV/0!</v>
      </c>
      <c r="W110" s="158"/>
      <c r="X110" s="191" t="e">
        <f>W110/W12</f>
        <v>#DIV/0!</v>
      </c>
      <c r="Y110" s="158"/>
      <c r="Z110" s="191" t="e">
        <f>Y110/Y12</f>
        <v>#DIV/0!</v>
      </c>
      <c r="AA110" s="59">
        <f t="shared" si="31"/>
        <v>0</v>
      </c>
      <c r="AB110" s="191" t="e">
        <f>AA110/AA12</f>
        <v>#DIV/0!</v>
      </c>
      <c r="AC110" s="160">
        <f t="shared" si="17"/>
        <v>0</v>
      </c>
      <c r="AD110" s="191" t="e">
        <f>AC110/AC12</f>
        <v>#DIV/0!</v>
      </c>
      <c r="AE110" s="44">
        <f t="shared" si="18"/>
        <v>0</v>
      </c>
      <c r="AF110" s="21">
        <f t="shared" si="19"/>
        <v>0</v>
      </c>
    </row>
    <row r="111" spans="1:32" s="1" customFormat="1">
      <c r="A111" s="2">
        <v>6413</v>
      </c>
      <c r="B111" s="2" t="s">
        <v>41</v>
      </c>
      <c r="C111" s="16"/>
      <c r="D111" s="28" t="e">
        <f>C111/C12</f>
        <v>#DIV/0!</v>
      </c>
      <c r="E111" s="16"/>
      <c r="F111" s="28" t="e">
        <f>E111/E12</f>
        <v>#DIV/0!</v>
      </c>
      <c r="G111" s="16"/>
      <c r="H111" s="28" t="e">
        <f>G111/G12</f>
        <v>#DIV/0!</v>
      </c>
      <c r="I111" s="16"/>
      <c r="J111" s="28" t="e">
        <f>I111/I12</f>
        <v>#DIV/0!</v>
      </c>
      <c r="K111" s="16"/>
      <c r="L111" s="28" t="e">
        <f>K111/K12</f>
        <v>#DIV/0!</v>
      </c>
      <c r="M111" s="16">
        <f>M5*0.75%</f>
        <v>26167.5</v>
      </c>
      <c r="N111" s="28" t="e">
        <f>M111/M12</f>
        <v>#DIV/0!</v>
      </c>
      <c r="O111" s="16">
        <f>O5*0.75%</f>
        <v>73820.617499999993</v>
      </c>
      <c r="P111" s="28" t="e">
        <f>O111/O12</f>
        <v>#DIV/0!</v>
      </c>
      <c r="Q111" s="16">
        <f>Q5*0.75%</f>
        <v>28615.1325</v>
      </c>
      <c r="R111" s="28" t="e">
        <f>Q111/Q12</f>
        <v>#DIV/0!</v>
      </c>
      <c r="S111" s="16">
        <f>S5*0.75%</f>
        <v>42266.879999999997</v>
      </c>
      <c r="T111" s="28" t="e">
        <f>S111/S12</f>
        <v>#DIV/0!</v>
      </c>
      <c r="U111" s="16">
        <f>U5*0.75%</f>
        <v>37589.206454747218</v>
      </c>
      <c r="V111" s="28" t="e">
        <f>U111/U12</f>
        <v>#DIV/0!</v>
      </c>
      <c r="W111" s="16">
        <f>W5*0.75%</f>
        <v>10928.386459215497</v>
      </c>
      <c r="X111" s="28" t="e">
        <f>W111/W12</f>
        <v>#DIV/0!</v>
      </c>
      <c r="Y111" s="16">
        <f>Y5*0.75%</f>
        <v>28233.934031465957</v>
      </c>
      <c r="Z111" s="28" t="e">
        <f>Y111/Y12</f>
        <v>#DIV/0!</v>
      </c>
      <c r="AA111" s="59">
        <f t="shared" si="31"/>
        <v>247621.65694542867</v>
      </c>
      <c r="AB111" s="28" t="e">
        <f>AA111/AA12</f>
        <v>#DIV/0!</v>
      </c>
      <c r="AC111" s="160">
        <f t="shared" si="17"/>
        <v>35374.522420775524</v>
      </c>
      <c r="AD111" s="28" t="e">
        <f>AC111/AC12</f>
        <v>#DIV/0!</v>
      </c>
      <c r="AE111" s="44">
        <f t="shared" si="18"/>
        <v>247621.65694542867</v>
      </c>
      <c r="AF111" s="21">
        <f t="shared" si="19"/>
        <v>0</v>
      </c>
    </row>
    <row r="112" spans="1:32" s="1" customFormat="1">
      <c r="A112" s="2">
        <v>6414</v>
      </c>
      <c r="B112" s="2" t="s">
        <v>43</v>
      </c>
      <c r="C112" s="16"/>
      <c r="D112" s="28" t="e">
        <f>C112/C12</f>
        <v>#DIV/0!</v>
      </c>
      <c r="E112" s="16"/>
      <c r="F112" s="28" t="e">
        <f>E112/E12</f>
        <v>#DIV/0!</v>
      </c>
      <c r="G112" s="16"/>
      <c r="H112" s="28" t="e">
        <f>G112/G12</f>
        <v>#DIV/0!</v>
      </c>
      <c r="I112" s="16"/>
      <c r="J112" s="28" t="e">
        <f>I112/I12</f>
        <v>#DIV/0!</v>
      </c>
      <c r="K112" s="16"/>
      <c r="L112" s="28" t="e">
        <f>K112/K12</f>
        <v>#DIV/0!</v>
      </c>
      <c r="M112" s="16">
        <v>0</v>
      </c>
      <c r="N112" s="28" t="e">
        <f>M112/M12</f>
        <v>#DIV/0!</v>
      </c>
      <c r="O112" s="16">
        <v>0</v>
      </c>
      <c r="P112" s="28" t="e">
        <f>O112/O12</f>
        <v>#DIV/0!</v>
      </c>
      <c r="Q112" s="16">
        <v>0</v>
      </c>
      <c r="R112" s="28" t="e">
        <f>Q112/Q12</f>
        <v>#DIV/0!</v>
      </c>
      <c r="S112" s="16">
        <v>0</v>
      </c>
      <c r="T112" s="28" t="e">
        <f>S112/S12</f>
        <v>#DIV/0!</v>
      </c>
      <c r="U112" s="16">
        <v>0</v>
      </c>
      <c r="V112" s="28" t="e">
        <f>U112/U12</f>
        <v>#DIV/0!</v>
      </c>
      <c r="W112" s="16">
        <v>0</v>
      </c>
      <c r="X112" s="28" t="e">
        <f>W112/W12</f>
        <v>#DIV/0!</v>
      </c>
      <c r="Y112" s="16">
        <v>0</v>
      </c>
      <c r="Z112" s="28" t="e">
        <f>Y112/Y12</f>
        <v>#DIV/0!</v>
      </c>
      <c r="AA112" s="59">
        <f t="shared" si="31"/>
        <v>0</v>
      </c>
      <c r="AB112" s="28" t="e">
        <f>AA112/AA12</f>
        <v>#DIV/0!</v>
      </c>
      <c r="AC112" s="160">
        <f t="shared" si="17"/>
        <v>0</v>
      </c>
      <c r="AD112" s="28" t="e">
        <f>AC112/AC12</f>
        <v>#DIV/0!</v>
      </c>
      <c r="AE112" s="44">
        <f t="shared" si="18"/>
        <v>0</v>
      </c>
      <c r="AF112" s="21">
        <f t="shared" si="19"/>
        <v>0</v>
      </c>
    </row>
    <row r="113" spans="1:32" s="1" customFormat="1">
      <c r="A113" s="2">
        <v>6415</v>
      </c>
      <c r="B113" s="216" t="s">
        <v>44</v>
      </c>
      <c r="C113" s="16"/>
      <c r="D113" s="28" t="e">
        <f>C113/C12</f>
        <v>#DIV/0!</v>
      </c>
      <c r="E113" s="16"/>
      <c r="F113" s="28" t="e">
        <f>E113/E12</f>
        <v>#DIV/0!</v>
      </c>
      <c r="G113" s="16"/>
      <c r="H113" s="28" t="e">
        <f>G113/G12</f>
        <v>#DIV/0!</v>
      </c>
      <c r="I113" s="16"/>
      <c r="J113" s="28" t="e">
        <f>I113/I12</f>
        <v>#DIV/0!</v>
      </c>
      <c r="K113" s="16"/>
      <c r="L113" s="28" t="e">
        <f>K113/K12</f>
        <v>#DIV/0!</v>
      </c>
      <c r="M113" s="16"/>
      <c r="N113" s="28" t="e">
        <f>M113/M12</f>
        <v>#DIV/0!</v>
      </c>
      <c r="O113" s="16"/>
      <c r="P113" s="28" t="e">
        <f>O113/O12</f>
        <v>#DIV/0!</v>
      </c>
      <c r="Q113" s="16"/>
      <c r="R113" s="28" t="e">
        <f>Q113/Q12</f>
        <v>#DIV/0!</v>
      </c>
      <c r="S113" s="16"/>
      <c r="T113" s="28" t="e">
        <f>S113/S12</f>
        <v>#DIV/0!</v>
      </c>
      <c r="U113" s="16"/>
      <c r="V113" s="28" t="e">
        <f>U113/U12</f>
        <v>#DIV/0!</v>
      </c>
      <c r="W113" s="16"/>
      <c r="X113" s="28" t="e">
        <f>W113/W12</f>
        <v>#DIV/0!</v>
      </c>
      <c r="Y113" s="16"/>
      <c r="Z113" s="28" t="e">
        <f>Y113/Y12</f>
        <v>#DIV/0!</v>
      </c>
      <c r="AA113" s="59">
        <f t="shared" si="31"/>
        <v>0</v>
      </c>
      <c r="AB113" s="28" t="e">
        <f>AA113/AA12</f>
        <v>#DIV/0!</v>
      </c>
      <c r="AC113" s="160">
        <f t="shared" si="17"/>
        <v>0</v>
      </c>
      <c r="AD113" s="28" t="e">
        <f>AC113/AC12</f>
        <v>#DIV/0!</v>
      </c>
      <c r="AE113" s="44">
        <f t="shared" si="18"/>
        <v>0</v>
      </c>
      <c r="AF113" s="21">
        <f t="shared" si="19"/>
        <v>0</v>
      </c>
    </row>
    <row r="114" spans="1:32" s="1" customFormat="1" ht="15.75" thickBot="1">
      <c r="A114" s="4">
        <v>6499</v>
      </c>
      <c r="B114" s="217" t="s">
        <v>104</v>
      </c>
      <c r="C114" s="168">
        <f>SUM(C102:C113)</f>
        <v>0</v>
      </c>
      <c r="D114" s="167" t="e">
        <f>C114/C12</f>
        <v>#DIV/0!</v>
      </c>
      <c r="E114" s="168">
        <f>SUM(E102:E113)</f>
        <v>0</v>
      </c>
      <c r="F114" s="167" t="e">
        <f>E114/E12</f>
        <v>#DIV/0!</v>
      </c>
      <c r="G114" s="168">
        <f>SUM(G102:G113)</f>
        <v>0</v>
      </c>
      <c r="H114" s="167" t="e">
        <f>G114/G12</f>
        <v>#DIV/0!</v>
      </c>
      <c r="I114" s="168">
        <f>SUM(I102:I113)</f>
        <v>0</v>
      </c>
      <c r="J114" s="167" t="e">
        <f>I114/I12</f>
        <v>#DIV/0!</v>
      </c>
      <c r="K114" s="168">
        <f>SUM(K102:K113)</f>
        <v>0</v>
      </c>
      <c r="L114" s="167" t="e">
        <f>K114/K12</f>
        <v>#DIV/0!</v>
      </c>
      <c r="M114" s="168">
        <f>SUM(M102:M113)</f>
        <v>26167.5</v>
      </c>
      <c r="N114" s="167" t="e">
        <f>M114/M12</f>
        <v>#DIV/0!</v>
      </c>
      <c r="O114" s="168">
        <f>SUM(O102:O113)</f>
        <v>73820.617499999993</v>
      </c>
      <c r="P114" s="167" t="e">
        <f>O114/O12</f>
        <v>#DIV/0!</v>
      </c>
      <c r="Q114" s="168">
        <f>SUM(Q102:Q113)</f>
        <v>28615.1325</v>
      </c>
      <c r="R114" s="167" t="e">
        <f>Q114/Q12</f>
        <v>#DIV/0!</v>
      </c>
      <c r="S114" s="168">
        <f>SUM(S102:S113)</f>
        <v>42266.879999999997</v>
      </c>
      <c r="T114" s="167" t="e">
        <f>S114/S12</f>
        <v>#DIV/0!</v>
      </c>
      <c r="U114" s="168">
        <f>SUM(U102:U113)</f>
        <v>37589.206454747218</v>
      </c>
      <c r="V114" s="167" t="e">
        <f>U114/U12</f>
        <v>#DIV/0!</v>
      </c>
      <c r="W114" s="168">
        <f>SUM(W102:W113)</f>
        <v>10928.386459215497</v>
      </c>
      <c r="X114" s="167" t="e">
        <f>W114/W12</f>
        <v>#DIV/0!</v>
      </c>
      <c r="Y114" s="168">
        <f>SUM(Y102:Y113)</f>
        <v>28233.934031465957</v>
      </c>
      <c r="Z114" s="167" t="e">
        <f>Y114/Y12</f>
        <v>#DIV/0!</v>
      </c>
      <c r="AA114" s="189">
        <f>SUM(AA102:AA113)</f>
        <v>247621.65694542867</v>
      </c>
      <c r="AB114" s="167" t="e">
        <f>AA114/AA12</f>
        <v>#DIV/0!</v>
      </c>
      <c r="AC114" s="23">
        <f t="shared" si="17"/>
        <v>35374.522420775524</v>
      </c>
      <c r="AD114" s="167" t="e">
        <f>AC114/AC12</f>
        <v>#DIV/0!</v>
      </c>
      <c r="AE114" s="44">
        <f t="shared" si="18"/>
        <v>247621.65694542867</v>
      </c>
      <c r="AF114" s="21">
        <f t="shared" si="19"/>
        <v>0</v>
      </c>
    </row>
    <row r="115" spans="1:32" s="1" customFormat="1" ht="15.75" thickTop="1">
      <c r="A115" s="89"/>
      <c r="B115" s="232"/>
      <c r="C115" s="183"/>
      <c r="D115" s="233"/>
      <c r="E115" s="183"/>
      <c r="F115" s="233"/>
      <c r="G115" s="183"/>
      <c r="H115" s="233"/>
      <c r="I115" s="183"/>
      <c r="J115" s="233"/>
      <c r="K115" s="183"/>
      <c r="L115" s="233"/>
      <c r="M115" s="183"/>
      <c r="N115" s="233"/>
      <c r="O115" s="183"/>
      <c r="P115" s="233"/>
      <c r="Q115" s="183"/>
      <c r="R115" s="233"/>
      <c r="S115" s="183"/>
      <c r="T115" s="233"/>
      <c r="U115" s="183"/>
      <c r="V115" s="233"/>
      <c r="W115" s="183"/>
      <c r="X115" s="233"/>
      <c r="Y115" s="183"/>
      <c r="Z115" s="233"/>
      <c r="AA115" s="234"/>
      <c r="AB115" s="233"/>
      <c r="AC115" s="234">
        <f t="shared" si="17"/>
        <v>0</v>
      </c>
      <c r="AD115" s="233"/>
      <c r="AE115" s="44">
        <f t="shared" si="18"/>
        <v>0</v>
      </c>
      <c r="AF115" s="21">
        <f t="shared" si="19"/>
        <v>0</v>
      </c>
    </row>
    <row r="116" spans="1:32" s="1" customFormat="1" ht="15.75" thickBot="1">
      <c r="A116" s="4"/>
      <c r="B116" s="217" t="s">
        <v>116</v>
      </c>
      <c r="C116" s="236">
        <f>C37-C41-C70-C87-C101-C114</f>
        <v>-2564353.7653999999</v>
      </c>
      <c r="D116" s="235" t="e">
        <f>C116/C12</f>
        <v>#DIV/0!</v>
      </c>
      <c r="E116" s="236">
        <f>E37-E41-E70-E87-E101-E114</f>
        <v>-2016273.5380000002</v>
      </c>
      <c r="F116" s="235" t="e">
        <f>E116/E12</f>
        <v>#DIV/0!</v>
      </c>
      <c r="G116" s="236">
        <f>G37-G41-G70-G87-G101-G114</f>
        <v>-1938919.1328</v>
      </c>
      <c r="H116" s="235" t="e">
        <f>G116/G12</f>
        <v>#DIV/0!</v>
      </c>
      <c r="I116" s="236">
        <f>I37-I41-I70-I87-I101-I114</f>
        <v>-3555571.702</v>
      </c>
      <c r="J116" s="235" t="e">
        <f>I116/I12</f>
        <v>#DIV/0!</v>
      </c>
      <c r="K116" s="236">
        <f>K37-K41-K70-K87-K101-K114</f>
        <v>-2521011.1950000003</v>
      </c>
      <c r="L116" s="235" t="e">
        <f>K116/K12</f>
        <v>#DIV/0!</v>
      </c>
      <c r="M116" s="236">
        <f>M37-M41-M70-M87-M101-M114</f>
        <v>-1478638.2</v>
      </c>
      <c r="N116" s="235" t="e">
        <f>M116/M12</f>
        <v>#DIV/0!</v>
      </c>
      <c r="O116" s="236">
        <f>O37-O41-O70-O87-O101-O114</f>
        <v>-4117221.9067000002</v>
      </c>
      <c r="P116" s="235" t="e">
        <f>O116/O12</f>
        <v>#DIV/0!</v>
      </c>
      <c r="Q116" s="236">
        <f>Q37-Q41-Q70-Q87-Q101-Q114</f>
        <v>-1630681.0174</v>
      </c>
      <c r="R116" s="235" t="e">
        <f>Q116/Q12</f>
        <v>#DIV/0!</v>
      </c>
      <c r="S116" s="236">
        <f>S37-S41-S70-S87-S101-S114</f>
        <v>-2366945.2799999998</v>
      </c>
      <c r="T116" s="235" t="e">
        <f>S116/S12</f>
        <v>#DIV/0!</v>
      </c>
      <c r="U116" s="236">
        <f>U37-U41-U70-U87-U101-U114</f>
        <v>-2013779.0871356574</v>
      </c>
      <c r="V116" s="235" t="e">
        <f>U116/U12</f>
        <v>#DIV/0!</v>
      </c>
      <c r="W116" s="236">
        <f>W37-W41-W70-W87-W101-W114</f>
        <v>-591152.8515338304</v>
      </c>
      <c r="X116" s="235" t="e">
        <f>W116/W12</f>
        <v>#DIV/0!</v>
      </c>
      <c r="Y116" s="236">
        <f>Y37-Y41-Y70-Y87-Y101-Y114</f>
        <v>-1508821.4346415407</v>
      </c>
      <c r="Z116" s="235" t="e">
        <f>Y116/Y12</f>
        <v>#DIV/0!</v>
      </c>
      <c r="AA116" s="98">
        <f>AA37-AA41-AA70-AA87-AA101-AA114</f>
        <v>-26303369.110611029</v>
      </c>
      <c r="AB116" s="235" t="e">
        <f>AA116/AA12</f>
        <v>#DIV/0!</v>
      </c>
      <c r="AC116" s="237">
        <f t="shared" si="17"/>
        <v>-3757624.1586587182</v>
      </c>
      <c r="AD116" s="235" t="e">
        <f>AC116/AC12</f>
        <v>#DIV/0!</v>
      </c>
      <c r="AE116" s="44">
        <f t="shared" si="18"/>
        <v>-26303369.110611029</v>
      </c>
      <c r="AF116" s="21">
        <f t="shared" si="19"/>
        <v>0</v>
      </c>
    </row>
    <row r="117" spans="1:32" s="1" customFormat="1" ht="15.75" thickTop="1">
      <c r="A117" s="89"/>
      <c r="B117" s="232"/>
      <c r="C117" s="183"/>
      <c r="D117" s="233"/>
      <c r="E117" s="183"/>
      <c r="F117" s="233"/>
      <c r="G117" s="183"/>
      <c r="H117" s="233"/>
      <c r="I117" s="183"/>
      <c r="J117" s="233"/>
      <c r="K117" s="183"/>
      <c r="L117" s="233"/>
      <c r="M117" s="183"/>
      <c r="N117" s="233"/>
      <c r="O117" s="183"/>
      <c r="P117" s="233"/>
      <c r="Q117" s="183"/>
      <c r="R117" s="233"/>
      <c r="S117" s="183"/>
      <c r="T117" s="233"/>
      <c r="U117" s="183"/>
      <c r="V117" s="233"/>
      <c r="W117" s="183"/>
      <c r="X117" s="233"/>
      <c r="Y117" s="183"/>
      <c r="Z117" s="233"/>
      <c r="AA117" s="234"/>
      <c r="AB117" s="233"/>
      <c r="AC117" s="234">
        <f t="shared" si="17"/>
        <v>0</v>
      </c>
      <c r="AD117" s="233"/>
      <c r="AE117" s="44">
        <f t="shared" si="18"/>
        <v>0</v>
      </c>
      <c r="AF117" s="21">
        <f t="shared" si="19"/>
        <v>0</v>
      </c>
    </row>
    <row r="118" spans="1:32" s="1" customFormat="1" ht="15.75" thickBot="1">
      <c r="A118" s="39"/>
      <c r="B118" s="4" t="s">
        <v>125</v>
      </c>
      <c r="C118" s="188"/>
      <c r="D118" s="52"/>
      <c r="E118" s="188"/>
      <c r="F118" s="52"/>
      <c r="G118" s="188"/>
      <c r="H118" s="52"/>
      <c r="I118" s="188"/>
      <c r="J118" s="52"/>
      <c r="K118" s="188"/>
      <c r="L118" s="52"/>
      <c r="M118" s="188"/>
      <c r="N118" s="52"/>
      <c r="O118" s="188"/>
      <c r="P118" s="52"/>
      <c r="Q118" s="188"/>
      <c r="R118" s="52"/>
      <c r="S118" s="188"/>
      <c r="T118" s="52"/>
      <c r="U118" s="188"/>
      <c r="V118" s="52"/>
      <c r="W118" s="188"/>
      <c r="X118" s="52"/>
      <c r="Y118" s="188"/>
      <c r="Z118" s="52"/>
      <c r="AA118" s="238">
        <f>C118+E118+G118+I118+K118+M118+O118+Q118+S118+U118+W118+Y118</f>
        <v>0</v>
      </c>
      <c r="AB118" s="52"/>
      <c r="AC118" s="239">
        <f t="shared" si="17"/>
        <v>0</v>
      </c>
      <c r="AD118" s="52"/>
      <c r="AE118" s="44">
        <f t="shared" si="18"/>
        <v>0</v>
      </c>
      <c r="AF118" s="21">
        <f t="shared" si="19"/>
        <v>0</v>
      </c>
    </row>
    <row r="119" spans="1:32" s="1" customFormat="1" ht="15.75" thickTop="1">
      <c r="A119" s="89"/>
      <c r="B119" s="89"/>
      <c r="C119" s="183"/>
      <c r="D119" s="233"/>
      <c r="E119" s="183"/>
      <c r="F119" s="233"/>
      <c r="G119" s="183"/>
      <c r="H119" s="233"/>
      <c r="I119" s="183"/>
      <c r="J119" s="233"/>
      <c r="K119" s="183"/>
      <c r="L119" s="233"/>
      <c r="M119" s="183"/>
      <c r="N119" s="233"/>
      <c r="O119" s="183"/>
      <c r="P119" s="233"/>
      <c r="Q119" s="183"/>
      <c r="R119" s="233"/>
      <c r="S119" s="183"/>
      <c r="T119" s="233"/>
      <c r="U119" s="183"/>
      <c r="V119" s="233"/>
      <c r="W119" s="183"/>
      <c r="X119" s="233"/>
      <c r="Y119" s="183"/>
      <c r="Z119" s="233"/>
      <c r="AA119" s="234"/>
      <c r="AB119" s="233"/>
      <c r="AC119" s="234">
        <f t="shared" si="17"/>
        <v>0</v>
      </c>
      <c r="AD119" s="233"/>
      <c r="AE119" s="44">
        <f t="shared" si="18"/>
        <v>0</v>
      </c>
      <c r="AF119" s="21">
        <f t="shared" si="19"/>
        <v>0</v>
      </c>
    </row>
    <row r="120" spans="1:32" s="1" customFormat="1" ht="15.75" thickBot="1">
      <c r="A120" s="4"/>
      <c r="B120" s="4" t="s">
        <v>122</v>
      </c>
      <c r="C120" s="23">
        <f>C116-C118</f>
        <v>-2564353.7653999999</v>
      </c>
      <c r="D120" s="220" t="e">
        <f>C120/C12</f>
        <v>#DIV/0!</v>
      </c>
      <c r="E120" s="23">
        <f>E116-E118</f>
        <v>-2016273.5380000002</v>
      </c>
      <c r="F120" s="220" t="e">
        <f>E120/E12</f>
        <v>#DIV/0!</v>
      </c>
      <c r="G120" s="23">
        <f>G116-G118</f>
        <v>-1938919.1328</v>
      </c>
      <c r="H120" s="220" t="e">
        <f>G120/G12</f>
        <v>#DIV/0!</v>
      </c>
      <c r="I120" s="23">
        <f>I116-I118</f>
        <v>-3555571.702</v>
      </c>
      <c r="J120" s="220" t="e">
        <f>I120/I12</f>
        <v>#DIV/0!</v>
      </c>
      <c r="K120" s="23">
        <f>K116-K118</f>
        <v>-2521011.1950000003</v>
      </c>
      <c r="L120" s="220" t="e">
        <f>K120/K12</f>
        <v>#DIV/0!</v>
      </c>
      <c r="M120" s="23">
        <f>M116-M118</f>
        <v>-1478638.2</v>
      </c>
      <c r="N120" s="220" t="e">
        <f>M120/M12</f>
        <v>#DIV/0!</v>
      </c>
      <c r="O120" s="23">
        <f>O116-O118</f>
        <v>-4117221.9067000002</v>
      </c>
      <c r="P120" s="220" t="e">
        <f>O120/O12</f>
        <v>#DIV/0!</v>
      </c>
      <c r="Q120" s="23">
        <f>Q116-Q118</f>
        <v>-1630681.0174</v>
      </c>
      <c r="R120" s="220" t="e">
        <f>Q120/Q12</f>
        <v>#DIV/0!</v>
      </c>
      <c r="S120" s="23">
        <f>S116-S118</f>
        <v>-2366945.2799999998</v>
      </c>
      <c r="T120" s="220" t="e">
        <f>S120/S12</f>
        <v>#DIV/0!</v>
      </c>
      <c r="U120" s="23">
        <f>U116-U118</f>
        <v>-2013779.0871356574</v>
      </c>
      <c r="V120" s="220" t="e">
        <f>U120/U12</f>
        <v>#DIV/0!</v>
      </c>
      <c r="W120" s="23">
        <f>W116-W118</f>
        <v>-591152.8515338304</v>
      </c>
      <c r="X120" s="220" t="e">
        <f>W120/W12</f>
        <v>#DIV/0!</v>
      </c>
      <c r="Y120" s="23">
        <f>Y116-Y118</f>
        <v>-1508821.4346415407</v>
      </c>
      <c r="Z120" s="220" t="e">
        <f>Y120/Y12</f>
        <v>#DIV/0!</v>
      </c>
      <c r="AA120" s="23">
        <f>AA116-AA118</f>
        <v>-26303369.110611029</v>
      </c>
      <c r="AB120" s="220" t="e">
        <f>AA120/AA12</f>
        <v>#DIV/0!</v>
      </c>
      <c r="AC120" s="23">
        <f t="shared" si="17"/>
        <v>-3757624.1586587182</v>
      </c>
      <c r="AD120" s="220" t="e">
        <f>AC120/AC12</f>
        <v>#DIV/0!</v>
      </c>
      <c r="AE120" s="44">
        <f t="shared" si="18"/>
        <v>-26303369.110611029</v>
      </c>
      <c r="AF120" s="21">
        <f t="shared" si="19"/>
        <v>0</v>
      </c>
    </row>
    <row r="121" spans="1:32" s="1" customFormat="1" ht="15.75" thickTop="1">
      <c r="A121" s="15">
        <v>6501</v>
      </c>
      <c r="B121" s="92" t="s">
        <v>124</v>
      </c>
      <c r="C121" s="183"/>
      <c r="D121" s="191" t="e">
        <f>C121/C12</f>
        <v>#DIV/0!</v>
      </c>
      <c r="E121" s="183"/>
      <c r="F121" s="191" t="e">
        <f>E121/E12</f>
        <v>#DIV/0!</v>
      </c>
      <c r="G121" s="183"/>
      <c r="H121" s="191" t="e">
        <f>G121/G12</f>
        <v>#DIV/0!</v>
      </c>
      <c r="I121" s="183"/>
      <c r="J121" s="191" t="e">
        <f>I121/I12</f>
        <v>#DIV/0!</v>
      </c>
      <c r="K121" s="183"/>
      <c r="L121" s="191" t="e">
        <f>K121/K12</f>
        <v>#DIV/0!</v>
      </c>
      <c r="M121" s="183"/>
      <c r="N121" s="191" t="e">
        <f>M121/M12</f>
        <v>#DIV/0!</v>
      </c>
      <c r="O121" s="183"/>
      <c r="P121" s="191" t="e">
        <f>O121/O12</f>
        <v>#DIV/0!</v>
      </c>
      <c r="Q121" s="183"/>
      <c r="R121" s="191" t="e">
        <f>Q121/Q12</f>
        <v>#DIV/0!</v>
      </c>
      <c r="S121" s="183"/>
      <c r="T121" s="191" t="e">
        <f>S121/S12</f>
        <v>#DIV/0!</v>
      </c>
      <c r="U121" s="183"/>
      <c r="V121" s="191" t="e">
        <f>U121/U12</f>
        <v>#DIV/0!</v>
      </c>
      <c r="W121" s="183"/>
      <c r="X121" s="191" t="e">
        <f>W121/W12</f>
        <v>#DIV/0!</v>
      </c>
      <c r="Y121" s="183"/>
      <c r="Z121" s="191" t="e">
        <f>Y121/Y12</f>
        <v>#DIV/0!</v>
      </c>
      <c r="AA121" s="59">
        <f t="shared" ref="AA121:AA128" si="32">C121+E121+G121+I121+K121+M121+O121+Q121+S121+U121+W121+Y121</f>
        <v>0</v>
      </c>
      <c r="AB121" s="191" t="e">
        <f>AA121/AA12</f>
        <v>#DIV/0!</v>
      </c>
      <c r="AC121" s="160">
        <f t="shared" si="17"/>
        <v>0</v>
      </c>
      <c r="AD121" s="191" t="e">
        <f>AC121/AC12</f>
        <v>#DIV/0!</v>
      </c>
      <c r="AE121" s="44">
        <f t="shared" si="18"/>
        <v>0</v>
      </c>
      <c r="AF121" s="21">
        <f t="shared" si="19"/>
        <v>0</v>
      </c>
    </row>
    <row r="122" spans="1:32" s="1" customFormat="1">
      <c r="A122" s="2">
        <v>6502</v>
      </c>
      <c r="B122" s="92" t="s">
        <v>118</v>
      </c>
      <c r="C122" s="21"/>
      <c r="D122" s="191" t="e">
        <f>C122/C12</f>
        <v>#DIV/0!</v>
      </c>
      <c r="E122" s="21"/>
      <c r="F122" s="191" t="e">
        <f>E122/E12</f>
        <v>#DIV/0!</v>
      </c>
      <c r="G122" s="21"/>
      <c r="H122" s="191" t="e">
        <f>G122/G12</f>
        <v>#DIV/0!</v>
      </c>
      <c r="I122" s="21"/>
      <c r="J122" s="191" t="e">
        <f>I122/I12</f>
        <v>#DIV/0!</v>
      </c>
      <c r="K122" s="21"/>
      <c r="L122" s="191" t="e">
        <f>K122/K12</f>
        <v>#DIV/0!</v>
      </c>
      <c r="M122" s="21">
        <v>0</v>
      </c>
      <c r="N122" s="191" t="e">
        <f>M122/M12</f>
        <v>#DIV/0!</v>
      </c>
      <c r="O122" s="21">
        <v>0</v>
      </c>
      <c r="P122" s="191" t="e">
        <f>O122/O12</f>
        <v>#DIV/0!</v>
      </c>
      <c r="Q122" s="21">
        <v>0</v>
      </c>
      <c r="R122" s="191" t="e">
        <f>Q122/Q12</f>
        <v>#DIV/0!</v>
      </c>
      <c r="S122" s="21">
        <v>0</v>
      </c>
      <c r="T122" s="191" t="e">
        <f>S122/S12</f>
        <v>#DIV/0!</v>
      </c>
      <c r="U122" s="21">
        <v>0</v>
      </c>
      <c r="V122" s="191" t="e">
        <f>U122/U12</f>
        <v>#DIV/0!</v>
      </c>
      <c r="W122" s="21">
        <v>0</v>
      </c>
      <c r="X122" s="191" t="e">
        <f>W122/W12</f>
        <v>#DIV/0!</v>
      </c>
      <c r="Y122" s="21">
        <v>0</v>
      </c>
      <c r="Z122" s="191" t="e">
        <f>Y122/Y12</f>
        <v>#DIV/0!</v>
      </c>
      <c r="AA122" s="59">
        <f t="shared" si="32"/>
        <v>0</v>
      </c>
      <c r="AB122" s="191" t="e">
        <f>AA122/AA12</f>
        <v>#DIV/0!</v>
      </c>
      <c r="AC122" s="160">
        <f t="shared" si="17"/>
        <v>0</v>
      </c>
      <c r="AD122" s="191" t="e">
        <f>AC122/AC12</f>
        <v>#DIV/0!</v>
      </c>
      <c r="AE122" s="44">
        <f t="shared" si="18"/>
        <v>0</v>
      </c>
      <c r="AF122" s="21">
        <f t="shared" si="19"/>
        <v>0</v>
      </c>
    </row>
    <row r="123" spans="1:32" s="1" customFormat="1">
      <c r="A123" s="2">
        <v>6503</v>
      </c>
      <c r="B123" s="92" t="s">
        <v>166</v>
      </c>
      <c r="C123" s="21"/>
      <c r="D123" s="191" t="e">
        <f>C123/C12</f>
        <v>#DIV/0!</v>
      </c>
      <c r="E123" s="21"/>
      <c r="F123" s="191" t="e">
        <f>E123/E12</f>
        <v>#DIV/0!</v>
      </c>
      <c r="G123" s="21"/>
      <c r="H123" s="191" t="e">
        <f>G123/G12</f>
        <v>#DIV/0!</v>
      </c>
      <c r="I123" s="21"/>
      <c r="J123" s="191" t="e">
        <f>I123/I12</f>
        <v>#DIV/0!</v>
      </c>
      <c r="K123" s="21"/>
      <c r="L123" s="191" t="e">
        <f>K123/K12</f>
        <v>#DIV/0!</v>
      </c>
      <c r="M123" s="21">
        <v>0</v>
      </c>
      <c r="N123" s="28" t="e">
        <f>M123/M12</f>
        <v>#DIV/0!</v>
      </c>
      <c r="O123" s="21">
        <v>0</v>
      </c>
      <c r="P123" s="28" t="e">
        <f>O123/O12</f>
        <v>#DIV/0!</v>
      </c>
      <c r="Q123" s="21">
        <v>0</v>
      </c>
      <c r="R123" s="28" t="e">
        <f>Q123/Q12</f>
        <v>#DIV/0!</v>
      </c>
      <c r="S123" s="21">
        <v>0</v>
      </c>
      <c r="T123" s="191" t="e">
        <f>S123/S12</f>
        <v>#DIV/0!</v>
      </c>
      <c r="U123" s="21">
        <v>0</v>
      </c>
      <c r="V123" s="191" t="e">
        <f>U123/U12</f>
        <v>#DIV/0!</v>
      </c>
      <c r="W123" s="21">
        <v>0</v>
      </c>
      <c r="X123" s="191" t="e">
        <f>W123/W12</f>
        <v>#DIV/0!</v>
      </c>
      <c r="Y123" s="21">
        <v>0</v>
      </c>
      <c r="Z123" s="191" t="e">
        <f>Y123/Y12</f>
        <v>#DIV/0!</v>
      </c>
      <c r="AA123" s="59">
        <f t="shared" si="32"/>
        <v>0</v>
      </c>
      <c r="AB123" s="240" t="e">
        <f>AA123/AA12</f>
        <v>#DIV/0!</v>
      </c>
      <c r="AC123" s="160">
        <f t="shared" si="17"/>
        <v>0</v>
      </c>
      <c r="AD123" s="240" t="e">
        <f>AC123/AC12</f>
        <v>#DIV/0!</v>
      </c>
      <c r="AE123" s="44">
        <f t="shared" si="18"/>
        <v>0</v>
      </c>
      <c r="AF123" s="21">
        <f t="shared" si="19"/>
        <v>0</v>
      </c>
    </row>
    <row r="124" spans="1:32" s="1" customFormat="1">
      <c r="A124" s="2">
        <v>6504</v>
      </c>
      <c r="B124" s="92" t="s">
        <v>119</v>
      </c>
      <c r="C124" s="43"/>
      <c r="D124" s="191" t="e">
        <f>C124/C12</f>
        <v>#DIV/0!</v>
      </c>
      <c r="E124" s="43"/>
      <c r="F124" s="191" t="e">
        <f>E124/E12</f>
        <v>#DIV/0!</v>
      </c>
      <c r="G124" s="43"/>
      <c r="H124" s="191" t="e">
        <f>G124/G12</f>
        <v>#DIV/0!</v>
      </c>
      <c r="I124" s="43"/>
      <c r="J124" s="191" t="e">
        <f>I124/I12</f>
        <v>#DIV/0!</v>
      </c>
      <c r="K124" s="43"/>
      <c r="L124" s="191" t="e">
        <f>K124/K12</f>
        <v>#DIV/0!</v>
      </c>
      <c r="M124" s="43"/>
      <c r="N124" s="191" t="e">
        <f>M124/M12</f>
        <v>#DIV/0!</v>
      </c>
      <c r="O124" s="43"/>
      <c r="P124" s="191" t="e">
        <f>O124/O12</f>
        <v>#DIV/0!</v>
      </c>
      <c r="Q124" s="43"/>
      <c r="R124" s="191" t="e">
        <f>Q124/Q12</f>
        <v>#DIV/0!</v>
      </c>
      <c r="S124" s="43"/>
      <c r="T124" s="191" t="e">
        <f>S124/S12</f>
        <v>#DIV/0!</v>
      </c>
      <c r="U124" s="43"/>
      <c r="V124" s="191" t="e">
        <f>U124/U12</f>
        <v>#DIV/0!</v>
      </c>
      <c r="W124" s="43"/>
      <c r="X124" s="191" t="e">
        <f>W124/W12</f>
        <v>#DIV/0!</v>
      </c>
      <c r="Y124" s="43"/>
      <c r="Z124" s="191" t="e">
        <f>Y124/Y12</f>
        <v>#DIV/0!</v>
      </c>
      <c r="AA124" s="59">
        <f t="shared" si="32"/>
        <v>0</v>
      </c>
      <c r="AB124" s="191" t="e">
        <f>AA124/AA12</f>
        <v>#DIV/0!</v>
      </c>
      <c r="AC124" s="160">
        <f t="shared" si="17"/>
        <v>0</v>
      </c>
      <c r="AD124" s="191" t="e">
        <f>AC124/AC12</f>
        <v>#DIV/0!</v>
      </c>
      <c r="AE124" s="44">
        <f t="shared" si="18"/>
        <v>0</v>
      </c>
      <c r="AF124" s="21">
        <f t="shared" si="19"/>
        <v>0</v>
      </c>
    </row>
    <row r="125" spans="1:32" s="1" customFormat="1">
      <c r="A125" s="2">
        <v>6505</v>
      </c>
      <c r="B125" s="2" t="s">
        <v>120</v>
      </c>
      <c r="C125" s="43"/>
      <c r="D125" s="191" t="e">
        <f>C125/C12</f>
        <v>#DIV/0!</v>
      </c>
      <c r="E125" s="43"/>
      <c r="F125" s="191" t="e">
        <f>E125/E12</f>
        <v>#DIV/0!</v>
      </c>
      <c r="G125" s="43"/>
      <c r="H125" s="191" t="e">
        <f>G125/G12</f>
        <v>#DIV/0!</v>
      </c>
      <c r="I125" s="43"/>
      <c r="J125" s="191" t="e">
        <f>I125/I12</f>
        <v>#DIV/0!</v>
      </c>
      <c r="K125" s="43"/>
      <c r="L125" s="191" t="e">
        <f>K125/K12</f>
        <v>#DIV/0!</v>
      </c>
      <c r="M125" s="43"/>
      <c r="N125" s="191" t="e">
        <f>M125/M12</f>
        <v>#DIV/0!</v>
      </c>
      <c r="O125" s="43"/>
      <c r="P125" s="191" t="e">
        <f>O125/O12</f>
        <v>#DIV/0!</v>
      </c>
      <c r="Q125" s="43"/>
      <c r="R125" s="191" t="e">
        <f>Q125/Q12</f>
        <v>#DIV/0!</v>
      </c>
      <c r="S125" s="43"/>
      <c r="T125" s="191" t="e">
        <f>S125/S12</f>
        <v>#DIV/0!</v>
      </c>
      <c r="U125" s="43"/>
      <c r="V125" s="191" t="e">
        <f>U125/U12</f>
        <v>#DIV/0!</v>
      </c>
      <c r="W125" s="43"/>
      <c r="X125" s="191" t="e">
        <f>W125/W12</f>
        <v>#DIV/0!</v>
      </c>
      <c r="Y125" s="43"/>
      <c r="Z125" s="191" t="e">
        <f>Y125/Y12</f>
        <v>#DIV/0!</v>
      </c>
      <c r="AA125" s="59">
        <f t="shared" si="32"/>
        <v>0</v>
      </c>
      <c r="AB125" s="191" t="e">
        <f>AA125/AA12</f>
        <v>#DIV/0!</v>
      </c>
      <c r="AC125" s="160">
        <f t="shared" si="17"/>
        <v>0</v>
      </c>
      <c r="AD125" s="191" t="e">
        <f>AC125/AC12</f>
        <v>#DIV/0!</v>
      </c>
      <c r="AE125" s="44">
        <f t="shared" si="18"/>
        <v>0</v>
      </c>
      <c r="AF125" s="21">
        <f t="shared" si="19"/>
        <v>0</v>
      </c>
    </row>
    <row r="126" spans="1:32" s="1" customFormat="1">
      <c r="A126" s="2">
        <v>6506</v>
      </c>
      <c r="B126" s="2" t="s">
        <v>160</v>
      </c>
      <c r="C126" s="21"/>
      <c r="D126" s="241" t="e">
        <f>C126/C12</f>
        <v>#DIV/0!</v>
      </c>
      <c r="E126" s="21"/>
      <c r="F126" s="241" t="e">
        <f>E126/E12</f>
        <v>#DIV/0!</v>
      </c>
      <c r="G126" s="21"/>
      <c r="H126" s="241" t="e">
        <f>G126/G12</f>
        <v>#DIV/0!</v>
      </c>
      <c r="I126" s="21"/>
      <c r="J126" s="241" t="e">
        <f>I126/I12</f>
        <v>#DIV/0!</v>
      </c>
      <c r="K126" s="21"/>
      <c r="L126" s="241" t="e">
        <f>K126/K12</f>
        <v>#DIV/0!</v>
      </c>
      <c r="M126" s="21">
        <v>0</v>
      </c>
      <c r="N126" s="241" t="e">
        <f>M126/M12</f>
        <v>#DIV/0!</v>
      </c>
      <c r="O126" s="21">
        <v>0</v>
      </c>
      <c r="P126" s="241" t="e">
        <f>O126/O12</f>
        <v>#DIV/0!</v>
      </c>
      <c r="Q126" s="21">
        <v>0</v>
      </c>
      <c r="R126" s="241" t="e">
        <f>Q126/Q12</f>
        <v>#DIV/0!</v>
      </c>
      <c r="S126" s="21">
        <v>0</v>
      </c>
      <c r="T126" s="241" t="e">
        <f>S126/S12</f>
        <v>#DIV/0!</v>
      </c>
      <c r="U126" s="21">
        <v>0</v>
      </c>
      <c r="V126" s="241" t="e">
        <f>U126/U12</f>
        <v>#DIV/0!</v>
      </c>
      <c r="W126" s="21">
        <v>0</v>
      </c>
      <c r="X126" s="241" t="e">
        <f>W126/W12</f>
        <v>#DIV/0!</v>
      </c>
      <c r="Y126" s="21">
        <v>0</v>
      </c>
      <c r="Z126" s="241" t="e">
        <f>Y126/Y12</f>
        <v>#DIV/0!</v>
      </c>
      <c r="AA126" s="59">
        <f t="shared" si="32"/>
        <v>0</v>
      </c>
      <c r="AB126" s="241" t="e">
        <f>AA126/AA12</f>
        <v>#DIV/0!</v>
      </c>
      <c r="AC126" s="160">
        <f t="shared" si="17"/>
        <v>0</v>
      </c>
      <c r="AD126" s="241" t="e">
        <f>AC126/AC12</f>
        <v>#DIV/0!</v>
      </c>
      <c r="AE126" s="44">
        <f t="shared" si="18"/>
        <v>0</v>
      </c>
      <c r="AF126" s="21">
        <f t="shared" si="19"/>
        <v>0</v>
      </c>
    </row>
    <row r="127" spans="1:32" s="1" customFormat="1">
      <c r="A127" s="82">
        <v>6604</v>
      </c>
      <c r="B127" s="2" t="s">
        <v>167</v>
      </c>
      <c r="C127" s="16"/>
      <c r="D127" s="241" t="e">
        <f>C127/C12</f>
        <v>#DIV/0!</v>
      </c>
      <c r="E127" s="16"/>
      <c r="F127" s="241" t="e">
        <f>E127/E12</f>
        <v>#DIV/0!</v>
      </c>
      <c r="G127" s="16"/>
      <c r="H127" s="241" t="e">
        <f>G127/G12</f>
        <v>#DIV/0!</v>
      </c>
      <c r="I127" s="16"/>
      <c r="J127" s="241" t="e">
        <f>I127/I12</f>
        <v>#DIV/0!</v>
      </c>
      <c r="K127" s="16"/>
      <c r="L127" s="241" t="e">
        <f>K127/K12</f>
        <v>#DIV/0!</v>
      </c>
      <c r="M127" s="16">
        <v>0</v>
      </c>
      <c r="N127" s="241" t="e">
        <f>M127/M12</f>
        <v>#DIV/0!</v>
      </c>
      <c r="O127" s="16">
        <v>0</v>
      </c>
      <c r="P127" s="241" t="e">
        <f>O127/O12</f>
        <v>#DIV/0!</v>
      </c>
      <c r="Q127" s="16">
        <v>0</v>
      </c>
      <c r="R127" s="241" t="e">
        <f>Q127/Q12</f>
        <v>#DIV/0!</v>
      </c>
      <c r="S127" s="16">
        <v>0</v>
      </c>
      <c r="T127" s="241" t="e">
        <f>S127/S12</f>
        <v>#DIV/0!</v>
      </c>
      <c r="U127" s="16">
        <v>0</v>
      </c>
      <c r="V127" s="241" t="e">
        <f>U127/U12</f>
        <v>#DIV/0!</v>
      </c>
      <c r="W127" s="16">
        <v>0</v>
      </c>
      <c r="X127" s="241" t="e">
        <f>W127/W12</f>
        <v>#DIV/0!</v>
      </c>
      <c r="Y127" s="16">
        <v>0</v>
      </c>
      <c r="Z127" s="241" t="e">
        <f>Y127/Y12</f>
        <v>#DIV/0!</v>
      </c>
      <c r="AA127" s="59">
        <f t="shared" si="32"/>
        <v>0</v>
      </c>
      <c r="AB127" s="241" t="e">
        <f>AA127/AA12</f>
        <v>#DIV/0!</v>
      </c>
      <c r="AC127" s="160">
        <f t="shared" si="17"/>
        <v>0</v>
      </c>
      <c r="AD127" s="241" t="e">
        <f>AC127/AC12</f>
        <v>#DIV/0!</v>
      </c>
      <c r="AE127" s="44">
        <f t="shared" si="18"/>
        <v>0</v>
      </c>
      <c r="AF127" s="21">
        <f t="shared" si="19"/>
        <v>0</v>
      </c>
    </row>
    <row r="128" spans="1:32" s="1" customFormat="1">
      <c r="A128" s="2"/>
      <c r="B128" s="2"/>
      <c r="C128" s="158"/>
      <c r="D128" s="191" t="e">
        <f>C128/C12</f>
        <v>#DIV/0!</v>
      </c>
      <c r="E128" s="158"/>
      <c r="F128" s="191" t="e">
        <f>E128/E12</f>
        <v>#DIV/0!</v>
      </c>
      <c r="G128" s="158"/>
      <c r="H128" s="191" t="e">
        <f>G128/G12</f>
        <v>#DIV/0!</v>
      </c>
      <c r="I128" s="158"/>
      <c r="J128" s="191" t="e">
        <f>I128/I12</f>
        <v>#DIV/0!</v>
      </c>
      <c r="K128" s="158"/>
      <c r="L128" s="191" t="e">
        <f>K128/K12</f>
        <v>#DIV/0!</v>
      </c>
      <c r="M128" s="158"/>
      <c r="N128" s="191" t="e">
        <f>M128/M12</f>
        <v>#DIV/0!</v>
      </c>
      <c r="O128" s="158"/>
      <c r="P128" s="191" t="e">
        <f>O128/O12</f>
        <v>#DIV/0!</v>
      </c>
      <c r="Q128" s="158"/>
      <c r="R128" s="191" t="e">
        <f>Q128/Q12</f>
        <v>#DIV/0!</v>
      </c>
      <c r="S128" s="158"/>
      <c r="T128" s="191" t="e">
        <f>S128/S12</f>
        <v>#DIV/0!</v>
      </c>
      <c r="U128" s="158"/>
      <c r="V128" s="191" t="e">
        <f>U128/U12</f>
        <v>#DIV/0!</v>
      </c>
      <c r="W128" s="158"/>
      <c r="X128" s="191" t="e">
        <f>W128/W12</f>
        <v>#DIV/0!</v>
      </c>
      <c r="Y128" s="158"/>
      <c r="Z128" s="191" t="e">
        <f>Y128/Y12</f>
        <v>#DIV/0!</v>
      </c>
      <c r="AA128" s="59">
        <f t="shared" si="32"/>
        <v>0</v>
      </c>
      <c r="AB128" s="191" t="e">
        <f>AA128/AA12</f>
        <v>#DIV/0!</v>
      </c>
      <c r="AC128" s="160">
        <f t="shared" si="17"/>
        <v>0</v>
      </c>
      <c r="AD128" s="191" t="e">
        <f>AC128/AC12</f>
        <v>#DIV/0!</v>
      </c>
      <c r="AE128" s="44">
        <f t="shared" si="18"/>
        <v>0</v>
      </c>
      <c r="AF128" s="21">
        <f t="shared" si="19"/>
        <v>0</v>
      </c>
    </row>
    <row r="129" spans="1:32" s="1" customFormat="1" ht="15" customHeight="1">
      <c r="A129" s="26">
        <v>6798</v>
      </c>
      <c r="B129" s="26" t="s">
        <v>147</v>
      </c>
      <c r="C129" s="171">
        <f>SUM(C121:C128)</f>
        <v>0</v>
      </c>
      <c r="D129" s="242" t="e">
        <f>C129/C12</f>
        <v>#DIV/0!</v>
      </c>
      <c r="E129" s="171">
        <f>SUM(E121:E128)</f>
        <v>0</v>
      </c>
      <c r="F129" s="242" t="e">
        <f>E129/E12</f>
        <v>#DIV/0!</v>
      </c>
      <c r="G129" s="171">
        <f>SUM(G121:G128)</f>
        <v>0</v>
      </c>
      <c r="H129" s="242" t="e">
        <f>G129/G12</f>
        <v>#DIV/0!</v>
      </c>
      <c r="I129" s="171">
        <f>SUM(I121:I128)</f>
        <v>0</v>
      </c>
      <c r="J129" s="242" t="e">
        <f>I129/I12</f>
        <v>#DIV/0!</v>
      </c>
      <c r="K129" s="171">
        <f>SUM(K121:K128)</f>
        <v>0</v>
      </c>
      <c r="L129" s="242" t="e">
        <f>K129/K12</f>
        <v>#DIV/0!</v>
      </c>
      <c r="M129" s="171">
        <f>SUM(M121:M128)</f>
        <v>0</v>
      </c>
      <c r="N129" s="242" t="e">
        <f>M129/M12</f>
        <v>#DIV/0!</v>
      </c>
      <c r="O129" s="171">
        <f>SUM(O121:O128)</f>
        <v>0</v>
      </c>
      <c r="P129" s="242" t="e">
        <f>O129/O12</f>
        <v>#DIV/0!</v>
      </c>
      <c r="Q129" s="171">
        <f>SUM(Q121:Q128)</f>
        <v>0</v>
      </c>
      <c r="R129" s="242" t="e">
        <f>Q129/Q12</f>
        <v>#DIV/0!</v>
      </c>
      <c r="S129" s="171">
        <f>SUM(S121:S128)</f>
        <v>0</v>
      </c>
      <c r="T129" s="242" t="e">
        <f t="shared" ref="T129" si="33">S129/S$12</f>
        <v>#DIV/0!</v>
      </c>
      <c r="U129" s="171">
        <f>SUM(U121:U128)</f>
        <v>0</v>
      </c>
      <c r="V129" s="242" t="e">
        <f>U129/U12</f>
        <v>#DIV/0!</v>
      </c>
      <c r="W129" s="171">
        <f>SUM(W121:W128)</f>
        <v>0</v>
      </c>
      <c r="X129" s="242" t="e">
        <f>W129/W12</f>
        <v>#DIV/0!</v>
      </c>
      <c r="Y129" s="171">
        <f>SUM(Y121:Y128)</f>
        <v>0</v>
      </c>
      <c r="Z129" s="242" t="e">
        <f t="shared" ref="Z129" si="34">Y129/Y$12</f>
        <v>#DIV/0!</v>
      </c>
      <c r="AA129" s="63">
        <f>SUM(AA121:AA128)</f>
        <v>0</v>
      </c>
      <c r="AB129" s="243" t="e">
        <f t="shared" ref="AB129" si="35">AA129/AA$12</f>
        <v>#DIV/0!</v>
      </c>
      <c r="AC129" s="244">
        <f t="shared" si="17"/>
        <v>0</v>
      </c>
      <c r="AD129" s="245" t="e">
        <f t="shared" ref="AD129" si="36">AC129/AC$12</f>
        <v>#DIV/0!</v>
      </c>
      <c r="AE129" s="44">
        <f t="shared" si="18"/>
        <v>0</v>
      </c>
      <c r="AF129" s="21">
        <f t="shared" si="19"/>
        <v>0</v>
      </c>
    </row>
    <row r="130" spans="1:32" s="1" customFormat="1">
      <c r="A130" s="246">
        <v>6799</v>
      </c>
      <c r="B130" s="26" t="s">
        <v>117</v>
      </c>
      <c r="C130" s="234">
        <f>C41+C70+C87+C101+C114+C129+C118</f>
        <v>0</v>
      </c>
      <c r="D130" s="247" t="e">
        <f>C130/C12</f>
        <v>#DIV/0!</v>
      </c>
      <c r="E130" s="234">
        <f>E41+E70+E87+E101+E114+E129+E118</f>
        <v>0</v>
      </c>
      <c r="F130" s="247" t="e">
        <f>E130/E12</f>
        <v>#DIV/0!</v>
      </c>
      <c r="G130" s="234">
        <f>G41+G70+G87+G101+G114+G129+G118</f>
        <v>0</v>
      </c>
      <c r="H130" s="247" t="e">
        <f>G130/G12</f>
        <v>#DIV/0!</v>
      </c>
      <c r="I130" s="234">
        <f>I41+I70+I87+I101+I114+I129+I118</f>
        <v>0</v>
      </c>
      <c r="J130" s="247" t="e">
        <f>I130/I12</f>
        <v>#DIV/0!</v>
      </c>
      <c r="K130" s="234">
        <f>K41+K70+K87+K101+K114+K129+K118</f>
        <v>0</v>
      </c>
      <c r="L130" s="247" t="e">
        <f>K130/K12</f>
        <v>#DIV/0!</v>
      </c>
      <c r="M130" s="234">
        <f>M41+M70+M87+M101+M114+M129+M118</f>
        <v>26167.5</v>
      </c>
      <c r="N130" s="247" t="e">
        <f>M130/M12</f>
        <v>#DIV/0!</v>
      </c>
      <c r="O130" s="234">
        <f>O41+O70+O87+O101+O114+O129+O118</f>
        <v>73820.617499999993</v>
      </c>
      <c r="P130" s="247" t="e">
        <f>O130/O12</f>
        <v>#DIV/0!</v>
      </c>
      <c r="Q130" s="234">
        <f>Q41+Q70+Q87+Q101+Q114+Q129+Q118</f>
        <v>28615.1325</v>
      </c>
      <c r="R130" s="247" t="e">
        <f>Q130/Q12</f>
        <v>#DIV/0!</v>
      </c>
      <c r="S130" s="234">
        <f>S41+S70+S87+S101+S114+S129+S118</f>
        <v>42266.879999999997</v>
      </c>
      <c r="T130" s="247" t="e">
        <f>S130/S12</f>
        <v>#DIV/0!</v>
      </c>
      <c r="U130" s="234">
        <f>U41+U70+U87+U101+U114+U129+U118</f>
        <v>37589.206454747218</v>
      </c>
      <c r="V130" s="247" t="e">
        <f>U130/U12</f>
        <v>#DIV/0!</v>
      </c>
      <c r="W130" s="234">
        <f>W41+W70+W87+W101+W114+W129+W118</f>
        <v>10928.386459215497</v>
      </c>
      <c r="X130" s="247" t="e">
        <f>W130/W12</f>
        <v>#DIV/0!</v>
      </c>
      <c r="Y130" s="234">
        <f>Y41+Y70+Y87+Y101+Y114+Y129+Y118</f>
        <v>28233.934031465957</v>
      </c>
      <c r="Z130" s="247" t="e">
        <f>Y130/Y12</f>
        <v>#DIV/0!</v>
      </c>
      <c r="AA130" s="234">
        <f>AA41+AA70+AA87+AA101+AA114+AA129+AA118</f>
        <v>247621.65694542867</v>
      </c>
      <c r="AB130" s="247" t="e">
        <f>AA130/AA12</f>
        <v>#DIV/0!</v>
      </c>
      <c r="AC130" s="234">
        <f t="shared" si="17"/>
        <v>35374.522420775524</v>
      </c>
      <c r="AD130" s="247" t="e">
        <f>AC130/AC12</f>
        <v>#DIV/0!</v>
      </c>
      <c r="AE130" s="44">
        <f t="shared" si="18"/>
        <v>247621.65694542867</v>
      </c>
      <c r="AF130" s="21">
        <f t="shared" si="19"/>
        <v>0</v>
      </c>
    </row>
    <row r="131" spans="1:32" s="1" customFormat="1" ht="15.75" thickBot="1">
      <c r="A131" s="8">
        <v>6999</v>
      </c>
      <c r="B131" s="8" t="s">
        <v>123</v>
      </c>
      <c r="C131" s="181">
        <f>C120-C129</f>
        <v>-2564353.7653999999</v>
      </c>
      <c r="D131" s="131" t="e">
        <f>C131/C12</f>
        <v>#DIV/0!</v>
      </c>
      <c r="E131" s="181">
        <f>E120-E129</f>
        <v>-2016273.5380000002</v>
      </c>
      <c r="F131" s="131" t="e">
        <f>E131/E12</f>
        <v>#DIV/0!</v>
      </c>
      <c r="G131" s="181">
        <f>G120-G129</f>
        <v>-1938919.1328</v>
      </c>
      <c r="H131" s="131" t="e">
        <f>G131/G12</f>
        <v>#DIV/0!</v>
      </c>
      <c r="I131" s="181">
        <f>I120-I129</f>
        <v>-3555571.702</v>
      </c>
      <c r="J131" s="131" t="e">
        <f>I131/I12</f>
        <v>#DIV/0!</v>
      </c>
      <c r="K131" s="181">
        <f>K120-K129</f>
        <v>-2521011.1950000003</v>
      </c>
      <c r="L131" s="131" t="e">
        <f>K131/K12</f>
        <v>#DIV/0!</v>
      </c>
      <c r="M131" s="181">
        <f>M120-M129</f>
        <v>-1478638.2</v>
      </c>
      <c r="N131" s="131" t="e">
        <f>M131/M12</f>
        <v>#DIV/0!</v>
      </c>
      <c r="O131" s="181">
        <f>O120-O129</f>
        <v>-4117221.9067000002</v>
      </c>
      <c r="P131" s="131" t="e">
        <f>O131/O12</f>
        <v>#DIV/0!</v>
      </c>
      <c r="Q131" s="181">
        <f>Q120-Q129</f>
        <v>-1630681.0174</v>
      </c>
      <c r="R131" s="131" t="e">
        <f>Q131/Q12</f>
        <v>#DIV/0!</v>
      </c>
      <c r="S131" s="181">
        <f>S120-S129</f>
        <v>-2366945.2799999998</v>
      </c>
      <c r="T131" s="131" t="e">
        <f>S131/S12</f>
        <v>#DIV/0!</v>
      </c>
      <c r="U131" s="181">
        <f>U120-U129</f>
        <v>-2013779.0871356574</v>
      </c>
      <c r="V131" s="131" t="e">
        <f>U131/U12</f>
        <v>#DIV/0!</v>
      </c>
      <c r="W131" s="248">
        <f>W120-W129</f>
        <v>-591152.8515338304</v>
      </c>
      <c r="X131" s="131" t="e">
        <f>W131/W12</f>
        <v>#DIV/0!</v>
      </c>
      <c r="Y131" s="181">
        <f>Y120-Y129</f>
        <v>-1508821.4346415407</v>
      </c>
      <c r="Z131" s="131" t="e">
        <f>Y131/Y12</f>
        <v>#DIV/0!</v>
      </c>
      <c r="AA131" s="249">
        <f>AA120-AA129</f>
        <v>-26303369.110611029</v>
      </c>
      <c r="AB131" s="131" t="e">
        <f>AA131/AA12</f>
        <v>#DIV/0!</v>
      </c>
      <c r="AC131" s="250">
        <f t="shared" si="17"/>
        <v>-3757624.1586587182</v>
      </c>
      <c r="AD131" s="131" t="e">
        <f>AC131/AC12</f>
        <v>#DIV/0!</v>
      </c>
      <c r="AE131" s="44">
        <f t="shared" si="18"/>
        <v>-26303369.110611029</v>
      </c>
      <c r="AF131" s="21">
        <f t="shared" si="19"/>
        <v>0</v>
      </c>
    </row>
    <row r="132" spans="1:32" s="1" customFormat="1" ht="15.75" thickTop="1">
      <c r="C132" s="43"/>
      <c r="D132" s="251"/>
      <c r="E132" s="43"/>
      <c r="F132" s="251"/>
      <c r="G132" s="43"/>
      <c r="H132" s="251"/>
      <c r="I132" s="43"/>
      <c r="J132" s="251"/>
      <c r="K132" s="43"/>
      <c r="L132" s="251"/>
      <c r="M132" s="43"/>
      <c r="N132" s="251"/>
      <c r="O132" s="43"/>
      <c r="P132" s="251"/>
      <c r="Q132" s="43"/>
      <c r="R132" s="251"/>
      <c r="S132" s="43"/>
      <c r="T132" s="251"/>
      <c r="U132" s="43"/>
      <c r="V132" s="251"/>
      <c r="W132" s="43"/>
      <c r="X132" s="251"/>
      <c r="Y132" s="43"/>
      <c r="Z132" s="251"/>
      <c r="AA132" s="234"/>
      <c r="AB132" s="251"/>
      <c r="AC132" s="252">
        <f t="shared" si="17"/>
        <v>0</v>
      </c>
      <c r="AD132" s="251"/>
      <c r="AE132" s="44">
        <f t="shared" si="18"/>
        <v>0</v>
      </c>
      <c r="AF132" s="21">
        <f t="shared" si="19"/>
        <v>0</v>
      </c>
    </row>
    <row r="133" spans="1:32" s="1" customFormat="1" ht="15.75" thickBot="1">
      <c r="A133" s="90"/>
      <c r="B133" s="8" t="s">
        <v>146</v>
      </c>
      <c r="C133" s="97"/>
      <c r="D133" s="253" t="e">
        <f>C133/C12</f>
        <v>#DIV/0!</v>
      </c>
      <c r="E133" s="97"/>
      <c r="F133" s="253" t="e">
        <f>E133/E12</f>
        <v>#DIV/0!</v>
      </c>
      <c r="G133" s="97"/>
      <c r="H133" s="253" t="e">
        <f>G133/G12</f>
        <v>#DIV/0!</v>
      </c>
      <c r="I133" s="97"/>
      <c r="J133" s="253" t="e">
        <f>I133/I12</f>
        <v>#DIV/0!</v>
      </c>
      <c r="K133" s="97"/>
      <c r="L133" s="253" t="e">
        <f>K133/K12</f>
        <v>#DIV/0!</v>
      </c>
      <c r="M133" s="97"/>
      <c r="N133" s="253" t="e">
        <f>M133/M12</f>
        <v>#DIV/0!</v>
      </c>
      <c r="O133" s="97"/>
      <c r="P133" s="253" t="e">
        <f>O133/O12</f>
        <v>#DIV/0!</v>
      </c>
      <c r="Q133" s="97"/>
      <c r="R133" s="253" t="e">
        <f>Q133/Q12</f>
        <v>#DIV/0!</v>
      </c>
      <c r="S133" s="97"/>
      <c r="T133" s="253" t="e">
        <f>S133/S12</f>
        <v>#DIV/0!</v>
      </c>
      <c r="U133" s="97"/>
      <c r="V133" s="253" t="e">
        <f>U133/U12</f>
        <v>#DIV/0!</v>
      </c>
      <c r="W133" s="97"/>
      <c r="X133" s="253" t="e">
        <f>W133/W12</f>
        <v>#DIV/0!</v>
      </c>
      <c r="Y133" s="97"/>
      <c r="Z133" s="253" t="e">
        <f>Y133/Y12</f>
        <v>#DIV/0!</v>
      </c>
      <c r="AA133" s="254">
        <f>C133+E133+G133+I133+K133+M133+O133+Q133+S133+U133+W133+Y133</f>
        <v>0</v>
      </c>
      <c r="AB133" s="253" t="e">
        <f>AA133/AA12</f>
        <v>#DIV/0!</v>
      </c>
      <c r="AC133" s="255">
        <f t="shared" si="17"/>
        <v>0</v>
      </c>
      <c r="AD133" s="253" t="e">
        <f>AC133/AC12</f>
        <v>#DIV/0!</v>
      </c>
      <c r="AE133" s="44">
        <f t="shared" si="18"/>
        <v>0</v>
      </c>
      <c r="AF133" s="21">
        <f t="shared" si="19"/>
        <v>0</v>
      </c>
    </row>
    <row r="134" spans="1:32" s="1" customFormat="1" ht="15.75" thickTop="1">
      <c r="B134" s="46"/>
      <c r="C134" s="21"/>
      <c r="D134" s="241"/>
      <c r="E134" s="21"/>
      <c r="F134" s="241"/>
      <c r="G134" s="21"/>
      <c r="H134" s="241"/>
      <c r="I134" s="21"/>
      <c r="J134" s="241"/>
      <c r="K134" s="21"/>
      <c r="L134" s="241"/>
      <c r="M134" s="21"/>
      <c r="N134" s="241"/>
      <c r="O134" s="21"/>
      <c r="P134" s="241"/>
      <c r="Q134" s="21"/>
      <c r="R134" s="241"/>
      <c r="S134" s="21"/>
      <c r="T134" s="241"/>
      <c r="U134" s="21"/>
      <c r="V134" s="241"/>
      <c r="W134" s="21"/>
      <c r="X134" s="241"/>
      <c r="Y134" s="21"/>
      <c r="Z134" s="241"/>
      <c r="AA134" s="58"/>
      <c r="AB134" s="241"/>
      <c r="AC134" s="146">
        <f t="shared" ref="AC134:AC137" si="37">AA134/7</f>
        <v>0</v>
      </c>
      <c r="AD134" s="241"/>
      <c r="AE134" s="44">
        <f t="shared" si="18"/>
        <v>0</v>
      </c>
      <c r="AF134" s="21">
        <f t="shared" si="19"/>
        <v>0</v>
      </c>
    </row>
    <row r="135" spans="1:32" s="1" customFormat="1" ht="15.75" thickBot="1">
      <c r="A135" s="130"/>
      <c r="B135" s="129" t="s">
        <v>161</v>
      </c>
      <c r="C135" s="130"/>
      <c r="D135" s="256"/>
      <c r="E135" s="130"/>
      <c r="F135" s="258"/>
      <c r="G135" s="130"/>
      <c r="H135" s="258"/>
      <c r="I135" s="130"/>
      <c r="J135" s="258"/>
      <c r="K135" s="130"/>
      <c r="L135" s="258"/>
      <c r="M135" s="130"/>
      <c r="N135" s="258"/>
      <c r="O135" s="130"/>
      <c r="P135" s="258"/>
      <c r="Q135" s="130"/>
      <c r="R135" s="258"/>
      <c r="S135" s="130"/>
      <c r="T135" s="258"/>
      <c r="U135" s="130"/>
      <c r="V135" s="258"/>
      <c r="W135" s="130"/>
      <c r="X135" s="258"/>
      <c r="Y135" s="130"/>
      <c r="Z135" s="258"/>
      <c r="AA135" s="257">
        <f>C135+E135+G135+I135+K135+M135+O135+Q135+S135+U135+W135+Y135</f>
        <v>0</v>
      </c>
      <c r="AB135" s="258"/>
      <c r="AC135" s="257">
        <f t="shared" si="37"/>
        <v>0</v>
      </c>
      <c r="AD135" s="258"/>
      <c r="AE135" s="44">
        <f t="shared" ref="AE135:AE137" si="38">C135+E135+G135+I135+K135+M135+O135+Q135+S135+U135+W135+Y135</f>
        <v>0</v>
      </c>
      <c r="AF135" s="21">
        <f t="shared" ref="AF135:AF137" si="39">AA135-AE135</f>
        <v>0</v>
      </c>
    </row>
    <row r="136" spans="1:32" s="1" customFormat="1" ht="15.75" thickTop="1">
      <c r="B136" s="46"/>
      <c r="C136" s="21"/>
      <c r="D136" s="241"/>
      <c r="E136" s="21"/>
      <c r="F136" s="241"/>
      <c r="G136" s="21"/>
      <c r="H136" s="241"/>
      <c r="I136" s="21"/>
      <c r="J136" s="241"/>
      <c r="K136" s="21"/>
      <c r="L136" s="241"/>
      <c r="M136" s="21"/>
      <c r="N136" s="241"/>
      <c r="O136" s="21"/>
      <c r="P136" s="241"/>
      <c r="Q136" s="21"/>
      <c r="R136" s="241"/>
      <c r="S136" s="21"/>
      <c r="T136" s="241"/>
      <c r="U136" s="21"/>
      <c r="V136" s="241"/>
      <c r="W136" s="21"/>
      <c r="X136" s="241"/>
      <c r="Y136" s="21"/>
      <c r="Z136" s="241"/>
      <c r="AA136" s="58"/>
      <c r="AB136" s="241"/>
      <c r="AC136" s="146">
        <f t="shared" si="37"/>
        <v>0</v>
      </c>
      <c r="AD136" s="241"/>
      <c r="AE136" s="44">
        <f t="shared" si="38"/>
        <v>0</v>
      </c>
      <c r="AF136" s="21">
        <f t="shared" si="39"/>
        <v>0</v>
      </c>
    </row>
    <row r="137" spans="1:32" s="1" customFormat="1" ht="15.75" thickBot="1">
      <c r="A137" s="90"/>
      <c r="B137" s="93" t="s">
        <v>148</v>
      </c>
      <c r="C137" s="97">
        <f>C131-C133-C135</f>
        <v>-2564353.7653999999</v>
      </c>
      <c r="D137" s="253" t="e">
        <f>C137/C12</f>
        <v>#DIV/0!</v>
      </c>
      <c r="E137" s="97">
        <f>E131-E133-E135</f>
        <v>-2016273.5380000002</v>
      </c>
      <c r="F137" s="253" t="e">
        <f>E137/E12</f>
        <v>#DIV/0!</v>
      </c>
      <c r="G137" s="97">
        <f>G131-G133-G135</f>
        <v>-1938919.1328</v>
      </c>
      <c r="H137" s="253" t="e">
        <f>G137/G12</f>
        <v>#DIV/0!</v>
      </c>
      <c r="I137" s="97">
        <f>I131-I133-I135</f>
        <v>-3555571.702</v>
      </c>
      <c r="J137" s="253" t="e">
        <f>I137/I12</f>
        <v>#DIV/0!</v>
      </c>
      <c r="K137" s="97">
        <f>K131-K133-K135</f>
        <v>-2521011.1950000003</v>
      </c>
      <c r="L137" s="253" t="e">
        <f>K137/K12</f>
        <v>#DIV/0!</v>
      </c>
      <c r="M137" s="97">
        <f>M131-M133-M135</f>
        <v>-1478638.2</v>
      </c>
      <c r="N137" s="253" t="e">
        <f>M137/M12</f>
        <v>#DIV/0!</v>
      </c>
      <c r="O137" s="97">
        <f>O131-O133-O135</f>
        <v>-4117221.9067000002</v>
      </c>
      <c r="P137" s="253" t="e">
        <f>O137/O12</f>
        <v>#DIV/0!</v>
      </c>
      <c r="Q137" s="97">
        <f>Q131-Q133-Q135</f>
        <v>-1630681.0174</v>
      </c>
      <c r="R137" s="253" t="e">
        <f>Q137/Q12</f>
        <v>#DIV/0!</v>
      </c>
      <c r="S137" s="97">
        <f>S131-S133-S135</f>
        <v>-2366945.2799999998</v>
      </c>
      <c r="T137" s="253" t="e">
        <f>S137/S12</f>
        <v>#DIV/0!</v>
      </c>
      <c r="U137" s="97">
        <f>U131-U133-U135</f>
        <v>-2013779.0871356574</v>
      </c>
      <c r="V137" s="253" t="e">
        <f>U137/U12</f>
        <v>#DIV/0!</v>
      </c>
      <c r="W137" s="97">
        <f>W131-W133-W135</f>
        <v>-591152.8515338304</v>
      </c>
      <c r="X137" s="253" t="e">
        <f>W137/W12</f>
        <v>#DIV/0!</v>
      </c>
      <c r="Y137" s="97">
        <f>Y131-Y133-Y135</f>
        <v>-1508821.4346415407</v>
      </c>
      <c r="Z137" s="253" t="e">
        <f>Y137/Y12</f>
        <v>#DIV/0!</v>
      </c>
      <c r="AA137" s="259">
        <f>AA131-AA133-AA135</f>
        <v>-26303369.110611029</v>
      </c>
      <c r="AB137" s="253" t="e">
        <f>AA137/AA12</f>
        <v>#DIV/0!</v>
      </c>
      <c r="AC137" s="260">
        <f t="shared" si="37"/>
        <v>-3757624.1586587182</v>
      </c>
      <c r="AD137" s="253" t="e">
        <f>AC137/AC12</f>
        <v>#DIV/0!</v>
      </c>
      <c r="AE137" s="44">
        <f t="shared" si="38"/>
        <v>-26303369.110611029</v>
      </c>
      <c r="AF137" s="21">
        <f t="shared" si="39"/>
        <v>0</v>
      </c>
    </row>
    <row r="138" spans="1:32" s="1" customFormat="1" ht="15.75" thickTop="1">
      <c r="C138" s="44"/>
      <c r="D138" s="14"/>
      <c r="E138" s="44"/>
      <c r="F138" s="14"/>
      <c r="G138" s="44"/>
      <c r="H138" s="14"/>
      <c r="I138" s="44"/>
      <c r="J138" s="14"/>
      <c r="K138" s="21"/>
      <c r="L138" s="14"/>
      <c r="M138" s="44"/>
      <c r="N138" s="14"/>
      <c r="O138" s="21"/>
      <c r="P138" s="261"/>
      <c r="Q138" s="21"/>
      <c r="R138" s="261"/>
      <c r="S138" s="21"/>
      <c r="T138" s="261"/>
      <c r="U138" s="44"/>
      <c r="V138" s="261"/>
      <c r="W138" s="44"/>
      <c r="X138" s="261"/>
      <c r="Y138" s="44"/>
      <c r="Z138" s="261"/>
      <c r="AA138" s="58"/>
      <c r="AB138" s="145"/>
      <c r="AC138" s="146"/>
      <c r="AD138" s="147"/>
      <c r="AF138" s="21"/>
    </row>
    <row r="139" spans="1:32" s="1" customFormat="1">
      <c r="C139" s="44">
        <f>C137</f>
        <v>-2564353.7653999999</v>
      </c>
      <c r="D139" s="14"/>
      <c r="E139" s="44">
        <f>C139+E137</f>
        <v>-4580627.3034000006</v>
      </c>
      <c r="F139" s="14"/>
      <c r="G139" s="44">
        <f>E139+G137</f>
        <v>-6519546.4362000003</v>
      </c>
      <c r="H139" s="14"/>
      <c r="I139" s="44">
        <f>G139+I137</f>
        <v>-10075118.1382</v>
      </c>
      <c r="J139" s="14"/>
      <c r="K139" s="44">
        <f>I139+K137</f>
        <v>-12596129.3332</v>
      </c>
      <c r="L139" s="14"/>
      <c r="M139" s="44">
        <f>K139+M137</f>
        <v>-14074767.533199999</v>
      </c>
      <c r="N139" s="14"/>
      <c r="O139" s="44">
        <f>M139+O137</f>
        <v>-18191989.4399</v>
      </c>
      <c r="P139" s="261"/>
      <c r="Q139" s="44">
        <f>O139+Q137</f>
        <v>-19822670.4573</v>
      </c>
      <c r="R139" s="261"/>
      <c r="S139" s="44">
        <f>Q139+S137</f>
        <v>-22189615.737300001</v>
      </c>
      <c r="T139" s="261"/>
      <c r="U139" s="44">
        <f>S139+U137</f>
        <v>-24203394.824435659</v>
      </c>
      <c r="V139" s="261"/>
      <c r="W139" s="44">
        <f>U139+W137</f>
        <v>-24794547.675969489</v>
      </c>
      <c r="X139" s="261"/>
      <c r="Y139" s="44">
        <f>W139+Y137</f>
        <v>-26303369.110611029</v>
      </c>
      <c r="Z139" s="261"/>
      <c r="AA139" s="287">
        <f>AA130/50%</f>
        <v>495243.31389085733</v>
      </c>
      <c r="AB139" s="145"/>
      <c r="AC139" s="146"/>
      <c r="AD139" s="147"/>
      <c r="AF139" s="21"/>
    </row>
    <row r="140" spans="1:32" s="1" customFormat="1">
      <c r="C140" s="44"/>
      <c r="D140" s="14"/>
      <c r="E140" s="44"/>
      <c r="F140" s="14"/>
      <c r="G140" s="44"/>
      <c r="H140" s="14"/>
      <c r="I140" s="44"/>
      <c r="J140" s="14"/>
      <c r="K140" s="21"/>
      <c r="L140" s="14"/>
      <c r="M140" s="44"/>
      <c r="N140" s="14"/>
      <c r="O140" s="21"/>
      <c r="P140" s="261"/>
      <c r="Q140" s="21"/>
      <c r="R140" s="261"/>
      <c r="S140" s="21"/>
      <c r="T140" s="261"/>
      <c r="U140" s="44"/>
      <c r="V140" s="261"/>
      <c r="W140" s="44"/>
      <c r="X140" s="261"/>
      <c r="Y140" s="44"/>
      <c r="Z140" s="261"/>
      <c r="AA140" s="5"/>
      <c r="AB140" s="144"/>
      <c r="AC140" s="5"/>
      <c r="AD140" s="144"/>
      <c r="AF140" s="21"/>
    </row>
    <row r="141" spans="1:32">
      <c r="M141" s="100"/>
      <c r="AA141" s="20"/>
    </row>
    <row r="142" spans="1:32">
      <c r="M142" s="100"/>
    </row>
    <row r="143" spans="1:32">
      <c r="M143" s="100"/>
      <c r="AA143" s="122">
        <f>AA16</f>
        <v>0</v>
      </c>
    </row>
    <row r="144" spans="1:32">
      <c r="M144" s="100"/>
      <c r="AA144" s="100"/>
    </row>
    <row r="145" spans="13:13">
      <c r="M145" s="100"/>
    </row>
    <row r="146" spans="13:13">
      <c r="M146" s="100"/>
    </row>
    <row r="147" spans="13:13">
      <c r="M147" s="100"/>
    </row>
    <row r="148" spans="13:13">
      <c r="M148" s="100"/>
    </row>
    <row r="149" spans="13:13">
      <c r="M149" s="100"/>
    </row>
    <row r="150" spans="13:13">
      <c r="M150" s="100"/>
    </row>
    <row r="151" spans="13:13">
      <c r="M151" s="100"/>
    </row>
    <row r="152" spans="13:13">
      <c r="M152" s="100"/>
    </row>
    <row r="153" spans="13:13">
      <c r="M153" s="100"/>
    </row>
    <row r="154" spans="13:13">
      <c r="M154" s="100"/>
    </row>
  </sheetData>
  <mergeCells count="1">
    <mergeCell ref="A1:AD1"/>
  </mergeCells>
  <conditionalFormatting sqref="Q131 W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4"/>
  <sheetViews>
    <sheetView zoomScale="85" zoomScaleNormal="85" workbookViewId="0">
      <selection activeCell="D23" sqref="D23"/>
    </sheetView>
  </sheetViews>
  <sheetFormatPr defaultRowHeight="15"/>
  <cols>
    <col min="1" max="1" width="9.85546875" bestFit="1" customWidth="1"/>
    <col min="2" max="3" width="10.85546875" bestFit="1" customWidth="1"/>
    <col min="4" max="4" width="11.5703125" customWidth="1"/>
    <col min="5" max="6" width="11.5703125" style="1" customWidth="1"/>
    <col min="7" max="7" width="11.5703125" customWidth="1"/>
    <col min="8" max="9" width="11.5703125" style="1" customWidth="1"/>
    <col min="10" max="10" width="12.28515625" customWidth="1"/>
    <col min="11" max="11" width="12.28515625" style="1" customWidth="1"/>
    <col min="12" max="13" width="12.28515625" customWidth="1"/>
    <col min="14" max="14" width="12.28515625" style="1" customWidth="1"/>
    <col min="15" max="15" width="14" customWidth="1"/>
    <col min="16" max="16" width="9.140625" customWidth="1"/>
    <col min="17" max="17" width="14.28515625" bestFit="1" customWidth="1"/>
  </cols>
  <sheetData>
    <row r="1" spans="1:17" s="1" customFormat="1">
      <c r="D1" s="83" t="s">
        <v>181</v>
      </c>
      <c r="E1" s="83" t="s">
        <v>182</v>
      </c>
      <c r="F1" s="83" t="s">
        <v>154</v>
      </c>
      <c r="G1" s="83" t="s">
        <v>153</v>
      </c>
      <c r="H1" s="83" t="s">
        <v>204</v>
      </c>
      <c r="I1" s="83" t="s">
        <v>174</v>
      </c>
      <c r="J1" s="83" t="s">
        <v>177</v>
      </c>
      <c r="K1" s="83" t="s">
        <v>230</v>
      </c>
      <c r="L1" s="83" t="s">
        <v>172</v>
      </c>
      <c r="M1" s="83" t="s">
        <v>170</v>
      </c>
      <c r="N1" s="83" t="s">
        <v>229</v>
      </c>
      <c r="O1" s="83" t="s">
        <v>169</v>
      </c>
    </row>
    <row r="2" spans="1:17" s="1" customFormat="1">
      <c r="B2" s="1" t="s">
        <v>108</v>
      </c>
      <c r="C2" s="1" t="s">
        <v>228</v>
      </c>
    </row>
    <row r="3" spans="1:17">
      <c r="A3">
        <v>400</v>
      </c>
      <c r="B3" s="1" t="s">
        <v>183</v>
      </c>
      <c r="C3" s="1" t="s">
        <v>228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7">
      <c r="A4">
        <v>401</v>
      </c>
      <c r="B4" s="1" t="s">
        <v>184</v>
      </c>
      <c r="D4" s="21">
        <v>60000</v>
      </c>
      <c r="E4" s="21">
        <v>60000</v>
      </c>
      <c r="F4" s="21">
        <v>60000</v>
      </c>
      <c r="G4" s="21">
        <v>60000</v>
      </c>
      <c r="H4" s="21">
        <v>60000</v>
      </c>
      <c r="I4" s="21">
        <v>60000</v>
      </c>
      <c r="J4" s="21">
        <v>60000</v>
      </c>
      <c r="K4" s="21">
        <v>60000</v>
      </c>
      <c r="L4" s="21">
        <v>60000</v>
      </c>
      <c r="M4" s="21">
        <v>60000</v>
      </c>
      <c r="N4" s="21">
        <v>60000</v>
      </c>
      <c r="O4" s="21">
        <v>60000</v>
      </c>
      <c r="P4" s="21">
        <v>12</v>
      </c>
      <c r="Q4" s="299">
        <f>SUM(D4:O4)</f>
        <v>720000</v>
      </c>
    </row>
    <row r="5" spans="1:17">
      <c r="A5">
        <v>402</v>
      </c>
      <c r="B5" s="1" t="s">
        <v>185</v>
      </c>
      <c r="D5" s="21">
        <v>60000</v>
      </c>
      <c r="E5" s="21">
        <v>60000</v>
      </c>
      <c r="F5" s="21">
        <v>60000</v>
      </c>
      <c r="G5" s="21">
        <v>60000</v>
      </c>
      <c r="H5" s="21">
        <v>60000</v>
      </c>
      <c r="I5" s="21">
        <v>60000</v>
      </c>
      <c r="J5" s="21">
        <v>60000</v>
      </c>
      <c r="K5" s="21">
        <v>60000</v>
      </c>
      <c r="L5" s="21">
        <v>60000</v>
      </c>
      <c r="M5" s="21">
        <v>60000</v>
      </c>
      <c r="N5" s="21">
        <v>60000</v>
      </c>
      <c r="O5" s="21">
        <v>60000</v>
      </c>
      <c r="P5" s="21">
        <v>12</v>
      </c>
      <c r="Q5" s="299">
        <f t="shared" ref="Q5:Q22" si="0">SUM(D5:O5)</f>
        <v>720000</v>
      </c>
    </row>
    <row r="6" spans="1:17">
      <c r="A6">
        <v>403</v>
      </c>
      <c r="B6" s="1" t="s">
        <v>186</v>
      </c>
      <c r="D6" s="21">
        <v>60000</v>
      </c>
      <c r="E6" s="21">
        <v>60000</v>
      </c>
      <c r="F6" s="21">
        <v>60000</v>
      </c>
      <c r="G6" s="21">
        <v>60000</v>
      </c>
      <c r="H6" s="21">
        <v>60000</v>
      </c>
      <c r="I6" s="21">
        <v>60000</v>
      </c>
      <c r="J6" s="21">
        <v>60000</v>
      </c>
      <c r="K6" s="21">
        <v>60000</v>
      </c>
      <c r="L6" s="21">
        <v>60000</v>
      </c>
      <c r="M6" s="21">
        <v>60000</v>
      </c>
      <c r="N6" s="21">
        <v>60000</v>
      </c>
      <c r="O6" s="21">
        <v>60000</v>
      </c>
      <c r="P6" s="21">
        <v>12</v>
      </c>
      <c r="Q6" s="299">
        <f t="shared" si="0"/>
        <v>720000</v>
      </c>
    </row>
    <row r="7" spans="1:17" s="1" customFormat="1">
      <c r="A7" s="1">
        <v>404</v>
      </c>
      <c r="B7" s="1" t="s">
        <v>187</v>
      </c>
      <c r="C7" s="1" t="s">
        <v>228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44">
        <f t="shared" si="0"/>
        <v>0</v>
      </c>
    </row>
    <row r="8" spans="1:17">
      <c r="A8">
        <v>405</v>
      </c>
      <c r="B8" s="1" t="s">
        <v>188</v>
      </c>
      <c r="D8" s="21">
        <v>60000</v>
      </c>
      <c r="E8" s="21">
        <v>60000</v>
      </c>
      <c r="F8" s="21">
        <v>60000</v>
      </c>
      <c r="G8" s="21">
        <v>60000</v>
      </c>
      <c r="H8" s="21">
        <v>60000</v>
      </c>
      <c r="I8" s="21">
        <v>60000</v>
      </c>
      <c r="J8" s="21">
        <v>60000</v>
      </c>
      <c r="K8" s="21">
        <v>60000</v>
      </c>
      <c r="L8" s="21">
        <v>60000</v>
      </c>
      <c r="M8" s="21">
        <v>60000</v>
      </c>
      <c r="N8" s="21">
        <v>60000</v>
      </c>
      <c r="O8" s="21">
        <v>60000</v>
      </c>
      <c r="P8" s="21">
        <v>12</v>
      </c>
      <c r="Q8" s="299">
        <f t="shared" si="0"/>
        <v>720000</v>
      </c>
    </row>
    <row r="9" spans="1:17" s="1" customFormat="1">
      <c r="A9" s="1">
        <v>406</v>
      </c>
      <c r="B9" s="1" t="s">
        <v>189</v>
      </c>
      <c r="D9" s="21">
        <v>60000</v>
      </c>
      <c r="E9" s="21">
        <v>60000</v>
      </c>
      <c r="F9" s="21">
        <v>60000</v>
      </c>
      <c r="G9" s="21">
        <v>60000</v>
      </c>
      <c r="H9" s="21">
        <v>60000</v>
      </c>
      <c r="I9" s="21">
        <v>60000</v>
      </c>
      <c r="J9" s="21">
        <v>60000</v>
      </c>
      <c r="K9" s="21">
        <v>60000</v>
      </c>
      <c r="L9" s="21">
        <v>60000</v>
      </c>
      <c r="M9" s="21">
        <v>60000</v>
      </c>
      <c r="N9" s="21">
        <v>60000</v>
      </c>
      <c r="O9" s="21">
        <v>60000</v>
      </c>
      <c r="P9" s="21">
        <v>12</v>
      </c>
      <c r="Q9" s="299">
        <f t="shared" si="0"/>
        <v>720000</v>
      </c>
    </row>
    <row r="10" spans="1:17">
      <c r="A10">
        <v>407</v>
      </c>
      <c r="B10" s="1" t="s">
        <v>190</v>
      </c>
      <c r="D10" s="298">
        <v>60000</v>
      </c>
      <c r="E10" s="21">
        <v>60000</v>
      </c>
      <c r="F10" s="21">
        <v>60000</v>
      </c>
      <c r="G10" s="21">
        <v>60000</v>
      </c>
      <c r="H10" s="21">
        <v>60000</v>
      </c>
      <c r="I10" s="21">
        <v>60000</v>
      </c>
      <c r="J10" s="21">
        <v>60000</v>
      </c>
      <c r="K10" s="21">
        <v>60000</v>
      </c>
      <c r="L10" s="21">
        <v>60000</v>
      </c>
      <c r="M10" s="21">
        <v>60000</v>
      </c>
      <c r="N10" s="21">
        <v>60000</v>
      </c>
      <c r="O10" s="21">
        <v>60000</v>
      </c>
      <c r="P10" s="21">
        <v>12</v>
      </c>
      <c r="Q10" s="44">
        <f t="shared" si="0"/>
        <v>720000</v>
      </c>
    </row>
    <row r="11" spans="1:17" s="1" customFormat="1">
      <c r="A11" s="1">
        <v>408</v>
      </c>
      <c r="B11" s="1" t="s">
        <v>155</v>
      </c>
      <c r="C11" s="1" t="s">
        <v>228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44">
        <f t="shared" si="0"/>
        <v>0</v>
      </c>
    </row>
    <row r="12" spans="1:17">
      <c r="A12">
        <v>409</v>
      </c>
      <c r="B12" s="1" t="s">
        <v>191</v>
      </c>
      <c r="D12" s="21">
        <v>60000</v>
      </c>
      <c r="E12" s="21">
        <v>60000</v>
      </c>
      <c r="F12" s="21">
        <v>60000</v>
      </c>
      <c r="G12" s="21">
        <v>60000</v>
      </c>
      <c r="H12" s="21">
        <v>60000</v>
      </c>
      <c r="I12" s="21">
        <v>60000</v>
      </c>
      <c r="J12" s="21">
        <v>60000</v>
      </c>
      <c r="K12" s="21">
        <v>60000</v>
      </c>
      <c r="L12" s="21">
        <v>60000</v>
      </c>
      <c r="M12" s="21">
        <v>60000</v>
      </c>
      <c r="N12" s="21">
        <v>60000</v>
      </c>
      <c r="O12" s="21">
        <v>60000</v>
      </c>
      <c r="P12" s="21">
        <v>12</v>
      </c>
      <c r="Q12" s="299">
        <f t="shared" si="0"/>
        <v>720000</v>
      </c>
    </row>
    <row r="13" spans="1:17">
      <c r="A13">
        <v>410</v>
      </c>
      <c r="B13" s="1" t="s">
        <v>175</v>
      </c>
      <c r="C13" s="1"/>
      <c r="D13" s="21">
        <v>60000</v>
      </c>
      <c r="E13" s="21">
        <v>60000</v>
      </c>
      <c r="F13" s="21">
        <v>60000</v>
      </c>
      <c r="G13" s="21">
        <v>60000</v>
      </c>
      <c r="H13" s="21">
        <v>60000</v>
      </c>
      <c r="I13" s="21">
        <v>60000</v>
      </c>
      <c r="J13" s="21">
        <v>60000</v>
      </c>
      <c r="K13" s="21">
        <v>60000</v>
      </c>
      <c r="L13" s="21">
        <v>60000</v>
      </c>
      <c r="M13" s="21">
        <v>60000</v>
      </c>
      <c r="N13" s="21">
        <v>60000</v>
      </c>
      <c r="O13" s="21">
        <v>60000</v>
      </c>
      <c r="P13" s="21">
        <v>12</v>
      </c>
      <c r="Q13" s="299">
        <f t="shared" si="0"/>
        <v>720000</v>
      </c>
    </row>
    <row r="14" spans="1:17" s="1" customFormat="1">
      <c r="A14" s="1">
        <v>411</v>
      </c>
      <c r="B14" s="1" t="s">
        <v>176</v>
      </c>
      <c r="C14" s="1" t="s">
        <v>228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44">
        <f t="shared" si="0"/>
        <v>0</v>
      </c>
    </row>
    <row r="15" spans="1:17" s="1" customFormat="1">
      <c r="A15" s="1">
        <v>412</v>
      </c>
      <c r="B15" s="293" t="s">
        <v>178</v>
      </c>
      <c r="C15" s="294" t="s">
        <v>154</v>
      </c>
      <c r="D15" s="290"/>
      <c r="E15" s="295">
        <v>60000</v>
      </c>
      <c r="F15" s="295">
        <v>60000</v>
      </c>
      <c r="G15" s="21">
        <v>60000</v>
      </c>
      <c r="H15" s="21">
        <v>60000</v>
      </c>
      <c r="I15" s="21">
        <v>60000</v>
      </c>
      <c r="J15" s="21">
        <v>60000</v>
      </c>
      <c r="K15" s="21">
        <v>60000</v>
      </c>
      <c r="L15" s="21">
        <v>60000</v>
      </c>
      <c r="M15" s="21">
        <v>60000</v>
      </c>
      <c r="N15" s="21">
        <v>60000</v>
      </c>
      <c r="O15" s="21">
        <v>60000</v>
      </c>
      <c r="P15" s="21">
        <v>10</v>
      </c>
      <c r="Q15" s="44">
        <f t="shared" si="0"/>
        <v>660000</v>
      </c>
    </row>
    <row r="16" spans="1:17">
      <c r="A16">
        <v>414</v>
      </c>
      <c r="B16" s="1" t="s">
        <v>173</v>
      </c>
      <c r="C16" s="1"/>
      <c r="D16" s="21">
        <v>60000</v>
      </c>
      <c r="E16" s="21">
        <v>60000</v>
      </c>
      <c r="F16" s="21">
        <v>60000</v>
      </c>
      <c r="G16" s="21">
        <v>60000</v>
      </c>
      <c r="H16" s="21">
        <v>60000</v>
      </c>
      <c r="I16" s="21">
        <v>60000</v>
      </c>
      <c r="J16" s="21">
        <v>60000</v>
      </c>
      <c r="K16" s="21">
        <v>60000</v>
      </c>
      <c r="L16" s="21">
        <v>60000</v>
      </c>
      <c r="M16" s="21">
        <v>60000</v>
      </c>
      <c r="N16" s="21">
        <v>60000</v>
      </c>
      <c r="O16" s="21">
        <v>60000</v>
      </c>
      <c r="P16" s="21">
        <v>12</v>
      </c>
      <c r="Q16" s="299">
        <f t="shared" si="0"/>
        <v>720000</v>
      </c>
    </row>
    <row r="17" spans="1:17">
      <c r="A17">
        <v>415</v>
      </c>
      <c r="B17" s="1" t="s">
        <v>171</v>
      </c>
      <c r="C17" s="1"/>
      <c r="D17" s="21">
        <v>60000</v>
      </c>
      <c r="E17" s="21">
        <v>60000</v>
      </c>
      <c r="F17" s="21">
        <v>60000</v>
      </c>
      <c r="G17" s="21">
        <v>60000</v>
      </c>
      <c r="H17" s="21">
        <v>60000</v>
      </c>
      <c r="I17" s="21">
        <v>60000</v>
      </c>
      <c r="J17" s="21">
        <v>60000</v>
      </c>
      <c r="K17" s="21">
        <v>60000</v>
      </c>
      <c r="L17" s="21">
        <v>60000</v>
      </c>
      <c r="M17" s="21">
        <v>60000</v>
      </c>
      <c r="N17" s="21">
        <v>60000</v>
      </c>
      <c r="O17" s="21">
        <v>60000</v>
      </c>
      <c r="P17" s="21">
        <v>12</v>
      </c>
      <c r="Q17" s="299">
        <f t="shared" si="0"/>
        <v>720000</v>
      </c>
    </row>
    <row r="18" spans="1:17" s="1" customFormat="1">
      <c r="A18" s="1">
        <v>416</v>
      </c>
      <c r="B18" s="1" t="s">
        <v>192</v>
      </c>
      <c r="D18" s="21">
        <v>60000</v>
      </c>
      <c r="E18" s="21">
        <v>60000</v>
      </c>
      <c r="F18" s="21">
        <v>60000</v>
      </c>
      <c r="G18" s="21">
        <v>60000</v>
      </c>
      <c r="H18" s="21">
        <v>60000</v>
      </c>
      <c r="I18" s="21">
        <v>60000</v>
      </c>
      <c r="J18" s="21">
        <v>60000</v>
      </c>
      <c r="K18" s="21">
        <v>60000</v>
      </c>
      <c r="L18" s="21">
        <v>60000</v>
      </c>
      <c r="M18" s="21">
        <v>60000</v>
      </c>
      <c r="N18" s="21">
        <v>60000</v>
      </c>
      <c r="O18" s="21">
        <v>60000</v>
      </c>
      <c r="P18" s="21">
        <v>12</v>
      </c>
      <c r="Q18" s="44">
        <f t="shared" si="0"/>
        <v>720000</v>
      </c>
    </row>
    <row r="19" spans="1:17" s="1" customFormat="1">
      <c r="A19" s="1">
        <v>417</v>
      </c>
      <c r="B19" s="1" t="s">
        <v>226</v>
      </c>
      <c r="D19" s="21">
        <v>60000</v>
      </c>
      <c r="E19" s="21">
        <v>60000</v>
      </c>
      <c r="F19" s="21">
        <v>60000</v>
      </c>
      <c r="G19" s="21">
        <v>60000</v>
      </c>
      <c r="H19" s="21">
        <v>60000</v>
      </c>
      <c r="I19" s="21">
        <v>60000</v>
      </c>
      <c r="J19" s="21">
        <v>60000</v>
      </c>
      <c r="K19" s="21">
        <v>60000</v>
      </c>
      <c r="L19" s="21">
        <v>60000</v>
      </c>
      <c r="M19" s="21">
        <v>60000</v>
      </c>
      <c r="N19" s="21">
        <v>60000</v>
      </c>
      <c r="O19" s="21">
        <v>60000</v>
      </c>
      <c r="P19" s="21">
        <v>12</v>
      </c>
      <c r="Q19" s="299">
        <f t="shared" si="0"/>
        <v>720000</v>
      </c>
    </row>
    <row r="20" spans="1:17" s="1" customFormat="1">
      <c r="B20" s="294" t="s">
        <v>224</v>
      </c>
      <c r="C20" s="294" t="s">
        <v>204</v>
      </c>
      <c r="D20" s="290"/>
      <c r="E20" s="290"/>
      <c r="F20" s="290"/>
      <c r="G20" s="294"/>
      <c r="H20" s="290">
        <v>60000</v>
      </c>
      <c r="I20" s="21">
        <v>60000</v>
      </c>
      <c r="J20" s="21">
        <v>60000</v>
      </c>
      <c r="K20" s="21">
        <v>60000</v>
      </c>
      <c r="L20" s="21">
        <v>60000</v>
      </c>
      <c r="M20" s="21">
        <v>60000</v>
      </c>
      <c r="N20" s="21">
        <v>60000</v>
      </c>
      <c r="O20" s="21">
        <v>60000</v>
      </c>
      <c r="P20" s="21">
        <v>8</v>
      </c>
      <c r="Q20" s="299">
        <f t="shared" si="0"/>
        <v>480000</v>
      </c>
    </row>
    <row r="21" spans="1:17" s="1" customFormat="1">
      <c r="B21" s="293" t="s">
        <v>225</v>
      </c>
      <c r="C21" s="294" t="s">
        <v>154</v>
      </c>
      <c r="D21" s="290"/>
      <c r="E21" s="290"/>
      <c r="F21" s="295">
        <v>60000</v>
      </c>
      <c r="G21" s="297">
        <v>60000</v>
      </c>
      <c r="H21" s="297">
        <v>60000</v>
      </c>
      <c r="I21" s="21">
        <v>60000</v>
      </c>
      <c r="J21" s="21">
        <v>60000</v>
      </c>
      <c r="K21" s="21">
        <v>60000</v>
      </c>
      <c r="L21" s="21">
        <v>60000</v>
      </c>
      <c r="M21" s="21">
        <v>60000</v>
      </c>
      <c r="N21" s="21">
        <v>60000</v>
      </c>
      <c r="O21" s="21">
        <v>60000</v>
      </c>
      <c r="P21" s="21">
        <v>10</v>
      </c>
      <c r="Q21" s="299">
        <f t="shared" si="0"/>
        <v>600000</v>
      </c>
    </row>
    <row r="22" spans="1:17" s="1" customFormat="1">
      <c r="B22" s="293" t="s">
        <v>227</v>
      </c>
      <c r="C22" s="296">
        <v>41640</v>
      </c>
      <c r="D22" s="295"/>
      <c r="E22" s="16"/>
      <c r="F22" s="16"/>
      <c r="G22" s="297">
        <v>60000</v>
      </c>
      <c r="H22" s="297">
        <v>60000</v>
      </c>
      <c r="I22" s="21">
        <v>60000</v>
      </c>
      <c r="J22" s="21">
        <v>60000</v>
      </c>
      <c r="K22" s="21">
        <v>60000</v>
      </c>
      <c r="L22" s="21">
        <v>60000</v>
      </c>
      <c r="M22" s="21">
        <v>60000</v>
      </c>
      <c r="N22" s="21">
        <v>60000</v>
      </c>
      <c r="O22" s="21">
        <v>60000</v>
      </c>
      <c r="P22" s="21">
        <v>9</v>
      </c>
      <c r="Q22" s="44">
        <f t="shared" si="0"/>
        <v>540000</v>
      </c>
    </row>
    <row r="23" spans="1:17">
      <c r="B23" s="56" t="s">
        <v>109</v>
      </c>
      <c r="C23" s="55"/>
      <c r="D23" s="125">
        <f>SUM(D3:D22)</f>
        <v>720000</v>
      </c>
      <c r="E23" s="125">
        <f t="shared" ref="E23:O23" si="1">SUM(E3:E22)</f>
        <v>780000</v>
      </c>
      <c r="F23" s="125">
        <f t="shared" si="1"/>
        <v>840000</v>
      </c>
      <c r="G23" s="125">
        <f t="shared" si="1"/>
        <v>900000</v>
      </c>
      <c r="H23" s="125">
        <f t="shared" si="1"/>
        <v>960000</v>
      </c>
      <c r="I23" s="125">
        <f t="shared" si="1"/>
        <v>960000</v>
      </c>
      <c r="J23" s="125">
        <f t="shared" si="1"/>
        <v>960000</v>
      </c>
      <c r="K23" s="125">
        <f>SUM(K4:K22)</f>
        <v>960000</v>
      </c>
      <c r="L23" s="125">
        <f t="shared" si="1"/>
        <v>960000</v>
      </c>
      <c r="M23" s="125">
        <f t="shared" si="1"/>
        <v>960000</v>
      </c>
      <c r="N23" s="125">
        <f t="shared" si="1"/>
        <v>960000</v>
      </c>
      <c r="O23" s="125">
        <f t="shared" si="1"/>
        <v>960000</v>
      </c>
      <c r="P23" s="125">
        <f t="shared" ref="P23" si="2">SUM(P3:P22)</f>
        <v>181</v>
      </c>
      <c r="Q23" s="126">
        <f>SUM(Q4:Q22)</f>
        <v>10920000</v>
      </c>
    </row>
    <row r="24" spans="1:17">
      <c r="J24" s="16"/>
      <c r="K24" s="16"/>
      <c r="L24" s="16"/>
      <c r="M24" s="16"/>
      <c r="N24" s="16"/>
      <c r="O24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R1" sqref="R1"/>
    </sheetView>
  </sheetViews>
  <sheetFormatPr defaultColWidth="8.85546875" defaultRowHeight="15"/>
  <cols>
    <col min="1" max="1" width="6.28515625" style="1" bestFit="1" customWidth="1"/>
    <col min="2" max="2" width="9" style="1" bestFit="1" customWidth="1"/>
    <col min="3" max="3" width="9.140625" style="1" customWidth="1"/>
    <col min="4" max="5" width="11.42578125" style="1" bestFit="1" customWidth="1"/>
    <col min="6" max="6" width="13.7109375" style="1" bestFit="1" customWidth="1"/>
    <col min="7" max="12" width="16" style="1" customWidth="1"/>
    <col min="13" max="16384" width="8.85546875" style="1"/>
  </cols>
  <sheetData>
    <row r="1" spans="1:13">
      <c r="A1" s="269" t="s">
        <v>205</v>
      </c>
      <c r="B1" s="269" t="s">
        <v>206</v>
      </c>
      <c r="C1" s="269" t="s">
        <v>207</v>
      </c>
      <c r="D1" s="269" t="s">
        <v>181</v>
      </c>
      <c r="E1" s="269" t="s">
        <v>182</v>
      </c>
      <c r="F1" s="269" t="s">
        <v>154</v>
      </c>
      <c r="G1" s="269" t="s">
        <v>153</v>
      </c>
      <c r="H1" s="269" t="s">
        <v>204</v>
      </c>
      <c r="I1" s="269" t="s">
        <v>174</v>
      </c>
      <c r="J1" s="269" t="s">
        <v>177</v>
      </c>
      <c r="K1" s="269" t="s">
        <v>208</v>
      </c>
      <c r="L1" s="269" t="s">
        <v>209</v>
      </c>
      <c r="M1" s="269"/>
    </row>
    <row r="2" spans="1:13">
      <c r="A2" s="269">
        <v>1</v>
      </c>
      <c r="B2" s="269" t="s">
        <v>183</v>
      </c>
      <c r="C2" s="269">
        <v>400</v>
      </c>
      <c r="D2" s="269">
        <v>60000</v>
      </c>
      <c r="E2" s="269"/>
      <c r="F2" s="269"/>
      <c r="G2" s="269"/>
      <c r="H2" s="269"/>
      <c r="I2" s="269"/>
      <c r="J2" s="269"/>
      <c r="K2" s="269"/>
      <c r="L2" s="269"/>
      <c r="M2" s="269">
        <v>12</v>
      </c>
    </row>
    <row r="3" spans="1:13">
      <c r="A3" s="269">
        <v>2</v>
      </c>
      <c r="B3" s="269" t="s">
        <v>184</v>
      </c>
      <c r="C3" s="269">
        <v>401</v>
      </c>
      <c r="D3" s="269">
        <v>60000</v>
      </c>
      <c r="E3" s="269"/>
      <c r="F3" s="269"/>
      <c r="G3" s="269"/>
      <c r="H3" s="269"/>
      <c r="I3" s="269"/>
      <c r="J3" s="269"/>
      <c r="K3" s="269"/>
      <c r="L3" s="269"/>
      <c r="M3" s="269">
        <v>8</v>
      </c>
    </row>
    <row r="4" spans="1:13">
      <c r="A4" s="269">
        <v>3</v>
      </c>
      <c r="B4" s="269" t="s">
        <v>185</v>
      </c>
      <c r="C4" s="269">
        <v>402</v>
      </c>
      <c r="D4" s="269">
        <v>60000</v>
      </c>
      <c r="E4" s="269"/>
      <c r="F4" s="269"/>
      <c r="G4" s="269"/>
      <c r="H4" s="269"/>
      <c r="I4" s="269"/>
      <c r="J4" s="269"/>
      <c r="K4" s="269"/>
      <c r="L4" s="269"/>
      <c r="M4" s="269">
        <v>12</v>
      </c>
    </row>
    <row r="5" spans="1:13">
      <c r="A5" s="269">
        <v>4</v>
      </c>
      <c r="B5" s="269" t="s">
        <v>186</v>
      </c>
      <c r="C5" s="269">
        <v>403</v>
      </c>
      <c r="D5" s="269">
        <v>60000</v>
      </c>
      <c r="E5" s="269"/>
      <c r="F5" s="269"/>
      <c r="G5" s="269"/>
      <c r="H5" s="269"/>
      <c r="I5" s="269"/>
      <c r="J5" s="269"/>
      <c r="K5" s="269"/>
      <c r="L5" s="269"/>
      <c r="M5" s="269">
        <v>12</v>
      </c>
    </row>
    <row r="6" spans="1:13">
      <c r="A6" s="269">
        <v>5</v>
      </c>
      <c r="B6" s="269" t="s">
        <v>187</v>
      </c>
      <c r="C6" s="269">
        <v>404</v>
      </c>
      <c r="D6" s="269"/>
      <c r="E6" s="269"/>
      <c r="F6" s="269"/>
      <c r="G6" s="269"/>
      <c r="H6" s="269"/>
      <c r="I6" s="269"/>
      <c r="J6" s="269"/>
      <c r="K6" s="269"/>
      <c r="L6" s="269"/>
      <c r="M6" s="269">
        <v>12</v>
      </c>
    </row>
    <row r="7" spans="1:13">
      <c r="A7" s="269">
        <v>6</v>
      </c>
      <c r="B7" s="269" t="s">
        <v>188</v>
      </c>
      <c r="C7" s="269">
        <v>405</v>
      </c>
      <c r="D7" s="269">
        <v>60000</v>
      </c>
      <c r="E7" s="269"/>
      <c r="F7" s="269"/>
      <c r="G7" s="269"/>
      <c r="H7" s="269"/>
      <c r="I7" s="269"/>
      <c r="J7" s="269"/>
      <c r="K7" s="269"/>
      <c r="L7" s="269"/>
      <c r="M7" s="269">
        <v>12</v>
      </c>
    </row>
    <row r="8" spans="1:13">
      <c r="A8" s="269">
        <v>7</v>
      </c>
      <c r="B8" s="269" t="s">
        <v>189</v>
      </c>
      <c r="C8" s="269">
        <v>406</v>
      </c>
      <c r="D8" s="269">
        <v>60000</v>
      </c>
      <c r="E8" s="269"/>
      <c r="F8" s="269"/>
      <c r="G8" s="269"/>
      <c r="H8" s="269"/>
      <c r="I8" s="269"/>
      <c r="J8" s="269"/>
      <c r="K8" s="269"/>
      <c r="L8" s="269"/>
      <c r="M8" s="269">
        <v>12</v>
      </c>
    </row>
    <row r="9" spans="1:13">
      <c r="A9" s="269">
        <v>8</v>
      </c>
      <c r="B9" s="269" t="s">
        <v>190</v>
      </c>
      <c r="C9" s="269">
        <v>407</v>
      </c>
      <c r="D9" s="269">
        <v>60000</v>
      </c>
      <c r="E9" s="269"/>
      <c r="F9" s="269"/>
      <c r="G9" s="269"/>
      <c r="H9" s="269"/>
      <c r="I9" s="269"/>
      <c r="J9" s="269"/>
      <c r="K9" s="269"/>
      <c r="L9" s="269"/>
      <c r="M9" s="269">
        <v>12</v>
      </c>
    </row>
    <row r="10" spans="1:13">
      <c r="A10" s="269"/>
      <c r="B10" s="269" t="s">
        <v>155</v>
      </c>
      <c r="C10" s="269">
        <v>408</v>
      </c>
      <c r="D10" s="269"/>
      <c r="E10" s="269"/>
      <c r="F10" s="269"/>
      <c r="G10" s="269"/>
      <c r="H10" s="269"/>
      <c r="I10" s="269"/>
      <c r="J10" s="269"/>
      <c r="K10" s="269"/>
      <c r="L10" s="269"/>
      <c r="M10" s="269"/>
    </row>
    <row r="11" spans="1:13">
      <c r="A11" s="269">
        <v>9</v>
      </c>
      <c r="B11" s="269" t="s">
        <v>191</v>
      </c>
      <c r="C11" s="269">
        <v>409</v>
      </c>
      <c r="D11" s="269">
        <v>60000</v>
      </c>
      <c r="E11" s="269"/>
      <c r="F11" s="269"/>
      <c r="G11" s="269"/>
      <c r="H11" s="269"/>
      <c r="I11" s="269"/>
      <c r="J11" s="269"/>
      <c r="K11" s="269"/>
      <c r="L11" s="269"/>
      <c r="M11" s="269">
        <v>12</v>
      </c>
    </row>
    <row r="12" spans="1:13">
      <c r="A12" s="269">
        <v>10</v>
      </c>
      <c r="B12" s="269" t="s">
        <v>175</v>
      </c>
      <c r="C12" s="269">
        <v>410</v>
      </c>
      <c r="D12" s="269">
        <v>60000</v>
      </c>
      <c r="E12" s="269"/>
      <c r="F12" s="269"/>
      <c r="G12" s="269"/>
      <c r="H12" s="269"/>
      <c r="I12" s="269"/>
      <c r="J12" s="269"/>
      <c r="K12" s="269"/>
      <c r="L12" s="269"/>
      <c r="M12" s="269">
        <v>12</v>
      </c>
    </row>
    <row r="13" spans="1:13">
      <c r="A13" s="269">
        <v>11</v>
      </c>
      <c r="B13" s="269" t="s">
        <v>176</v>
      </c>
      <c r="C13" s="269">
        <v>411</v>
      </c>
      <c r="D13" s="269">
        <v>60000</v>
      </c>
      <c r="E13" s="269"/>
      <c r="F13" s="269"/>
      <c r="G13" s="269"/>
      <c r="H13" s="269"/>
      <c r="I13" s="269"/>
      <c r="J13" s="269"/>
      <c r="K13" s="269"/>
      <c r="L13" s="269"/>
      <c r="M13" s="269">
        <v>12</v>
      </c>
    </row>
    <row r="14" spans="1:13">
      <c r="A14" s="269">
        <v>12</v>
      </c>
      <c r="B14" s="269" t="s">
        <v>178</v>
      </c>
      <c r="C14" s="269">
        <v>412</v>
      </c>
      <c r="D14" s="269"/>
      <c r="E14" s="269"/>
      <c r="F14" s="269"/>
      <c r="G14" s="269"/>
      <c r="H14" s="269"/>
      <c r="I14" s="269">
        <v>60000</v>
      </c>
      <c r="J14" s="269"/>
      <c r="K14" s="269"/>
      <c r="L14" s="269"/>
      <c r="M14" s="269">
        <v>7</v>
      </c>
    </row>
    <row r="15" spans="1:13">
      <c r="A15" s="269">
        <v>13</v>
      </c>
      <c r="B15" s="269" t="s">
        <v>173</v>
      </c>
      <c r="C15" s="269">
        <v>414</v>
      </c>
      <c r="D15" s="269">
        <v>60000</v>
      </c>
      <c r="E15" s="269"/>
      <c r="F15" s="269"/>
      <c r="G15" s="269"/>
      <c r="H15" s="269"/>
      <c r="I15" s="269"/>
      <c r="J15" s="269"/>
      <c r="K15" s="269"/>
      <c r="L15" s="269"/>
      <c r="M15" s="269">
        <v>12</v>
      </c>
    </row>
    <row r="16" spans="1:13">
      <c r="A16" s="269">
        <v>14</v>
      </c>
      <c r="B16" s="269" t="s">
        <v>171</v>
      </c>
      <c r="C16" s="269">
        <v>415</v>
      </c>
      <c r="D16" s="269">
        <v>60000</v>
      </c>
      <c r="E16" s="269"/>
      <c r="F16" s="269"/>
      <c r="G16" s="269"/>
      <c r="H16" s="269"/>
      <c r="I16" s="269"/>
      <c r="J16" s="269"/>
      <c r="K16" s="269"/>
      <c r="L16" s="269"/>
      <c r="M16" s="269">
        <v>12</v>
      </c>
    </row>
    <row r="17" spans="1:13">
      <c r="A17" s="269">
        <v>15</v>
      </c>
      <c r="B17" s="269" t="s">
        <v>192</v>
      </c>
      <c r="C17" s="269">
        <v>416</v>
      </c>
      <c r="D17" s="269">
        <v>60000</v>
      </c>
      <c r="E17" s="269"/>
      <c r="F17" s="269"/>
      <c r="G17" s="269"/>
      <c r="H17" s="269"/>
      <c r="I17" s="269"/>
      <c r="J17" s="269"/>
      <c r="K17" s="269"/>
      <c r="L17" s="269"/>
      <c r="M17" s="269">
        <v>12</v>
      </c>
    </row>
    <row r="18" spans="1:13">
      <c r="A18" s="269">
        <v>16</v>
      </c>
      <c r="B18" s="289" t="s">
        <v>193</v>
      </c>
      <c r="C18" s="269" t="s">
        <v>193</v>
      </c>
      <c r="D18" s="269"/>
      <c r="E18" s="269"/>
      <c r="F18" s="269"/>
      <c r="G18" s="269"/>
      <c r="H18" s="269"/>
      <c r="I18" s="289">
        <v>60000</v>
      </c>
      <c r="J18" s="269"/>
      <c r="K18" s="269"/>
      <c r="L18" s="269"/>
      <c r="M18" s="269">
        <v>7</v>
      </c>
    </row>
    <row r="19" spans="1:13">
      <c r="A19" s="269">
        <v>17</v>
      </c>
      <c r="B19" s="289" t="s">
        <v>194</v>
      </c>
      <c r="C19" s="269" t="s">
        <v>195</v>
      </c>
      <c r="D19" s="269"/>
      <c r="E19" s="269"/>
      <c r="F19" s="269"/>
      <c r="G19" s="269"/>
      <c r="H19" s="269"/>
      <c r="I19" s="289">
        <v>60000</v>
      </c>
      <c r="J19" s="269"/>
      <c r="K19" s="269"/>
      <c r="L19" s="269"/>
      <c r="M19" s="269">
        <v>9</v>
      </c>
    </row>
    <row r="20" spans="1:13">
      <c r="A20" s="269">
        <v>18</v>
      </c>
      <c r="B20" s="289" t="s">
        <v>196</v>
      </c>
      <c r="C20" s="269" t="s">
        <v>196</v>
      </c>
      <c r="D20" s="269"/>
      <c r="E20" s="269"/>
      <c r="F20" s="288">
        <v>60000</v>
      </c>
      <c r="G20" s="269">
        <v>60000</v>
      </c>
      <c r="H20" s="269"/>
      <c r="I20" s="269"/>
      <c r="J20" s="269"/>
      <c r="K20" s="269"/>
      <c r="L20" s="269"/>
      <c r="M20" s="269">
        <v>9</v>
      </c>
    </row>
    <row r="21" spans="1:13">
      <c r="A21" s="269">
        <v>19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</row>
    <row r="22" spans="1:13">
      <c r="A22" s="269"/>
      <c r="B22" s="269"/>
      <c r="C22" s="269"/>
      <c r="D22" s="270">
        <f>SUM(D2:D21)</f>
        <v>780000</v>
      </c>
      <c r="E22" s="270">
        <f>SUM(E2:E21)</f>
        <v>0</v>
      </c>
      <c r="F22" s="270">
        <f>SUM(F2:F21)</f>
        <v>60000</v>
      </c>
      <c r="G22" s="269">
        <f>SUM(G19:G21)</f>
        <v>60000</v>
      </c>
      <c r="H22" s="269"/>
      <c r="I22" s="269">
        <f>SUM(I14:I21)</f>
        <v>180000</v>
      </c>
      <c r="J22" s="269"/>
      <c r="K22" s="269"/>
      <c r="L22" s="269"/>
      <c r="M22" s="269">
        <f>SUM(M2:M21)</f>
        <v>196</v>
      </c>
    </row>
    <row r="23" spans="1:13">
      <c r="A23" s="269"/>
      <c r="B23" s="269"/>
      <c r="C23" s="269"/>
      <c r="D23" s="269"/>
      <c r="E23" s="271"/>
      <c r="F23" s="271">
        <f>F22+E23</f>
        <v>60000</v>
      </c>
      <c r="G23" s="269"/>
      <c r="H23" s="269"/>
      <c r="I23" s="269"/>
      <c r="J23" s="269"/>
      <c r="K23" s="269"/>
      <c r="L23" s="269"/>
      <c r="M23" s="269"/>
    </row>
    <row r="24" spans="1:13">
      <c r="A24" s="269"/>
      <c r="B24" s="269"/>
      <c r="C24" s="269"/>
      <c r="D24" s="271">
        <f>D22</f>
        <v>780000</v>
      </c>
      <c r="E24" s="271">
        <f>E23</f>
        <v>0</v>
      </c>
      <c r="F24" s="271">
        <f>F23*10</f>
        <v>600000</v>
      </c>
      <c r="G24" s="271">
        <f>SUM(D24:F24)+G22</f>
        <v>1440000</v>
      </c>
      <c r="H24" s="271"/>
      <c r="I24" s="271">
        <f>D24+G22+I22</f>
        <v>1020000</v>
      </c>
      <c r="J24" s="271"/>
      <c r="K24" s="271"/>
      <c r="L24" s="271">
        <f>I24-I14</f>
        <v>960000</v>
      </c>
      <c r="M24" s="2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1" sqref="R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6"/>
  <sheetViews>
    <sheetView topLeftCell="AJ1" workbookViewId="0">
      <selection activeCell="AT20" sqref="AT20"/>
    </sheetView>
  </sheetViews>
  <sheetFormatPr defaultRowHeight="15"/>
  <cols>
    <col min="1" max="1" width="0" hidden="1" customWidth="1"/>
    <col min="2" max="2" width="32.85546875" hidden="1" customWidth="1"/>
    <col min="3" max="3" width="13.28515625" hidden="1" customWidth="1"/>
    <col min="4" max="4" width="1.28515625" hidden="1" customWidth="1"/>
    <col min="5" max="5" width="13.28515625" hidden="1" customWidth="1"/>
    <col min="6" max="6" width="1.140625" hidden="1" customWidth="1"/>
    <col min="7" max="7" width="13.28515625" hidden="1" customWidth="1"/>
    <col min="8" max="8" width="0.5703125" hidden="1" customWidth="1"/>
    <col min="9" max="9" width="13.28515625" hidden="1" customWidth="1"/>
    <col min="10" max="10" width="1.28515625" hidden="1" customWidth="1"/>
    <col min="11" max="11" width="13.28515625" hidden="1" customWidth="1"/>
    <col min="12" max="12" width="0.28515625" hidden="1" customWidth="1"/>
    <col min="13" max="13" width="13.28515625" hidden="1" customWidth="1"/>
    <col min="14" max="14" width="0.85546875" hidden="1" customWidth="1"/>
    <col min="15" max="15" width="13.28515625" hidden="1" customWidth="1"/>
    <col min="16" max="16" width="0.7109375" hidden="1" customWidth="1"/>
    <col min="17" max="17" width="13.28515625" hidden="1" customWidth="1"/>
    <col min="18" max="18" width="0.7109375" hidden="1" customWidth="1"/>
    <col min="19" max="19" width="13.28515625" hidden="1" customWidth="1"/>
    <col min="20" max="20" width="0.85546875" hidden="1" customWidth="1"/>
    <col min="21" max="21" width="11.5703125" hidden="1" customWidth="1"/>
    <col min="22" max="22" width="1.5703125" hidden="1" customWidth="1"/>
    <col min="23" max="23" width="13.28515625" hidden="1" customWidth="1"/>
    <col min="24" max="24" width="1.28515625" hidden="1" customWidth="1"/>
    <col min="25" max="25" width="13.28515625" hidden="1" customWidth="1"/>
    <col min="26" max="26" width="0.5703125" hidden="1" customWidth="1"/>
    <col min="27" max="27" width="14.28515625" hidden="1" customWidth="1"/>
    <col min="28" max="35" width="0" hidden="1" customWidth="1"/>
  </cols>
  <sheetData>
    <row r="1" spans="1:28" s="1" customFormat="1">
      <c r="B1" s="1" t="s">
        <v>108</v>
      </c>
      <c r="C1" s="334" t="s">
        <v>64</v>
      </c>
      <c r="D1" s="336"/>
      <c r="E1" s="337" t="s">
        <v>65</v>
      </c>
      <c r="F1" s="337"/>
      <c r="G1" s="334" t="s">
        <v>81</v>
      </c>
      <c r="H1" s="336"/>
      <c r="I1" s="334" t="s">
        <v>82</v>
      </c>
      <c r="J1" s="336"/>
      <c r="K1" s="334" t="s">
        <v>83</v>
      </c>
      <c r="L1" s="336"/>
      <c r="M1" s="334" t="s">
        <v>84</v>
      </c>
      <c r="N1" s="335"/>
      <c r="O1" s="334" t="s">
        <v>85</v>
      </c>
      <c r="P1" s="336"/>
      <c r="Q1" s="334" t="s">
        <v>86</v>
      </c>
      <c r="R1" s="336"/>
      <c r="S1" s="337" t="s">
        <v>87</v>
      </c>
      <c r="T1" s="337"/>
      <c r="U1" s="334" t="s">
        <v>112</v>
      </c>
      <c r="V1" s="336"/>
      <c r="W1" s="334" t="s">
        <v>113</v>
      </c>
      <c r="X1" s="336"/>
      <c r="Y1" s="337" t="s">
        <v>114</v>
      </c>
      <c r="Z1" s="337"/>
      <c r="AA1" s="338" t="s">
        <v>109</v>
      </c>
      <c r="AB1" s="338"/>
    </row>
    <row r="2" spans="1:28" s="1" customFormat="1" ht="15.75" thickBot="1">
      <c r="A2" s="25">
        <v>5199</v>
      </c>
      <c r="B2" s="25" t="s">
        <v>71</v>
      </c>
      <c r="C2" s="44">
        <f>HO!C16</f>
        <v>0</v>
      </c>
      <c r="E2" s="44">
        <f>HO!E16</f>
        <v>0</v>
      </c>
      <c r="G2" s="44">
        <f>HO!G16</f>
        <v>0</v>
      </c>
      <c r="I2" s="44">
        <f>HO!I16</f>
        <v>0</v>
      </c>
      <c r="K2" s="44">
        <f>HO!K16</f>
        <v>0</v>
      </c>
      <c r="M2" s="44">
        <f>HO!M16</f>
        <v>0</v>
      </c>
      <c r="O2" s="44">
        <f>HO!O16</f>
        <v>0</v>
      </c>
      <c r="Q2" s="44">
        <f>HO!Q16</f>
        <v>0</v>
      </c>
      <c r="S2" s="44">
        <f>HO!S16</f>
        <v>0</v>
      </c>
      <c r="U2" s="44">
        <f>HO!U16</f>
        <v>0</v>
      </c>
      <c r="W2" s="44">
        <f>HO!W16</f>
        <v>0</v>
      </c>
      <c r="Y2" s="44">
        <f>HO!Y16</f>
        <v>0</v>
      </c>
      <c r="AA2" s="44">
        <f>C2+E2+G2+I2+K2+M2+O2+Q2+S2+U2+W2+Y2</f>
        <v>0</v>
      </c>
    </row>
    <row r="3" spans="1:28" s="1" customFormat="1" ht="15.75" thickTop="1">
      <c r="A3" s="324">
        <v>5999</v>
      </c>
      <c r="B3" s="325" t="s">
        <v>100</v>
      </c>
      <c r="C3" s="44">
        <f>HO!C36</f>
        <v>0</v>
      </c>
      <c r="E3" s="44">
        <f>HO!E36</f>
        <v>0</v>
      </c>
      <c r="G3" s="44">
        <f>HO!G36</f>
        <v>0</v>
      </c>
      <c r="H3" s="124"/>
      <c r="I3" s="44">
        <f>HO!I36</f>
        <v>0</v>
      </c>
      <c r="J3" s="124"/>
      <c r="K3" s="44">
        <f>HO!K36</f>
        <v>0</v>
      </c>
      <c r="M3" s="44">
        <f>HO!M36</f>
        <v>0</v>
      </c>
      <c r="O3" s="44">
        <f>HO!O36</f>
        <v>0</v>
      </c>
      <c r="Q3" s="44">
        <f>HO!Q36</f>
        <v>0</v>
      </c>
      <c r="S3" s="44">
        <f>HO!S36</f>
        <v>0</v>
      </c>
      <c r="U3" s="44">
        <f>HO!U36</f>
        <v>0</v>
      </c>
      <c r="W3" s="44">
        <f>HO!W36</f>
        <v>0</v>
      </c>
      <c r="Y3" s="44">
        <f>HO!Y36</f>
        <v>0</v>
      </c>
      <c r="AA3" s="44">
        <f t="shared" ref="AA3:AA7" si="0">C3+E3+G3+I3+K3+M3+O3+Q3+S3+U3+W3+Y3</f>
        <v>0</v>
      </c>
    </row>
    <row r="4" spans="1:28" s="1" customFormat="1">
      <c r="A4" s="26">
        <v>6799</v>
      </c>
      <c r="B4" s="26" t="s">
        <v>117</v>
      </c>
      <c r="C4" s="44">
        <f>HO!C145-HO!C142+HO!C148</f>
        <v>600151.59780365299</v>
      </c>
      <c r="E4" s="44">
        <f>HO!E145-HO!E142+HO!E148</f>
        <v>600151.59780365299</v>
      </c>
      <c r="G4" s="44">
        <f>HO!G145-HO!G142+HO!G148</f>
        <v>600151.59780365299</v>
      </c>
      <c r="H4" s="124"/>
      <c r="I4" s="44">
        <f>HO!I145-HO!I142+HO!I148</f>
        <v>600151.59780365299</v>
      </c>
      <c r="J4" s="124"/>
      <c r="K4" s="44">
        <f>HO!K145-HO!K142+HO!K148</f>
        <v>600151.59780365299</v>
      </c>
      <c r="M4" s="44">
        <f>HO!M145-HO!M142+HO!M148</f>
        <v>603436.59780365299</v>
      </c>
      <c r="N4" s="44">
        <f>HO!N145-HO!N142</f>
        <v>-55.304226900802959</v>
      </c>
      <c r="O4" s="44">
        <f>HO!O145-HO!O142+HO!O148</f>
        <v>605451.59780365299</v>
      </c>
      <c r="Q4" s="44">
        <f>HO!Q145-HO!Q142+HO!Q148</f>
        <v>600151.59780365299</v>
      </c>
      <c r="S4" s="44">
        <f>HO!S145-HO!S142+HO!S148</f>
        <v>600151.60780365299</v>
      </c>
      <c r="U4" s="44">
        <f>HO!U145-HO!U142+HO!U148</f>
        <v>600151.59780365299</v>
      </c>
      <c r="W4" s="44">
        <f>HO!W145-HO!W142+HO!W148</f>
        <v>600151.59780365299</v>
      </c>
      <c r="Y4" s="44">
        <f>HO!Y145-HO!Y142+HO!Y148</f>
        <v>614951.59780365299</v>
      </c>
      <c r="AA4" s="44">
        <f t="shared" si="0"/>
        <v>7225204.1836438375</v>
      </c>
    </row>
    <row r="5" spans="1:28" s="1" customFormat="1" ht="15.75" thickBot="1">
      <c r="B5" s="93" t="s">
        <v>148</v>
      </c>
      <c r="C5" s="44">
        <f>HO!C152+HO!C142</f>
        <v>-600151.59780365299</v>
      </c>
      <c r="E5" s="44">
        <f>HO!E152+HO!E142</f>
        <v>-600151.59780365299</v>
      </c>
      <c r="G5" s="44">
        <f>HO!G152+HO!G142</f>
        <v>-600151.59780365299</v>
      </c>
      <c r="I5" s="44">
        <f>HO!I152+HO!I142</f>
        <v>-600151.59780365299</v>
      </c>
      <c r="K5" s="44">
        <f>HO!K152+HO!K142</f>
        <v>-600151.59780365299</v>
      </c>
      <c r="M5" s="44">
        <f>HO!M152+HO!M142</f>
        <v>-603436.59780365299</v>
      </c>
      <c r="O5" s="44">
        <f>HO!O152+HO!O142</f>
        <v>-605451.59780365299</v>
      </c>
      <c r="Q5" s="44">
        <f>HO!Q152+HO!Q142</f>
        <v>-600151.59780365299</v>
      </c>
      <c r="S5" s="44">
        <f>HO!S152+HO!S142</f>
        <v>-600151.60780365299</v>
      </c>
      <c r="U5" s="44">
        <f>HO!U152+HO!U142</f>
        <v>-600151.59780365299</v>
      </c>
      <c r="W5" s="44">
        <f>HO!W152+HO!W142</f>
        <v>-600151.59780365299</v>
      </c>
      <c r="Y5" s="44">
        <f>HO!Y152+HO!Y142</f>
        <v>-614951.59780365299</v>
      </c>
      <c r="AA5" s="44">
        <f t="shared" si="0"/>
        <v>-7225204.1836438375</v>
      </c>
    </row>
    <row r="6" spans="1:28" s="1" customFormat="1" ht="15.75" thickTop="1">
      <c r="A6" s="26">
        <v>6798</v>
      </c>
      <c r="B6" s="26" t="s">
        <v>147</v>
      </c>
      <c r="C6" s="44">
        <f>HO!C144-HO!C142</f>
        <v>21608.140000000014</v>
      </c>
      <c r="E6" s="44">
        <f>HO!E144-HO!E142</f>
        <v>21608.140000000014</v>
      </c>
      <c r="G6" s="44">
        <f>HO!G144-HO!G142</f>
        <v>21608.140000000014</v>
      </c>
      <c r="H6" s="124"/>
      <c r="I6" s="44">
        <f>HO!I144-HO!I142</f>
        <v>21608.140000000014</v>
      </c>
      <c r="J6" s="124"/>
      <c r="K6" s="44">
        <f>HO!K144-HO!K142</f>
        <v>21608.140000000014</v>
      </c>
      <c r="M6" s="44">
        <f>HO!M144-HO!M142</f>
        <v>21608.140000000014</v>
      </c>
      <c r="O6" s="44">
        <f>HO!O144-HO!O142</f>
        <v>21608.140000000014</v>
      </c>
      <c r="Q6" s="44">
        <f>HO!Q144-HO!Q142</f>
        <v>21608.140000000014</v>
      </c>
      <c r="S6" s="44">
        <f>HO!S144-HO!S142</f>
        <v>21608.150000000023</v>
      </c>
      <c r="U6" s="44">
        <f>HO!U144-HO!U142</f>
        <v>21608.140000000014</v>
      </c>
      <c r="W6" s="44">
        <f>HO!W144-HO!W142</f>
        <v>21608.140000000014</v>
      </c>
      <c r="Y6" s="44">
        <f>HO!Y144-HO!Y142</f>
        <v>21608.140000000014</v>
      </c>
      <c r="AA6" s="44">
        <f t="shared" si="0"/>
        <v>259297.69000000018</v>
      </c>
    </row>
    <row r="7" spans="1:28" s="1" customFormat="1" ht="15.75" thickBot="1">
      <c r="A7" s="4">
        <v>6299</v>
      </c>
      <c r="B7" s="4" t="s">
        <v>102</v>
      </c>
      <c r="C7" s="44">
        <f>HO!C93</f>
        <v>335195.45780365291</v>
      </c>
      <c r="E7" s="44">
        <f>HO!E93</f>
        <v>335195.45780365291</v>
      </c>
      <c r="G7" s="44">
        <f>HO!G93</f>
        <v>335195.45780365291</v>
      </c>
      <c r="I7" s="44">
        <f>HO!I93</f>
        <v>335195.45780365291</v>
      </c>
      <c r="K7" s="44">
        <f>HO!K93</f>
        <v>335195.45780365291</v>
      </c>
      <c r="M7" s="44">
        <f>HO!M93</f>
        <v>335195.45780365291</v>
      </c>
      <c r="O7" s="44">
        <f>HO!O93</f>
        <v>335195.45780365291</v>
      </c>
      <c r="Q7" s="44">
        <f>HO!Q93</f>
        <v>335195.45780365291</v>
      </c>
      <c r="S7" s="44">
        <f>HO!S93</f>
        <v>335195.45780365291</v>
      </c>
      <c r="U7" s="44">
        <f>HO!U93</f>
        <v>335195.45780365291</v>
      </c>
      <c r="W7" s="44">
        <f>HO!W93</f>
        <v>335195.45780365291</v>
      </c>
      <c r="Y7" s="44">
        <f>HO!Y93</f>
        <v>335195.45780365291</v>
      </c>
      <c r="AA7" s="44">
        <f t="shared" si="0"/>
        <v>4022345.4936438357</v>
      </c>
    </row>
    <row r="8" spans="1:28" ht="15.75" thickTop="1"/>
    <row r="9" spans="1:28" s="1" customFormat="1">
      <c r="B9" s="1">
        <v>412</v>
      </c>
      <c r="C9" s="334" t="s">
        <v>64</v>
      </c>
      <c r="D9" s="336"/>
      <c r="E9" s="337" t="s">
        <v>65</v>
      </c>
      <c r="F9" s="337"/>
      <c r="G9" s="334" t="s">
        <v>81</v>
      </c>
      <c r="H9" s="336"/>
      <c r="I9" s="334" t="s">
        <v>82</v>
      </c>
      <c r="J9" s="336"/>
      <c r="K9" s="334" t="s">
        <v>83</v>
      </c>
      <c r="L9" s="336"/>
      <c r="M9" s="334" t="s">
        <v>84</v>
      </c>
      <c r="N9" s="335"/>
      <c r="O9" s="334" t="s">
        <v>85</v>
      </c>
      <c r="P9" s="336"/>
      <c r="Q9" s="334" t="s">
        <v>86</v>
      </c>
      <c r="R9" s="336"/>
      <c r="S9" s="337" t="s">
        <v>87</v>
      </c>
      <c r="T9" s="337"/>
      <c r="U9" s="334" t="s">
        <v>112</v>
      </c>
      <c r="V9" s="336"/>
      <c r="W9" s="334" t="s">
        <v>113</v>
      </c>
      <c r="X9" s="336"/>
      <c r="Y9" s="337" t="s">
        <v>114</v>
      </c>
      <c r="Z9" s="337"/>
      <c r="AA9" s="338" t="s">
        <v>109</v>
      </c>
      <c r="AB9" s="338"/>
    </row>
    <row r="10" spans="1:28" s="1" customFormat="1" ht="15.75" thickBot="1">
      <c r="A10" s="25">
        <v>5199</v>
      </c>
      <c r="B10" s="25" t="s">
        <v>71</v>
      </c>
      <c r="C10" s="44">
        <f>'Gulf Mall'!C16</f>
        <v>2160201.5441160342</v>
      </c>
      <c r="E10" s="44">
        <f>'Gulf Mall'!E16</f>
        <v>1680639.9634250789</v>
      </c>
      <c r="G10" s="44">
        <f>'Gulf Mall'!G16</f>
        <v>2787807.9161524619</v>
      </c>
      <c r="I10" s="44">
        <f>'Gulf Mall'!I16</f>
        <v>2461618.4249517303</v>
      </c>
      <c r="K10" s="44">
        <f>'Gulf Mall'!K16</f>
        <v>2251400.7985499576</v>
      </c>
      <c r="M10" s="44">
        <f>'Gulf Mall'!M16</f>
        <v>3192455.1512022903</v>
      </c>
      <c r="O10" s="44">
        <f>'Gulf Mall'!O16</f>
        <v>2021176.9506798009</v>
      </c>
      <c r="Q10" s="44">
        <f>'Gulf Mall'!Q16</f>
        <v>2509774.324365017</v>
      </c>
      <c r="S10" s="44">
        <f>'Gulf Mall'!S16</f>
        <v>2528294.6412565736</v>
      </c>
      <c r="U10" s="44">
        <f>'Gulf Mall'!U16</f>
        <v>2005459.8173527401</v>
      </c>
      <c r="W10" s="44">
        <f>'Gulf Mall'!W16</f>
        <v>2040438.103557033</v>
      </c>
      <c r="Y10" s="44">
        <f>'Gulf Mall'!Y16</f>
        <v>3082415.3308377075</v>
      </c>
      <c r="AA10" s="44">
        <f>C10+E10+G10+I10+K10+M10+O10+Q10+S10+U10+W10+Y10</f>
        <v>28721682.966446422</v>
      </c>
    </row>
    <row r="11" spans="1:28" s="1" customFormat="1" ht="15.75" thickTop="1">
      <c r="A11" s="324">
        <v>5999</v>
      </c>
      <c r="B11" s="325" t="s">
        <v>100</v>
      </c>
      <c r="C11" s="44">
        <f>'Gulf Mall'!C36</f>
        <v>1036830.7210212847</v>
      </c>
      <c r="E11" s="44">
        <f>'Gulf Mall'!E36</f>
        <v>710556.51253978082</v>
      </c>
      <c r="G11" s="44">
        <f>'Gulf Mall'!G36</f>
        <v>1263584.5476002959</v>
      </c>
      <c r="H11" s="124"/>
      <c r="I11" s="44">
        <f>'Gulf Mall'!I36</f>
        <v>1046091.6602639902</v>
      </c>
      <c r="J11" s="124"/>
      <c r="K11" s="44">
        <f>'Gulf Mall'!K36</f>
        <v>886526.49438911828</v>
      </c>
      <c r="M11" s="44">
        <f>'Gulf Mall'!M36</f>
        <v>1587119.4606336583</v>
      </c>
      <c r="O11" s="44">
        <f>'Gulf Mall'!O36</f>
        <v>911296.56936645438</v>
      </c>
      <c r="Q11" s="44">
        <f>'Gulf Mall'!Q36</f>
        <v>1113234.912855885</v>
      </c>
      <c r="S11" s="44">
        <f>'Gulf Mall'!S36</f>
        <v>1143697.6662403482</v>
      </c>
      <c r="U11" s="44">
        <f>'Gulf Mall'!U36</f>
        <v>871923.38260323624</v>
      </c>
      <c r="W11" s="44">
        <f>'Gulf Mall'!W36</f>
        <v>862235.09875284648</v>
      </c>
      <c r="Y11" s="44">
        <f>'Gulf Mall'!Y36</f>
        <v>1479709.3588020997</v>
      </c>
      <c r="AA11" s="44">
        <f t="shared" ref="AA11:AA15" si="1">C11+E11+G11+I11+K11+M11+O11+Q11+S11+U11+W11+Y11</f>
        <v>12912806.385068998</v>
      </c>
    </row>
    <row r="12" spans="1:28" s="1" customFormat="1">
      <c r="A12" s="26">
        <v>6799</v>
      </c>
      <c r="B12" s="26" t="s">
        <v>117</v>
      </c>
      <c r="C12" s="44">
        <f>'Gulf Mall'!C145-'Gulf Mall'!C142</f>
        <v>593279.3187368256</v>
      </c>
      <c r="E12" s="44">
        <f>'Gulf Mall'!E145-'Gulf Mall'!E142</f>
        <v>658447.23417665204</v>
      </c>
      <c r="G12" s="44">
        <f>'Gulf Mall'!G145-'Gulf Mall'!G142</f>
        <v>653795.37931129686</v>
      </c>
      <c r="H12" s="124"/>
      <c r="I12" s="44">
        <f>'Gulf Mall'!I145-'Gulf Mall'!I142</f>
        <v>665963.92059047706</v>
      </c>
      <c r="J12" s="124"/>
      <c r="K12" s="44">
        <f>'Gulf Mall'!K145-'Gulf Mall'!K142</f>
        <v>717891.38098208257</v>
      </c>
      <c r="M12" s="44">
        <f>'Gulf Mall'!M145-'Gulf Mall'!M142</f>
        <v>600836.95688845497</v>
      </c>
      <c r="N12" s="83"/>
      <c r="O12" s="44">
        <f>'Gulf Mall'!O145-'Gulf Mall'!O142</f>
        <v>637194.6383758625</v>
      </c>
      <c r="Q12" s="44">
        <f>'Gulf Mall'!Q145-'Gulf Mall'!Q142</f>
        <v>675242.45194497146</v>
      </c>
      <c r="S12" s="44">
        <f>'Gulf Mall'!S145-'Gulf Mall'!S142</f>
        <v>652893.61401877739</v>
      </c>
      <c r="U12" s="44">
        <f>'Gulf Mall'!U145-'Gulf Mall'!U142</f>
        <v>651141.02297065104</v>
      </c>
      <c r="W12" s="44">
        <f>'Gulf Mall'!W145-'Gulf Mall'!W142</f>
        <v>670479.8547785047</v>
      </c>
      <c r="Y12" s="44">
        <f>'Gulf Mall'!Y145-'Gulf Mall'!Y142</f>
        <v>655167.59340232797</v>
      </c>
      <c r="AA12" s="44">
        <f t="shared" si="1"/>
        <v>7832333.3661768846</v>
      </c>
    </row>
    <row r="13" spans="1:28" s="1" customFormat="1" ht="15.75" thickBot="1">
      <c r="B13" s="93" t="s">
        <v>148</v>
      </c>
      <c r="C13" s="44">
        <f>'Gulf Mall'!C152+'Gulf Mall'!C142</f>
        <v>530091.50435792375</v>
      </c>
      <c r="E13" s="44">
        <f>'Gulf Mall'!E152+'Gulf Mall'!E142</f>
        <v>311636.21670864616</v>
      </c>
      <c r="G13" s="44">
        <f>'Gulf Mall'!G152+'Gulf Mall'!G142</f>
        <v>870427.98924086895</v>
      </c>
      <c r="I13" s="44">
        <f>'Gulf Mall'!I152+'Gulf Mall'!I142</f>
        <v>749562.84409726318</v>
      </c>
      <c r="K13" s="44">
        <f>'Gulf Mall'!K152+'Gulf Mall'!K142</f>
        <v>646982.92317875684</v>
      </c>
      <c r="M13" s="44">
        <f>'Gulf Mall'!M152+'Gulf Mall'!M142</f>
        <v>1004498.7336801767</v>
      </c>
      <c r="O13" s="44">
        <f>'Gulf Mall'!O152+'Gulf Mall'!O142</f>
        <v>472685.74293748406</v>
      </c>
      <c r="Q13" s="44">
        <f>'Gulf Mall'!Q152+'Gulf Mall'!Q142</f>
        <v>721296.95956416044</v>
      </c>
      <c r="S13" s="44">
        <f>'Gulf Mall'!S152+'Gulf Mall'!S142</f>
        <v>731703.36099744774</v>
      </c>
      <c r="U13" s="44">
        <f>'Gulf Mall'!U152+'Gulf Mall'!U142</f>
        <v>482395.41177885287</v>
      </c>
      <c r="W13" s="44">
        <f>'Gulf Mall'!W152+'Gulf Mall'!W142</f>
        <v>507723.15002568188</v>
      </c>
      <c r="Y13" s="44">
        <f>'Gulf Mall'!Y152+'Gulf Mall'!Y142</f>
        <v>947538.37863327982</v>
      </c>
      <c r="AA13" s="44">
        <f t="shared" si="1"/>
        <v>7976543.2152005415</v>
      </c>
    </row>
    <row r="14" spans="1:28" s="1" customFormat="1" ht="15.75" thickTop="1">
      <c r="A14" s="26">
        <v>6798</v>
      </c>
      <c r="B14" s="26" t="s">
        <v>147</v>
      </c>
      <c r="C14" s="44">
        <f>'Gulf Mall'!C144-'Gulf Mall'!C142</f>
        <v>87240.94</v>
      </c>
      <c r="E14" s="44">
        <f>'Gulf Mall'!E144-'Gulf Mall'!E142</f>
        <v>87240.93</v>
      </c>
      <c r="G14" s="44">
        <f>'Gulf Mall'!G144-'Gulf Mall'!G142</f>
        <v>87240.950000000012</v>
      </c>
      <c r="H14" s="124"/>
      <c r="I14" s="44">
        <f>'Gulf Mall'!I144-'Gulf Mall'!I142</f>
        <v>87240.93</v>
      </c>
      <c r="J14" s="124"/>
      <c r="K14" s="44">
        <f>'Gulf Mall'!K144-'Gulf Mall'!K142</f>
        <v>87240.93</v>
      </c>
      <c r="M14" s="44">
        <f>'Gulf Mall'!M144-'Gulf Mall'!M142</f>
        <v>87240.900000000023</v>
      </c>
      <c r="O14" s="44">
        <f>'Gulf Mall'!O144-'Gulf Mall'!O142</f>
        <v>87240.900000000023</v>
      </c>
      <c r="Q14" s="44">
        <f>'Gulf Mall'!Q144-'Gulf Mall'!Q142</f>
        <v>87240.900000000023</v>
      </c>
      <c r="S14" s="44">
        <f>'Gulf Mall'!S144-'Gulf Mall'!S142</f>
        <v>87240.93</v>
      </c>
      <c r="U14" s="44">
        <f>'Gulf Mall'!U144-'Gulf Mall'!U142</f>
        <v>87240.93</v>
      </c>
      <c r="W14" s="44">
        <f>'Gulf Mall'!W144-'Gulf Mall'!W142</f>
        <v>87240.93</v>
      </c>
      <c r="Y14" s="44">
        <f>'Gulf Mall'!Y144-'Gulf Mall'!Y142</f>
        <v>87240.93</v>
      </c>
      <c r="AA14" s="44">
        <f t="shared" si="1"/>
        <v>1046891.0999999999</v>
      </c>
    </row>
    <row r="15" spans="1:28" s="1" customFormat="1" ht="15.75" thickBot="1">
      <c r="A15" s="4">
        <v>6299</v>
      </c>
      <c r="B15" s="4" t="s">
        <v>102</v>
      </c>
      <c r="C15" s="44">
        <f>'Gulf Mall'!C93</f>
        <v>162039.10958904109</v>
      </c>
      <c r="E15" s="44">
        <f>'Gulf Mall'!E93</f>
        <v>162039.10958904109</v>
      </c>
      <c r="G15" s="44">
        <f>'Gulf Mall'!G93</f>
        <v>162039.10958904109</v>
      </c>
      <c r="I15" s="44">
        <f>'Gulf Mall'!I93</f>
        <v>162039.10958904109</v>
      </c>
      <c r="K15" s="44">
        <f>'Gulf Mall'!K93</f>
        <v>162039.10958904109</v>
      </c>
      <c r="M15" s="44">
        <f>'Gulf Mall'!M93</f>
        <v>162039.10958904109</v>
      </c>
      <c r="O15" s="44">
        <f>'Gulf Mall'!O93</f>
        <v>162039.10958904109</v>
      </c>
      <c r="Q15" s="44">
        <f>'Gulf Mall'!Q93</f>
        <v>162039.10958904109</v>
      </c>
      <c r="S15" s="44">
        <f>'Gulf Mall'!S93</f>
        <v>162039.10958904109</v>
      </c>
      <c r="U15" s="44">
        <f>'Gulf Mall'!U93</f>
        <v>162039.10958904109</v>
      </c>
      <c r="W15" s="44">
        <f>'Gulf Mall'!W93</f>
        <v>162039.10958904109</v>
      </c>
      <c r="Y15" s="44">
        <f>'Gulf Mall'!Y93</f>
        <v>162041.2095890411</v>
      </c>
      <c r="AA15" s="44">
        <f t="shared" si="1"/>
        <v>1944471.4150684935</v>
      </c>
    </row>
    <row r="16" spans="1:28" ht="15.75" thickTop="1"/>
  </sheetData>
  <mergeCells count="26">
    <mergeCell ref="C1:D1"/>
    <mergeCell ref="E1:F1"/>
    <mergeCell ref="G1:H1"/>
    <mergeCell ref="I1:J1"/>
    <mergeCell ref="K1:L1"/>
    <mergeCell ref="M9:N9"/>
    <mergeCell ref="O9:P9"/>
    <mergeCell ref="Q9:R9"/>
    <mergeCell ref="S9:T9"/>
    <mergeCell ref="O1:P1"/>
    <mergeCell ref="Q1:R1"/>
    <mergeCell ref="S1:T1"/>
    <mergeCell ref="M1:N1"/>
    <mergeCell ref="C9:D9"/>
    <mergeCell ref="E9:F9"/>
    <mergeCell ref="G9:H9"/>
    <mergeCell ref="I9:J9"/>
    <mergeCell ref="K9:L9"/>
    <mergeCell ref="U9:V9"/>
    <mergeCell ref="W9:X9"/>
    <mergeCell ref="Y9:Z9"/>
    <mergeCell ref="AA9:AB9"/>
    <mergeCell ref="AA1:AB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Consolidated</vt:lpstr>
      <vt:lpstr>HO</vt:lpstr>
      <vt:lpstr>BTC</vt:lpstr>
      <vt:lpstr>Gulf Mall</vt:lpstr>
      <vt:lpstr>Sales Discount (2)</vt:lpstr>
      <vt:lpstr>Sheet6</vt:lpstr>
      <vt:lpstr>Sheet7</vt:lpstr>
      <vt:lpstr>Sheet2</vt:lpstr>
      <vt:lpstr>Sheet1</vt:lpstr>
      <vt:lpstr>'Gulf Mall'!Print_Area</vt:lpstr>
      <vt:lpstr>HO!Print_Area</vt:lpstr>
      <vt:lpstr>'Gulf Mall'!Print_Titles</vt:lpstr>
      <vt:lpstr>HO!Print_Titles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Kiran</cp:lastModifiedBy>
  <cp:lastPrinted>2017-01-15T07:44:18Z</cp:lastPrinted>
  <dcterms:created xsi:type="dcterms:W3CDTF">2010-03-10T02:36:12Z</dcterms:created>
  <dcterms:modified xsi:type="dcterms:W3CDTF">2017-01-15T07:44:19Z</dcterms:modified>
</cp:coreProperties>
</file>